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20" yWindow="-120" windowWidth="29040" windowHeight="15840" tabRatio="889"/>
  </bookViews>
  <sheets>
    <sheet name="Школа1" sheetId="21" r:id="rId1"/>
    <sheet name="Школа2" sheetId="22" r:id="rId2"/>
    <sheet name="Детский сад1" sheetId="26" r:id="rId3"/>
    <sheet name="Детский сад2" sheetId="5" r:id="rId4"/>
    <sheet name="Столы" sheetId="7" r:id="rId5"/>
    <sheet name="Тумбы" sheetId="13" r:id="rId6"/>
    <sheet name="Шкафы" sheetId="19" r:id="rId7"/>
    <sheet name="Библиотека" sheetId="18" r:id="rId8"/>
    <sheet name="Цвета" sheetId="30" r:id="rId9"/>
  </sheets>
  <definedNames>
    <definedName name="_xlnm.Print_Area" localSheetId="7">Библиотека!$A$1:$BS$103</definedName>
    <definedName name="_xlnm.Print_Area" localSheetId="2">'Детский сад1'!$A$1:$BS$99</definedName>
    <definedName name="_xlnm.Print_Area" localSheetId="3">'Детский сад2'!$A$1:$BR$95</definedName>
    <definedName name="_xlnm.Print_Area" localSheetId="4">Столы!$A$1:$BR$96</definedName>
    <definedName name="_xlnm.Print_Area" localSheetId="5">Тумбы!$A$1:$BR$94</definedName>
    <definedName name="_xlnm.Print_Area" localSheetId="8">Цвета!$A$1:$BR$86</definedName>
    <definedName name="_xlnm.Print_Area" localSheetId="6">Шкафы!$A$1:$BR$95</definedName>
    <definedName name="_xlnm.Print_Area" localSheetId="0">Школа1!$A$1:$BN$98</definedName>
  </definedNames>
  <calcPr calcId="162913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1" i="21" l="1"/>
  <c r="AK75" i="13" l="1"/>
  <c r="BO81" i="7" l="1"/>
  <c r="BE81" i="7"/>
  <c r="S61" i="21" l="1"/>
  <c r="H60" i="21"/>
  <c r="BP56" i="26"/>
  <c r="BB56" i="26"/>
  <c r="AN56" i="26"/>
  <c r="AN55" i="26"/>
  <c r="BP70" i="26"/>
  <c r="BB70" i="26"/>
  <c r="BB69" i="26"/>
  <c r="AN70" i="26"/>
  <c r="BB40" i="26"/>
  <c r="BB39" i="26"/>
  <c r="AO47" i="21"/>
  <c r="AD47" i="21"/>
  <c r="H47" i="21"/>
  <c r="BK33" i="21"/>
  <c r="AZ33" i="21"/>
  <c r="BK104" i="22"/>
  <c r="BK103" i="22"/>
  <c r="BK102" i="22"/>
  <c r="AZ104" i="22"/>
  <c r="AZ103" i="22"/>
  <c r="AO104" i="22"/>
  <c r="AO103" i="22"/>
  <c r="AD104" i="22"/>
  <c r="AD103" i="22"/>
  <c r="AD102" i="22"/>
  <c r="S104" i="22"/>
  <c r="S103" i="22"/>
  <c r="I104" i="22"/>
  <c r="I103" i="22"/>
  <c r="BA90" i="22"/>
  <c r="BA89" i="22"/>
  <c r="U62" i="22"/>
  <c r="H62" i="22"/>
  <c r="BO103" i="18" l="1"/>
  <c r="BE103" i="18"/>
  <c r="AU103" i="18"/>
  <c r="AK103" i="18"/>
  <c r="AA103" i="18"/>
  <c r="Q103" i="18"/>
  <c r="G103" i="18"/>
  <c r="BO89" i="18"/>
  <c r="BE89" i="18"/>
  <c r="AU89" i="18"/>
  <c r="AK89" i="18"/>
  <c r="AA89" i="18"/>
  <c r="Q89" i="18"/>
  <c r="G89" i="18"/>
  <c r="BO75" i="18"/>
  <c r="BE75" i="18"/>
  <c r="AU75" i="18"/>
  <c r="AK75" i="18"/>
  <c r="AA75" i="18"/>
  <c r="Q75" i="18"/>
  <c r="G75" i="18"/>
  <c r="BO61" i="18"/>
  <c r="BE61" i="18"/>
  <c r="AU61" i="18"/>
  <c r="AK61" i="18"/>
  <c r="AA61" i="18"/>
  <c r="Q61" i="18"/>
  <c r="G61" i="18"/>
  <c r="BO47" i="18"/>
  <c r="BE47" i="18"/>
  <c r="AU47" i="18"/>
  <c r="AK47" i="18"/>
  <c r="AA47" i="18"/>
  <c r="Q47" i="18"/>
  <c r="G47" i="18"/>
  <c r="BO33" i="18"/>
  <c r="BE33" i="18"/>
  <c r="AU33" i="18"/>
  <c r="AK33" i="18"/>
  <c r="AA33" i="18"/>
  <c r="Q33" i="18"/>
  <c r="G33" i="18"/>
  <c r="BO19" i="18"/>
  <c r="BE19" i="18"/>
  <c r="AU19" i="18"/>
  <c r="AK19" i="18"/>
  <c r="AA19" i="18"/>
  <c r="Q19" i="18"/>
  <c r="G19" i="18"/>
  <c r="BQ95" i="19"/>
  <c r="BQ94" i="19"/>
  <c r="BG95" i="19"/>
  <c r="BG94" i="19"/>
  <c r="AW95" i="19"/>
  <c r="AW94" i="19"/>
  <c r="AM95" i="19"/>
  <c r="AM94" i="19"/>
  <c r="AA95" i="19"/>
  <c r="Q95" i="19"/>
  <c r="G95" i="19"/>
  <c r="BO79" i="19"/>
  <c r="BO78" i="19"/>
  <c r="BE79" i="19"/>
  <c r="BE78" i="19"/>
  <c r="AU79" i="19"/>
  <c r="AU78" i="19"/>
  <c r="AK79" i="19"/>
  <c r="AK78" i="19"/>
  <c r="AA79" i="19"/>
  <c r="AA78" i="19"/>
  <c r="Q79" i="19"/>
  <c r="Q78" i="19"/>
  <c r="G79" i="19"/>
  <c r="G78" i="19"/>
  <c r="BO63" i="19"/>
  <c r="BE63" i="19"/>
  <c r="BE62" i="19"/>
  <c r="AU63" i="19"/>
  <c r="AU62" i="19"/>
  <c r="AK63" i="19"/>
  <c r="AK62" i="19"/>
  <c r="AA63" i="19"/>
  <c r="AA62" i="19"/>
  <c r="Q63" i="19"/>
  <c r="Q62" i="19"/>
  <c r="G63" i="19"/>
  <c r="G62" i="19"/>
  <c r="BO47" i="19"/>
  <c r="BO46" i="19"/>
  <c r="BE47" i="19"/>
  <c r="BE46" i="19"/>
  <c r="AU47" i="19"/>
  <c r="AU46" i="19"/>
  <c r="AK47" i="19"/>
  <c r="AK46" i="19"/>
  <c r="AA47" i="19"/>
  <c r="AA46" i="19"/>
  <c r="Q47" i="19"/>
  <c r="Q46" i="19"/>
  <c r="G47" i="19"/>
  <c r="G46" i="19"/>
  <c r="BO31" i="19"/>
  <c r="BE31" i="19"/>
  <c r="AU31" i="19"/>
  <c r="AK31" i="19"/>
  <c r="AA31" i="19"/>
  <c r="Q31" i="19"/>
  <c r="G31" i="19"/>
  <c r="BO18" i="19"/>
  <c r="BE18" i="19"/>
  <c r="AU18" i="19"/>
  <c r="AK18" i="19"/>
  <c r="AA18" i="19"/>
  <c r="Q18" i="19"/>
  <c r="G18" i="19"/>
  <c r="BO94" i="13"/>
  <c r="BO93" i="13"/>
  <c r="BE94" i="13"/>
  <c r="BE93" i="13"/>
  <c r="BE92" i="13"/>
  <c r="AU94" i="13"/>
  <c r="AU93" i="13"/>
  <c r="AU92" i="13"/>
  <c r="AK94" i="13"/>
  <c r="AK93" i="13"/>
  <c r="AK92" i="13"/>
  <c r="AA94" i="13"/>
  <c r="AA93" i="13"/>
  <c r="AA92" i="13"/>
  <c r="Q94" i="13"/>
  <c r="Q93" i="13"/>
  <c r="Q92" i="13"/>
  <c r="G94" i="13"/>
  <c r="G93" i="13"/>
  <c r="BO75" i="13"/>
  <c r="BO74" i="13"/>
  <c r="BO73" i="13"/>
  <c r="BE75" i="13"/>
  <c r="BE74" i="13"/>
  <c r="AU75" i="13"/>
  <c r="AU74" i="13"/>
  <c r="AK74" i="13"/>
  <c r="AA75" i="13"/>
  <c r="Q75" i="13"/>
  <c r="G75" i="13"/>
  <c r="BO61" i="13"/>
  <c r="BE61" i="13"/>
  <c r="AU61" i="13"/>
  <c r="AK61" i="13"/>
  <c r="AA61" i="13"/>
  <c r="Q61" i="13"/>
  <c r="G61" i="13"/>
  <c r="BO47" i="13"/>
  <c r="BE47" i="13"/>
  <c r="AU47" i="13"/>
  <c r="AK47" i="13"/>
  <c r="AA47" i="13"/>
  <c r="Q47" i="13"/>
  <c r="Q46" i="13"/>
  <c r="G47" i="13"/>
  <c r="G46" i="13"/>
  <c r="BO33" i="13"/>
  <c r="BO32" i="13"/>
  <c r="BE33" i="13"/>
  <c r="BE32" i="13"/>
  <c r="AU33" i="13"/>
  <c r="AU32" i="13"/>
  <c r="AK33" i="13"/>
  <c r="AK32" i="13"/>
  <c r="AA33" i="13"/>
  <c r="AA32" i="13"/>
  <c r="Q33" i="13"/>
  <c r="Q32" i="13"/>
  <c r="G33" i="13"/>
  <c r="G32" i="13"/>
  <c r="BO19" i="13"/>
  <c r="BE19" i="13"/>
  <c r="AU19" i="13"/>
  <c r="AK19" i="13"/>
  <c r="AA19" i="13"/>
  <c r="Q19" i="13"/>
  <c r="G19" i="13"/>
  <c r="BO96" i="7"/>
  <c r="BO89" i="7"/>
  <c r="BE96" i="7"/>
  <c r="AU96" i="7"/>
  <c r="AU95" i="7"/>
  <c r="AK96" i="7"/>
  <c r="AK95" i="7"/>
  <c r="AA96" i="7"/>
  <c r="AA95" i="7"/>
  <c r="Q96" i="7"/>
  <c r="Q95" i="7"/>
  <c r="G96" i="7"/>
  <c r="G95" i="7"/>
  <c r="BO80" i="7"/>
  <c r="BO79" i="7"/>
  <c r="BE80" i="7"/>
  <c r="AU81" i="7"/>
  <c r="AU80" i="7"/>
  <c r="AK81" i="7"/>
  <c r="AK80" i="7"/>
  <c r="AA81" i="7"/>
  <c r="AA80" i="7"/>
  <c r="Q81" i="7"/>
  <c r="Q80" i="7"/>
  <c r="G81" i="7"/>
  <c r="G80" i="7"/>
  <c r="G79" i="7"/>
  <c r="BO66" i="7"/>
  <c r="BE66" i="7"/>
  <c r="AU66" i="7"/>
  <c r="AU65" i="7"/>
  <c r="AU64" i="7"/>
  <c r="AK66" i="7"/>
  <c r="AK65" i="7"/>
  <c r="AK64" i="7"/>
  <c r="Q66" i="7"/>
  <c r="Q65" i="7"/>
  <c r="G66" i="7"/>
  <c r="G65" i="7"/>
  <c r="G64" i="7"/>
  <c r="BO51" i="7"/>
  <c r="BO50" i="7"/>
  <c r="BE51" i="7"/>
  <c r="BE50" i="7"/>
  <c r="BE49" i="7"/>
  <c r="AU51" i="7"/>
  <c r="AU50" i="7"/>
  <c r="AU49" i="7"/>
  <c r="AK51" i="7"/>
  <c r="AK50" i="7"/>
  <c r="AK49" i="7"/>
  <c r="AA51" i="7"/>
  <c r="AA50" i="7"/>
  <c r="AA49" i="7"/>
  <c r="Q51" i="7"/>
  <c r="Q50" i="7"/>
  <c r="Q49" i="7"/>
  <c r="G51" i="7"/>
  <c r="G50" i="7"/>
  <c r="G49" i="7"/>
  <c r="BO36" i="7"/>
  <c r="BO35" i="7"/>
  <c r="BO34" i="7"/>
  <c r="BE36" i="7"/>
  <c r="BE35" i="7"/>
  <c r="AU36" i="7"/>
  <c r="AU35" i="7"/>
  <c r="AK36" i="7"/>
  <c r="AK35" i="7"/>
  <c r="AA36" i="7"/>
  <c r="AA35" i="7"/>
  <c r="Q36" i="7"/>
  <c r="Q35" i="7"/>
  <c r="G36" i="7"/>
  <c r="G35" i="7"/>
  <c r="G34" i="7"/>
  <c r="BO21" i="7"/>
  <c r="BO20" i="7"/>
  <c r="BO19" i="7"/>
  <c r="BE21" i="7"/>
  <c r="BE20" i="7"/>
  <c r="BE19" i="7"/>
  <c r="AU21" i="7"/>
  <c r="AU20" i="7"/>
  <c r="AU19" i="7"/>
  <c r="AK21" i="7"/>
  <c r="AA21" i="7"/>
  <c r="Q21" i="7"/>
  <c r="Q20" i="7"/>
  <c r="Q19" i="7"/>
  <c r="G21" i="7"/>
  <c r="G20" i="7"/>
  <c r="G19" i="7"/>
  <c r="G18" i="7"/>
  <c r="BN94" i="5"/>
  <c r="BA94" i="5"/>
  <c r="AO94" i="5"/>
  <c r="AD94" i="5"/>
  <c r="S94" i="5"/>
  <c r="H94" i="5"/>
  <c r="H93" i="5"/>
  <c r="H92" i="5"/>
  <c r="BN80" i="5"/>
  <c r="BB80" i="5"/>
  <c r="AO80" i="5"/>
  <c r="AD80" i="5"/>
  <c r="AD79" i="5"/>
  <c r="S80" i="5"/>
  <c r="BN66" i="5"/>
  <c r="BA66" i="5"/>
  <c r="AO66" i="5"/>
  <c r="AD66" i="5"/>
  <c r="S66" i="5"/>
  <c r="H66" i="5"/>
  <c r="BN52" i="5"/>
  <c r="BA52" i="5"/>
  <c r="AO52" i="5"/>
  <c r="AD52" i="5"/>
  <c r="S52" i="5"/>
  <c r="H52" i="5"/>
  <c r="BN36" i="5"/>
  <c r="BA36" i="5"/>
  <c r="AO36" i="5"/>
  <c r="AD36" i="5"/>
  <c r="S36" i="5"/>
  <c r="H36" i="5"/>
  <c r="BN22" i="5"/>
  <c r="BA22" i="5"/>
  <c r="AO22" i="5"/>
  <c r="AD22" i="5"/>
  <c r="S22" i="5"/>
  <c r="H22" i="5"/>
  <c r="BP98" i="26"/>
  <c r="BP97" i="26"/>
  <c r="BB98" i="26"/>
  <c r="BB97" i="26"/>
  <c r="AN98" i="26"/>
  <c r="AN97" i="26"/>
  <c r="Z98" i="26"/>
  <c r="L98" i="26"/>
  <c r="BP84" i="26"/>
  <c r="BB84" i="26"/>
  <c r="BB83" i="26"/>
  <c r="AN84" i="26"/>
  <c r="AN83" i="26"/>
  <c r="Z84" i="26"/>
  <c r="Z83" i="26"/>
  <c r="AK70" i="26"/>
  <c r="BM56" i="26"/>
  <c r="AY56" i="26"/>
  <c r="AK56" i="26"/>
  <c r="AK55" i="26"/>
  <c r="Z56" i="26"/>
  <c r="L56" i="26"/>
  <c r="BP40" i="26"/>
  <c r="AY40" i="26"/>
  <c r="AY39" i="26"/>
  <c r="AN40" i="26"/>
  <c r="Z40" i="26"/>
  <c r="L40" i="26"/>
  <c r="BP24" i="26"/>
  <c r="BB24" i="26"/>
  <c r="BB23" i="26"/>
  <c r="BB22" i="26"/>
  <c r="AN24" i="26"/>
  <c r="AN23" i="26"/>
  <c r="Z24" i="26"/>
  <c r="Z23" i="26"/>
  <c r="L24" i="26"/>
  <c r="L23" i="26"/>
  <c r="L22" i="26"/>
  <c r="L84" i="26"/>
  <c r="I84" i="26"/>
  <c r="BM70" i="26"/>
  <c r="AY70" i="26"/>
  <c r="AY69" i="26"/>
  <c r="G104" i="22"/>
  <c r="G103" i="22"/>
  <c r="BL90" i="22"/>
  <c r="BJ90" i="22"/>
  <c r="AY90" i="22"/>
  <c r="AY89" i="22"/>
  <c r="AO90" i="22"/>
  <c r="AE90" i="22"/>
  <c r="AE89" i="22"/>
  <c r="AC90" i="22"/>
  <c r="AC89" i="22"/>
  <c r="T90" i="22"/>
  <c r="T89" i="22"/>
  <c r="R90" i="22"/>
  <c r="R89" i="22"/>
  <c r="H90" i="22"/>
  <c r="BM76" i="22"/>
  <c r="BK76" i="22"/>
  <c r="AZ76" i="22"/>
  <c r="AO76" i="22"/>
  <c r="AD76" i="22"/>
  <c r="S76" i="22"/>
  <c r="H76" i="22"/>
  <c r="BK62" i="22"/>
  <c r="AZ62" i="22"/>
  <c r="AO62" i="22"/>
  <c r="AD62" i="22"/>
  <c r="S62" i="22"/>
  <c r="BK48" i="22"/>
  <c r="AZ48" i="22"/>
  <c r="AO48" i="22"/>
  <c r="AD48" i="22"/>
  <c r="S48" i="22"/>
  <c r="H48" i="22"/>
  <c r="BK34" i="22"/>
  <c r="AZ34" i="22"/>
  <c r="AO34" i="22"/>
  <c r="AD34" i="22"/>
  <c r="S34" i="22"/>
  <c r="H34" i="22"/>
  <c r="BK20" i="22"/>
  <c r="BK19" i="22"/>
  <c r="AZ20" i="22"/>
  <c r="AZ19" i="22"/>
  <c r="AO20" i="22"/>
  <c r="AO19" i="22"/>
  <c r="AD20" i="22"/>
  <c r="AD19" i="22"/>
  <c r="S20" i="22"/>
  <c r="S19" i="22"/>
  <c r="H20" i="22"/>
  <c r="H19" i="22"/>
  <c r="AD75" i="21"/>
  <c r="S75" i="21"/>
  <c r="H75" i="21"/>
  <c r="AZ61" i="21"/>
  <c r="AO61" i="21"/>
  <c r="AD61" i="21"/>
  <c r="S60" i="21"/>
  <c r="BK47" i="21"/>
  <c r="AZ47" i="21"/>
  <c r="S47" i="21"/>
  <c r="AO33" i="21"/>
  <c r="AD33" i="21"/>
  <c r="S33" i="21"/>
</calcChain>
</file>

<file path=xl/sharedStrings.xml><?xml version="1.0" encoding="utf-8"?>
<sst xmlns="http://schemas.openxmlformats.org/spreadsheetml/2006/main" count="1541" uniqueCount="831">
  <si>
    <t>Д.1</t>
  </si>
  <si>
    <t>Д.2</t>
  </si>
  <si>
    <t>Доска аудиторная</t>
  </si>
  <si>
    <t>зел.</t>
  </si>
  <si>
    <t>бел.</t>
  </si>
  <si>
    <t>3-элементная</t>
  </si>
  <si>
    <t>Д.4</t>
  </si>
  <si>
    <t>Доска пробковая</t>
  </si>
  <si>
    <t>1200*900</t>
  </si>
  <si>
    <t>Ш.В.1</t>
  </si>
  <si>
    <t>Шкаф вытяжной</t>
  </si>
  <si>
    <t>"Аквариум"</t>
  </si>
  <si>
    <t>Ш.В.2</t>
  </si>
  <si>
    <t>С.Д.1</t>
  </si>
  <si>
    <t>С.Д.2</t>
  </si>
  <si>
    <t>(физика)</t>
  </si>
  <si>
    <t>2400*700*900</t>
  </si>
  <si>
    <t>Т.Л.1</t>
  </si>
  <si>
    <t>Т.Л.2</t>
  </si>
  <si>
    <t>800*500*800</t>
  </si>
  <si>
    <t>400*500*800</t>
  </si>
  <si>
    <t>Т.Д.1</t>
  </si>
  <si>
    <t>1200*300*700</t>
  </si>
  <si>
    <t>Т.Д.3</t>
  </si>
  <si>
    <t>Т.Д.2</t>
  </si>
  <si>
    <t>Я.1</t>
  </si>
  <si>
    <t>Ящик для ключей</t>
  </si>
  <si>
    <t>Ж.1</t>
  </si>
  <si>
    <t>ТР.1</t>
  </si>
  <si>
    <t>Трибуна</t>
  </si>
  <si>
    <t>настольная</t>
  </si>
  <si>
    <t>600*500*440</t>
  </si>
  <si>
    <t>напольная</t>
  </si>
  <si>
    <t>ТР.2</t>
  </si>
  <si>
    <t>600*500*1200</t>
  </si>
  <si>
    <t>ТР.3</t>
  </si>
  <si>
    <t>В.1</t>
  </si>
  <si>
    <t>2400*400*1700</t>
  </si>
  <si>
    <t>В.2</t>
  </si>
  <si>
    <t>В.3</t>
  </si>
  <si>
    <t>1500*400*1700</t>
  </si>
  <si>
    <t>В.4</t>
  </si>
  <si>
    <t>Вешалка настенная</t>
  </si>
  <si>
    <t>765*220*700</t>
  </si>
  <si>
    <t>В.5</t>
  </si>
  <si>
    <t>800*250*300</t>
  </si>
  <si>
    <t>Вешалка</t>
  </si>
  <si>
    <t>ТБ.1</t>
  </si>
  <si>
    <t>300*300*460</t>
  </si>
  <si>
    <t>Д.3</t>
  </si>
  <si>
    <t>У.С.1</t>
  </si>
  <si>
    <t>У.С.2</t>
  </si>
  <si>
    <t>Стол ученический</t>
  </si>
  <si>
    <t>600*500*№</t>
  </si>
  <si>
    <t>1200*500*№</t>
  </si>
  <si>
    <t>К.У.1</t>
  </si>
  <si>
    <t>К.У.2</t>
  </si>
  <si>
    <t>Л.1</t>
  </si>
  <si>
    <t>Л.2</t>
  </si>
  <si>
    <t>Стол компьютерный</t>
  </si>
  <si>
    <t>800*700*№</t>
  </si>
  <si>
    <t>1200*500*750</t>
  </si>
  <si>
    <t>Стол 1-местный</t>
  </si>
  <si>
    <t>лингафонный</t>
  </si>
  <si>
    <t>Стол 2-местный</t>
  </si>
  <si>
    <t>СТ.1</t>
  </si>
  <si>
    <t>Стул ученический</t>
  </si>
  <si>
    <t>СТ.Р.1</t>
  </si>
  <si>
    <t>СТ.П.1</t>
  </si>
  <si>
    <t>С.А.1</t>
  </si>
  <si>
    <t>С.А.5</t>
  </si>
  <si>
    <t>Скамья ученическая</t>
  </si>
  <si>
    <t>фанера</t>
  </si>
  <si>
    <t>1200*350*№</t>
  </si>
  <si>
    <t>С.А.6</t>
  </si>
  <si>
    <t>С.А.7</t>
  </si>
  <si>
    <t>С.А.8</t>
  </si>
  <si>
    <t>С.А.9</t>
  </si>
  <si>
    <t>С.А.10</t>
  </si>
  <si>
    <t>О.С.1</t>
  </si>
  <si>
    <t>1500*300*270</t>
  </si>
  <si>
    <t>Скамья</t>
  </si>
  <si>
    <t>1200*300*460</t>
  </si>
  <si>
    <t>1500*300*460</t>
  </si>
  <si>
    <t>пл.</t>
  </si>
  <si>
    <t>1200*600*750</t>
  </si>
  <si>
    <t>1500*600*750</t>
  </si>
  <si>
    <t>Стол обеденный</t>
  </si>
  <si>
    <t>О.С.2</t>
  </si>
  <si>
    <t>О.С.5</t>
  </si>
  <si>
    <t>1200*600</t>
  </si>
  <si>
    <t>1500*600</t>
  </si>
  <si>
    <t>О.З.1</t>
  </si>
  <si>
    <t>О.З.2</t>
  </si>
  <si>
    <t>Обеденная зона</t>
  </si>
  <si>
    <t>Мебель для образовательных учреждений</t>
  </si>
  <si>
    <t>1000*750</t>
  </si>
  <si>
    <t>У.С.1(р)</t>
  </si>
  <si>
    <t>У.С.2(р)</t>
  </si>
  <si>
    <t>растущий</t>
  </si>
  <si>
    <t>У.С.р.1(р)</t>
  </si>
  <si>
    <t>У.С.р.2(р)</t>
  </si>
  <si>
    <t>Трансформер</t>
  </si>
  <si>
    <t>800*800</t>
  </si>
  <si>
    <t>У.С.р.1</t>
  </si>
  <si>
    <t>У.С.р.2</t>
  </si>
  <si>
    <t>К.У.р.1</t>
  </si>
  <si>
    <t>Парта - моноблок</t>
  </si>
  <si>
    <t>Пт.1</t>
  </si>
  <si>
    <t>Пт.р.1</t>
  </si>
  <si>
    <t>Пт.2</t>
  </si>
  <si>
    <t>Пт.р.2</t>
  </si>
  <si>
    <t>С.Х.1</t>
  </si>
  <si>
    <t xml:space="preserve"> 800*800*750</t>
  </si>
  <si>
    <t>К.У.р.2</t>
  </si>
  <si>
    <t>К.р.(р)</t>
  </si>
  <si>
    <t>С.Ф.1</t>
  </si>
  <si>
    <t>Раковина</t>
  </si>
  <si>
    <t>Кран</t>
  </si>
  <si>
    <t>Комплект болтов для стула</t>
  </si>
  <si>
    <t>Комплект болтов для стола</t>
  </si>
  <si>
    <t>Заглушка</t>
  </si>
  <si>
    <t>Подпятник</t>
  </si>
  <si>
    <t>Замок на ЛДСП</t>
  </si>
  <si>
    <t>Замок на стекло</t>
  </si>
  <si>
    <t>Столешница ЛДСП 22 мм.</t>
  </si>
  <si>
    <t>Пенал для письменных принадлежностей</t>
  </si>
  <si>
    <t>Столешница пластик 1/2 местн.</t>
  </si>
  <si>
    <t>Полка для учебников 1/2 местн.</t>
  </si>
  <si>
    <t>Кромка ПВХ 2,0 мм. 1-мест.</t>
  </si>
  <si>
    <t>Кромка ПВХ 2,0 мм. 2-мест.</t>
  </si>
  <si>
    <t>Вентилятор для вытяжных шкафов</t>
  </si>
  <si>
    <t>К.т.1</t>
  </si>
  <si>
    <t>К.т.2</t>
  </si>
  <si>
    <t>Комплект болтов</t>
  </si>
  <si>
    <t>Каркас для стула</t>
  </si>
  <si>
    <t>Каркас для стола</t>
  </si>
  <si>
    <t>К.д.3</t>
  </si>
  <si>
    <t>Стулья аудиторные</t>
  </si>
  <si>
    <t>лдсп</t>
  </si>
  <si>
    <t xml:space="preserve">Табурет </t>
  </si>
  <si>
    <t>К.т.1(р)</t>
  </si>
  <si>
    <t>К.т.2(р)</t>
  </si>
  <si>
    <t>мобильная</t>
  </si>
  <si>
    <t>(5 крючков)</t>
  </si>
  <si>
    <t>(10 крючков)</t>
  </si>
  <si>
    <t>1600*300*300</t>
  </si>
  <si>
    <t>№4, №6</t>
  </si>
  <si>
    <t>ГК</t>
  </si>
  <si>
    <t xml:space="preserve">Комплект деталей </t>
  </si>
  <si>
    <t>для стула (фанера)</t>
  </si>
  <si>
    <t>К.д.1</t>
  </si>
  <si>
    <t>К.д.2</t>
  </si>
  <si>
    <t xml:space="preserve">для стола </t>
  </si>
  <si>
    <t>1200*500</t>
  </si>
  <si>
    <t>600*500</t>
  </si>
  <si>
    <t>для скамьи</t>
  </si>
  <si>
    <t>рег. угол</t>
  </si>
  <si>
    <t xml:space="preserve"> рег. угол</t>
  </si>
  <si>
    <t>растущий, рег. угол</t>
  </si>
  <si>
    <t xml:space="preserve"> растущий</t>
  </si>
  <si>
    <t xml:space="preserve"> </t>
  </si>
  <si>
    <t xml:space="preserve">Стол ученический </t>
  </si>
  <si>
    <t>№: 3,4,5,6</t>
  </si>
  <si>
    <t>№: 2-4, 4-6</t>
  </si>
  <si>
    <t>2 шт.</t>
  </si>
  <si>
    <t>3 шт.</t>
  </si>
  <si>
    <t>Конторка растущая</t>
  </si>
  <si>
    <t>для кабинета черчения</t>
  </si>
  <si>
    <t>фанера гк.</t>
  </si>
  <si>
    <t>кож.зам.</t>
  </si>
  <si>
    <t>1200*400*440</t>
  </si>
  <si>
    <t>1500*400*440</t>
  </si>
  <si>
    <t>1200*400</t>
  </si>
  <si>
    <t>1500*400</t>
  </si>
  <si>
    <t>Скамья со спинкой</t>
  </si>
  <si>
    <t>пластик</t>
  </si>
  <si>
    <t>С.Ч.1</t>
  </si>
  <si>
    <t>750*500*№</t>
  </si>
  <si>
    <t>Шкаф</t>
  </si>
  <si>
    <t>Ш.дт.1</t>
  </si>
  <si>
    <t>Ш.дт.2</t>
  </si>
  <si>
    <t>Ш.дт.3</t>
  </si>
  <si>
    <t>Ш.дт.4</t>
  </si>
  <si>
    <t>Ш.дт.5</t>
  </si>
  <si>
    <t>Ш.дт.6</t>
  </si>
  <si>
    <t>Ш.дт.1.1</t>
  </si>
  <si>
    <t>Ш.дт.2.1</t>
  </si>
  <si>
    <t>Ш.дт.3.1</t>
  </si>
  <si>
    <t>Ш.дт.4.1</t>
  </si>
  <si>
    <t>Ш.дт.5.1</t>
  </si>
  <si>
    <t>Ш.дт.6.1</t>
  </si>
  <si>
    <t>Ш.дт.1(м)</t>
  </si>
  <si>
    <t>Ш.дт.2(м)</t>
  </si>
  <si>
    <t>Ш.дт.3(м)</t>
  </si>
  <si>
    <t>Ш.дт.4(м)</t>
  </si>
  <si>
    <t>Ш.дт.5(м)</t>
  </si>
  <si>
    <t>Ш.дт.6(м)</t>
  </si>
  <si>
    <t>м</t>
  </si>
  <si>
    <t>Ш.дт.1.1(м)</t>
  </si>
  <si>
    <t>Ш.дт.2.1(м)</t>
  </si>
  <si>
    <t>Ш.дт.3.1(м)</t>
  </si>
  <si>
    <t>Ш.дт.4.1(м)</t>
  </si>
  <si>
    <t>Ш.дт.5.1(м)</t>
  </si>
  <si>
    <t>Ш.дт.6.1(м)</t>
  </si>
  <si>
    <t>Об.1</t>
  </si>
  <si>
    <t>Об.2</t>
  </si>
  <si>
    <t>Ш.х.1</t>
  </si>
  <si>
    <t>Ш.Г.1</t>
  </si>
  <si>
    <t>Ш.Х.2</t>
  </si>
  <si>
    <t>Ш.бл.1</t>
  </si>
  <si>
    <t>С.дт.1</t>
  </si>
  <si>
    <t>С.дт.2</t>
  </si>
  <si>
    <t>Шкаф 6-местный</t>
  </si>
  <si>
    <t>Шкаф 1-местный</t>
  </si>
  <si>
    <t>Шкаф 2-местный</t>
  </si>
  <si>
    <t>Шкаф 3-местный</t>
  </si>
  <si>
    <t>Шкаф 4-местный</t>
  </si>
  <si>
    <t>Шкаф 5-местный</t>
  </si>
  <si>
    <t>800*400*2000</t>
  </si>
  <si>
    <t>1200*434*1158</t>
  </si>
  <si>
    <t>Шкаф для белья</t>
  </si>
  <si>
    <t>Тумба для обуви</t>
  </si>
  <si>
    <t>С.п.1</t>
  </si>
  <si>
    <t>Стол письменный</t>
  </si>
  <si>
    <t>С.п.2</t>
  </si>
  <si>
    <t>С.п.3</t>
  </si>
  <si>
    <t>С.п.3.1</t>
  </si>
  <si>
    <t>С.п.4</t>
  </si>
  <si>
    <t>Стол с подвесной</t>
  </si>
  <si>
    <t>С.п.5</t>
  </si>
  <si>
    <t>С.п.6</t>
  </si>
  <si>
    <t>с полкой</t>
  </si>
  <si>
    <t>с 2 ящиками</t>
  </si>
  <si>
    <t>с полкой и ящиком</t>
  </si>
  <si>
    <t>тумбой (с дверью)</t>
  </si>
  <si>
    <t>тумбой(с 2 ящиками)</t>
  </si>
  <si>
    <t>тумбой(с дверью)</t>
  </si>
  <si>
    <t>1000*700*750</t>
  </si>
  <si>
    <t>1200*700*750</t>
  </si>
  <si>
    <t>1400*700*750</t>
  </si>
  <si>
    <t>С.п.7</t>
  </si>
  <si>
    <t>С.п.7.1</t>
  </si>
  <si>
    <t>С.п.7.2</t>
  </si>
  <si>
    <t>С.п.7.3</t>
  </si>
  <si>
    <t>С.п.7.4</t>
  </si>
  <si>
    <t>С.п.7.5</t>
  </si>
  <si>
    <t>С.п.8</t>
  </si>
  <si>
    <t>тумбой (с 3 ящиками)</t>
  </si>
  <si>
    <t>тумбами (с 6 ящиком)</t>
  </si>
  <si>
    <t>тумбами (3 ящика)</t>
  </si>
  <si>
    <t>тумбами (2 ящика)</t>
  </si>
  <si>
    <t>тумбами (2 дверки)</t>
  </si>
  <si>
    <t>с дверкой и нишей</t>
  </si>
  <si>
    <t>1600*700*750</t>
  </si>
  <si>
    <t>1800*700*750</t>
  </si>
  <si>
    <t>С.п.8.1</t>
  </si>
  <si>
    <t>С.п.9</t>
  </si>
  <si>
    <t>С.п.9.1</t>
  </si>
  <si>
    <t>С.п.9.2</t>
  </si>
  <si>
    <t>С.п.9.3</t>
  </si>
  <si>
    <t>С.п.10</t>
  </si>
  <si>
    <t>С.п.11</t>
  </si>
  <si>
    <t>с дверкой и ящиком</t>
  </si>
  <si>
    <t>с 3 ящиками и нишей</t>
  </si>
  <si>
    <t>с 2 ящиками и нишей</t>
  </si>
  <si>
    <t>с 3 ящиками</t>
  </si>
  <si>
    <t>с 4 ящиками и нишей</t>
  </si>
  <si>
    <t>с дверкой</t>
  </si>
  <si>
    <t>С.п.12</t>
  </si>
  <si>
    <t>Стол</t>
  </si>
  <si>
    <t>П.С.1</t>
  </si>
  <si>
    <t>Стол - приставка</t>
  </si>
  <si>
    <t>П.С.2</t>
  </si>
  <si>
    <t>Стол приставка</t>
  </si>
  <si>
    <t>С.С.1</t>
  </si>
  <si>
    <t>Стол угловой</t>
  </si>
  <si>
    <t>С.Ж.1</t>
  </si>
  <si>
    <t>Стол журнальный</t>
  </si>
  <si>
    <t>для переговоров</t>
  </si>
  <si>
    <t>на ронделле</t>
  </si>
  <si>
    <t>соединительный</t>
  </si>
  <si>
    <t>1400*750*750</t>
  </si>
  <si>
    <t>800*600*750</t>
  </si>
  <si>
    <t>1600*750*750</t>
  </si>
  <si>
    <t>1000*600*750</t>
  </si>
  <si>
    <t>1700*750*750</t>
  </si>
  <si>
    <t>700*700*750</t>
  </si>
  <si>
    <t>660*660*580</t>
  </si>
  <si>
    <t>С.К.1</t>
  </si>
  <si>
    <t>С.К.2</t>
  </si>
  <si>
    <t>С.К.3</t>
  </si>
  <si>
    <t>С.К.4</t>
  </si>
  <si>
    <t>С.К.5</t>
  </si>
  <si>
    <t>С.У.1</t>
  </si>
  <si>
    <t>Сегмент угловой</t>
  </si>
  <si>
    <t>П.С.3</t>
  </si>
  <si>
    <t>Приставка</t>
  </si>
  <si>
    <t>с полкой под клавиатуру</t>
  </si>
  <si>
    <t>с нишей под процессор</t>
  </si>
  <si>
    <t>800*700*750</t>
  </si>
  <si>
    <t>600*300*16</t>
  </si>
  <si>
    <t>700*700*16</t>
  </si>
  <si>
    <t>металлоопора</t>
  </si>
  <si>
    <t>С.К.6</t>
  </si>
  <si>
    <t>Н.1</t>
  </si>
  <si>
    <t>Н.2</t>
  </si>
  <si>
    <t>Н.3</t>
  </si>
  <si>
    <t>Н.4</t>
  </si>
  <si>
    <t>П.М.1</t>
  </si>
  <si>
    <t>Подставка</t>
  </si>
  <si>
    <t>Дв.1</t>
  </si>
  <si>
    <t xml:space="preserve">доска выкатная </t>
  </si>
  <si>
    <t>с тумбой и нишей</t>
  </si>
  <si>
    <t>под монитор</t>
  </si>
  <si>
    <t>для клавиатуры</t>
  </si>
  <si>
    <t>П.П.1</t>
  </si>
  <si>
    <t>под процессор</t>
  </si>
  <si>
    <t>1000*250*350</t>
  </si>
  <si>
    <t>1000*250*750</t>
  </si>
  <si>
    <t>1200*250*350</t>
  </si>
  <si>
    <t>1200*250*750</t>
  </si>
  <si>
    <t>400*400*66</t>
  </si>
  <si>
    <t>350*500*160</t>
  </si>
  <si>
    <t>Мебель для дошкольных учреждений №1</t>
  </si>
  <si>
    <t>Мебель для дошкольных учреждений №2</t>
  </si>
  <si>
    <t>Мебель для библиотек</t>
  </si>
  <si>
    <t>С.дт.6</t>
  </si>
  <si>
    <t>С.дт.9</t>
  </si>
  <si>
    <t>С.дт.10</t>
  </si>
  <si>
    <t>Т.дт.1</t>
  </si>
  <si>
    <t>П.дт.1</t>
  </si>
  <si>
    <t>Стол-тумба</t>
  </si>
  <si>
    <t>Т.дт.2</t>
  </si>
  <si>
    <t>Т.дт.3</t>
  </si>
  <si>
    <t>Т.дт.4</t>
  </si>
  <si>
    <t>Стул детский</t>
  </si>
  <si>
    <t>№00</t>
  </si>
  <si>
    <t>№0</t>
  </si>
  <si>
    <t>№1</t>
  </si>
  <si>
    <t>№2</t>
  </si>
  <si>
    <t>№3</t>
  </si>
  <si>
    <t>В производстве имеются доски с разлиновкой:                                линейка,                                             клетка,                                                     нотный стан.                                    Прайс на весь ассортимент аудиторных досок запрашивайте у специалистов торгового отдела.</t>
  </si>
  <si>
    <t>К.1</t>
  </si>
  <si>
    <t>К.2</t>
  </si>
  <si>
    <t>К.3</t>
  </si>
  <si>
    <t>К.4</t>
  </si>
  <si>
    <t>К.5</t>
  </si>
  <si>
    <t>К.6</t>
  </si>
  <si>
    <t>(металлокаркас)</t>
  </si>
  <si>
    <t>Стол пеленальный</t>
  </si>
  <si>
    <t>В.дт.1</t>
  </si>
  <si>
    <t>В.дт.2</t>
  </si>
  <si>
    <t>В.дт.3</t>
  </si>
  <si>
    <t>Т.2</t>
  </si>
  <si>
    <t>Т.3</t>
  </si>
  <si>
    <t>Т.4</t>
  </si>
  <si>
    <t>Т.5</t>
  </si>
  <si>
    <t>Т.6</t>
  </si>
  <si>
    <t>Т.6.1</t>
  </si>
  <si>
    <t>Т.6.2</t>
  </si>
  <si>
    <t>Т.8</t>
  </si>
  <si>
    <t>Т.9</t>
  </si>
  <si>
    <t>Т.10</t>
  </si>
  <si>
    <t>Т.11</t>
  </si>
  <si>
    <t>Т.12</t>
  </si>
  <si>
    <t>Т.13</t>
  </si>
  <si>
    <t>Т.14</t>
  </si>
  <si>
    <t>Т.15</t>
  </si>
  <si>
    <t>Т.16</t>
  </si>
  <si>
    <t>С.Т.1</t>
  </si>
  <si>
    <t>С.Т.2</t>
  </si>
  <si>
    <t>С.Т.2.1</t>
  </si>
  <si>
    <t>С.Т.2.2</t>
  </si>
  <si>
    <t>С.Т.3</t>
  </si>
  <si>
    <t>С.Т.3.1</t>
  </si>
  <si>
    <t>С.Т.3.2</t>
  </si>
  <si>
    <t>С.Т.4</t>
  </si>
  <si>
    <t>С.Т.5</t>
  </si>
  <si>
    <t>С.Т.7</t>
  </si>
  <si>
    <t>Т.У.1</t>
  </si>
  <si>
    <t>Т.У.1.1</t>
  </si>
  <si>
    <t>Т.У.2</t>
  </si>
  <si>
    <t>Т.У.3</t>
  </si>
  <si>
    <t>Т.У.4</t>
  </si>
  <si>
    <t>П.н.1</t>
  </si>
  <si>
    <t>П.н.2</t>
  </si>
  <si>
    <t>П.н.3</t>
  </si>
  <si>
    <t>А.1</t>
  </si>
  <si>
    <t>Ш.У.1</t>
  </si>
  <si>
    <t>С.1</t>
  </si>
  <si>
    <t>С.2</t>
  </si>
  <si>
    <t>С.3</t>
  </si>
  <si>
    <t>С.4</t>
  </si>
  <si>
    <t>Купе 1</t>
  </si>
  <si>
    <t>Купе 2</t>
  </si>
  <si>
    <t>Тумба</t>
  </si>
  <si>
    <t>Полка навесная</t>
  </si>
  <si>
    <t>Антресоль</t>
  </si>
  <si>
    <t>Шкаф угловой</t>
  </si>
  <si>
    <t>Стеллаж угловой</t>
  </si>
  <si>
    <t>Секция</t>
  </si>
  <si>
    <t>пристенная</t>
  </si>
  <si>
    <t xml:space="preserve">Секция </t>
  </si>
  <si>
    <t>разделительная</t>
  </si>
  <si>
    <t>Шкаф-купе</t>
  </si>
  <si>
    <t>комбинированный</t>
  </si>
  <si>
    <t>для документов</t>
  </si>
  <si>
    <t>400*400*600</t>
  </si>
  <si>
    <t>400*400*750</t>
  </si>
  <si>
    <t>400*600*750</t>
  </si>
  <si>
    <t>800*400*750</t>
  </si>
  <si>
    <t>800*400*500</t>
  </si>
  <si>
    <t>400*400*400</t>
  </si>
  <si>
    <t>800*400*400</t>
  </si>
  <si>
    <t>800*600*400</t>
  </si>
  <si>
    <t>400*400*1200</t>
  </si>
  <si>
    <t>800*400*1200</t>
  </si>
  <si>
    <t>800*500*1200</t>
  </si>
  <si>
    <t>900*400*1800</t>
  </si>
  <si>
    <t>680*680*1800</t>
  </si>
  <si>
    <t>400*400*1800</t>
  </si>
  <si>
    <t>800*400*1800</t>
  </si>
  <si>
    <t>800*500*1800</t>
  </si>
  <si>
    <t>900*400*2000</t>
  </si>
  <si>
    <t>680*680*2000</t>
  </si>
  <si>
    <t>400*400*2000</t>
  </si>
  <si>
    <t>800*500*2000</t>
  </si>
  <si>
    <t>800*600*2000</t>
  </si>
  <si>
    <t>П.1</t>
  </si>
  <si>
    <t>П.2</t>
  </si>
  <si>
    <t>П.3</t>
  </si>
  <si>
    <t>П.4</t>
  </si>
  <si>
    <t>П.5</t>
  </si>
  <si>
    <t>П.6</t>
  </si>
  <si>
    <t>П.7</t>
  </si>
  <si>
    <t>Пенал</t>
  </si>
  <si>
    <t>Ш.1</t>
  </si>
  <si>
    <t>Ш.2</t>
  </si>
  <si>
    <t>Ш.3</t>
  </si>
  <si>
    <t>Ш.4</t>
  </si>
  <si>
    <t>Ш.5</t>
  </si>
  <si>
    <t>Ш.6</t>
  </si>
  <si>
    <t>Ш.7</t>
  </si>
  <si>
    <t xml:space="preserve">Шкаф низкий </t>
  </si>
  <si>
    <t>канцелярский</t>
  </si>
  <si>
    <t>Шкаф-пенал</t>
  </si>
  <si>
    <t>Ш.П.1</t>
  </si>
  <si>
    <t>Ш.П.2</t>
  </si>
  <si>
    <t>Ш.П.3</t>
  </si>
  <si>
    <t>Ш.П.4</t>
  </si>
  <si>
    <t>Ш.П.5</t>
  </si>
  <si>
    <t>Ш.П.6</t>
  </si>
  <si>
    <t>Ш.П.7</t>
  </si>
  <si>
    <t>Ш.К.1</t>
  </si>
  <si>
    <t>Ш.К.2</t>
  </si>
  <si>
    <t>Ш.К.3</t>
  </si>
  <si>
    <t>Ш.К.4</t>
  </si>
  <si>
    <t>Ш.К.5</t>
  </si>
  <si>
    <t>Ш.К.6</t>
  </si>
  <si>
    <t>Ш.К.7</t>
  </si>
  <si>
    <t>Ш.О.1</t>
  </si>
  <si>
    <t>Ш.О.2</t>
  </si>
  <si>
    <t>Ш.О.3</t>
  </si>
  <si>
    <t>Ш.О.4</t>
  </si>
  <si>
    <t>Ш.О.5</t>
  </si>
  <si>
    <t>Ш.О.6</t>
  </si>
  <si>
    <t>Ш.О.7</t>
  </si>
  <si>
    <t>Ш.О.8</t>
  </si>
  <si>
    <t>Ш.О.9</t>
  </si>
  <si>
    <t>Ш.О.10</t>
  </si>
  <si>
    <t>Ш.Ж.1</t>
  </si>
  <si>
    <t>Ш.Ж.2</t>
  </si>
  <si>
    <t>Ш.Ж.4</t>
  </si>
  <si>
    <t>Ш.Ж.3</t>
  </si>
  <si>
    <t>600*400*1800</t>
  </si>
  <si>
    <t>600*400*2000</t>
  </si>
  <si>
    <t>400*600*2000</t>
  </si>
  <si>
    <t>800*600*1800</t>
  </si>
  <si>
    <t>350*600*1800</t>
  </si>
  <si>
    <t>16 яч.</t>
  </si>
  <si>
    <t>24 яч.</t>
  </si>
  <si>
    <t>350*400*1800</t>
  </si>
  <si>
    <t>350*400*2000</t>
  </si>
  <si>
    <t>Сб.1</t>
  </si>
  <si>
    <t>Сб.2</t>
  </si>
  <si>
    <t>Сб.3</t>
  </si>
  <si>
    <t>Сб.4</t>
  </si>
  <si>
    <t>Сб.5</t>
  </si>
  <si>
    <t>Сб.6</t>
  </si>
  <si>
    <t>Сб.7</t>
  </si>
  <si>
    <t>Стеллаж</t>
  </si>
  <si>
    <t>900*270*1900</t>
  </si>
  <si>
    <t>425*425*1900</t>
  </si>
  <si>
    <t>900*450*1900</t>
  </si>
  <si>
    <t>Сб.8</t>
  </si>
  <si>
    <t>Шкаф-стеллаж</t>
  </si>
  <si>
    <t>Сб.к.1</t>
  </si>
  <si>
    <t>ШБ.1</t>
  </si>
  <si>
    <t>ШБ.2</t>
  </si>
  <si>
    <t>ШБ.3</t>
  </si>
  <si>
    <t>ШБ.4</t>
  </si>
  <si>
    <t>ШБ.5</t>
  </si>
  <si>
    <t>850*250*1900</t>
  </si>
  <si>
    <t>2500*250*1900</t>
  </si>
  <si>
    <t>850*450*1900</t>
  </si>
  <si>
    <t>2-х сторонний</t>
  </si>
  <si>
    <t>3-х сторонний</t>
  </si>
  <si>
    <t>ШБ.к.1</t>
  </si>
  <si>
    <t>ШБ.к.2</t>
  </si>
  <si>
    <t>Сб.Н.1</t>
  </si>
  <si>
    <t>ШБ.Кт.1</t>
  </si>
  <si>
    <t>ШБ.Кт.2</t>
  </si>
  <si>
    <t>ШБ.Кт.3</t>
  </si>
  <si>
    <t>ШБ.Кт.4</t>
  </si>
  <si>
    <t>1600*250*1900</t>
  </si>
  <si>
    <t>1600*450*1900</t>
  </si>
  <si>
    <t>1-секционный</t>
  </si>
  <si>
    <t>2-х секционный</t>
  </si>
  <si>
    <t>3-х секционный</t>
  </si>
  <si>
    <t>опоры металлокаркас</t>
  </si>
  <si>
    <t>В.Б.1</t>
  </si>
  <si>
    <t>Шкаф-витрина</t>
  </si>
  <si>
    <t>В.Б.2</t>
  </si>
  <si>
    <t>В.Б.3</t>
  </si>
  <si>
    <t>Витрина</t>
  </si>
  <si>
    <t>В.Б.4</t>
  </si>
  <si>
    <t>СБ.Г.1</t>
  </si>
  <si>
    <t>СБ.Г.2</t>
  </si>
  <si>
    <t>СБ.Г.3</t>
  </si>
  <si>
    <t>для газет</t>
  </si>
  <si>
    <t>800*250*1500</t>
  </si>
  <si>
    <t>800*250*2000</t>
  </si>
  <si>
    <t>800*500*1500</t>
  </si>
  <si>
    <t>500*650*1800</t>
  </si>
  <si>
    <t>1000*650*1800</t>
  </si>
  <si>
    <t>450*450*1800</t>
  </si>
  <si>
    <t>Ст.Б.1</t>
  </si>
  <si>
    <t>Ст.Б.2</t>
  </si>
  <si>
    <t>Ст.Б.3</t>
  </si>
  <si>
    <t>Ст.Б.4</t>
  </si>
  <si>
    <t>Ст.Б.5</t>
  </si>
  <si>
    <t>Ст.Б.6</t>
  </si>
  <si>
    <t>Ст.Б.7</t>
  </si>
  <si>
    <t>1200*500*760</t>
  </si>
  <si>
    <t>Ст.Б.К.1</t>
  </si>
  <si>
    <t>Ст.Б.К.2</t>
  </si>
  <si>
    <t>Ст.Б.К.3</t>
  </si>
  <si>
    <t>Ст.Б.Б.1</t>
  </si>
  <si>
    <t>Ст.Б.Б.2</t>
  </si>
  <si>
    <t>В.Б.Н.1</t>
  </si>
  <si>
    <t>В.Б.Н.2</t>
  </si>
  <si>
    <t>Стол-кафедра</t>
  </si>
  <si>
    <t>Стол-барьер</t>
  </si>
  <si>
    <t>открытая настенная</t>
  </si>
  <si>
    <t>закрытая настенная</t>
  </si>
  <si>
    <t>Шб.Ф.4</t>
  </si>
  <si>
    <t>Шб.Ф.3</t>
  </si>
  <si>
    <t>Шб.Ф.2</t>
  </si>
  <si>
    <t>Шб.Ф.1</t>
  </si>
  <si>
    <t>В.Б.Н.5</t>
  </si>
  <si>
    <t>В.Б.Н.4</t>
  </si>
  <si>
    <t>В.Б.Н.3</t>
  </si>
  <si>
    <t>открытая напольная</t>
  </si>
  <si>
    <t>2-х сторонняя</t>
  </si>
  <si>
    <t xml:space="preserve">Шкаф </t>
  </si>
  <si>
    <t>для формуляров</t>
  </si>
  <si>
    <t>угловой</t>
  </si>
  <si>
    <t>1200*650*750</t>
  </si>
  <si>
    <t>1600*650*750</t>
  </si>
  <si>
    <t>1150*420*890</t>
  </si>
  <si>
    <t>1000*230*750</t>
  </si>
  <si>
    <t>1000*230*1700</t>
  </si>
  <si>
    <t>800*450*1500</t>
  </si>
  <si>
    <t>400*400*800</t>
  </si>
  <si>
    <t>1000*450*800</t>
  </si>
  <si>
    <t>1055*230*760</t>
  </si>
  <si>
    <t xml:space="preserve"> прикроватная</t>
  </si>
  <si>
    <t xml:space="preserve">Тумба </t>
  </si>
  <si>
    <t>поворотная</t>
  </si>
  <si>
    <t>карты и др.</t>
  </si>
  <si>
    <t>Тумба под классную</t>
  </si>
  <si>
    <t>доску для геометр. наборов,</t>
  </si>
  <si>
    <t>доску для пособий, карт,</t>
  </si>
  <si>
    <t xml:space="preserve"> плакатов и др.</t>
  </si>
  <si>
    <t>с мойкой (топ пластик)</t>
  </si>
  <si>
    <t xml:space="preserve"> (72 крючка)</t>
  </si>
  <si>
    <t xml:space="preserve">Вешалка </t>
  </si>
  <si>
    <t>со скамьей (10 крючков)</t>
  </si>
  <si>
    <t>ученический</t>
  </si>
  <si>
    <t xml:space="preserve">Комплект </t>
  </si>
  <si>
    <t>ученический растущий</t>
  </si>
  <si>
    <t>С.К.м.2</t>
  </si>
  <si>
    <t>С.К.м.1</t>
  </si>
  <si>
    <t xml:space="preserve">на ронделлах </t>
  </si>
  <si>
    <t>с подвесной</t>
  </si>
  <si>
    <t>с подвесными</t>
  </si>
  <si>
    <t xml:space="preserve"> компьютерный</t>
  </si>
  <si>
    <t>с подвесной тумбой</t>
  </si>
  <si>
    <t xml:space="preserve"> (дверца)</t>
  </si>
  <si>
    <t xml:space="preserve"> (2 ящика, ниша)</t>
  </si>
  <si>
    <t>однотумбовый с нишей</t>
  </si>
  <si>
    <t xml:space="preserve"> и дверкой</t>
  </si>
  <si>
    <t>Надставка</t>
  </si>
  <si>
    <t xml:space="preserve"> на стол</t>
  </si>
  <si>
    <t>приставная</t>
  </si>
  <si>
    <t>с горизонт. полками</t>
  </si>
  <si>
    <t>открытый</t>
  </si>
  <si>
    <t>металлокаркас</t>
  </si>
  <si>
    <t>1-сторонний</t>
  </si>
  <si>
    <t xml:space="preserve"> наклонный</t>
  </si>
  <si>
    <t xml:space="preserve"> каталожный</t>
  </si>
  <si>
    <t xml:space="preserve"> для читателя</t>
  </si>
  <si>
    <t>1000*1000*750</t>
  </si>
  <si>
    <t>9 яч.</t>
  </si>
  <si>
    <t>12 яч.</t>
  </si>
  <si>
    <t>для одежды</t>
  </si>
  <si>
    <t>"Олимпиец 1"</t>
  </si>
  <si>
    <t>"Олимпиец 2"</t>
  </si>
  <si>
    <t>"Олимпиец 3"</t>
  </si>
  <si>
    <t>компл.</t>
  </si>
  <si>
    <t>шт.</t>
  </si>
  <si>
    <t>Регулировка наклона парты</t>
  </si>
  <si>
    <t>Д.6</t>
  </si>
  <si>
    <t>топ пластик</t>
  </si>
  <si>
    <t>(24 крючка)</t>
  </si>
  <si>
    <t>1200*350</t>
  </si>
  <si>
    <t>Тумба лаборатор.</t>
  </si>
  <si>
    <t>Тумба лабортор.</t>
  </si>
  <si>
    <t>(химия) пластик</t>
  </si>
  <si>
    <t>демонстрационный</t>
  </si>
  <si>
    <t>1200*600*№</t>
  </si>
  <si>
    <t>для кабинета физики/биолог</t>
  </si>
  <si>
    <t>Стол растущий</t>
  </si>
  <si>
    <t>одно тумбовый</t>
  </si>
  <si>
    <t>двух тумбовый</t>
  </si>
  <si>
    <t>400*600*1800</t>
  </si>
  <si>
    <t>для журналов</t>
  </si>
  <si>
    <t>350*600*2000</t>
  </si>
  <si>
    <t>Т.дт.5</t>
  </si>
  <si>
    <t>500*250*800</t>
  </si>
  <si>
    <t>К.1.1</t>
  </si>
  <si>
    <t>К.1.2</t>
  </si>
  <si>
    <t>Кровать детская ЛДСП</t>
  </si>
  <si>
    <t>Кровать детская 2х уровневая</t>
  </si>
  <si>
    <t>1200х640х510</t>
  </si>
  <si>
    <t>1400х640х510</t>
  </si>
  <si>
    <t>1600х640х510</t>
  </si>
  <si>
    <t>Металлокаркас</t>
  </si>
  <si>
    <t>1460х640х510</t>
  </si>
  <si>
    <t>Кровать детская 3х уровневая</t>
  </si>
  <si>
    <t>ЛДСП</t>
  </si>
  <si>
    <t>Пластик</t>
  </si>
  <si>
    <t>1080х320х1010</t>
  </si>
  <si>
    <t>1296х320х1226</t>
  </si>
  <si>
    <t>16 или 25 ячеек</t>
  </si>
  <si>
    <t>Шкаф для горшков</t>
  </si>
  <si>
    <t>для обуви</t>
  </si>
  <si>
    <t>Вешалка настенная для полотенец</t>
  </si>
  <si>
    <t>750х160х780</t>
  </si>
  <si>
    <t>С.дт.8</t>
  </si>
  <si>
    <t>Вешалка для полотенец</t>
  </si>
  <si>
    <t>Напольная, 2х сторонняя</t>
  </si>
  <si>
    <t>750х300х950</t>
  </si>
  <si>
    <t>750х160х950</t>
  </si>
  <si>
    <t>Напольная, 1-сторонняя</t>
  </si>
  <si>
    <t>700х700х№</t>
  </si>
  <si>
    <t>900х900х№</t>
  </si>
  <si>
    <t>Стол (металлокаркас</t>
  </si>
  <si>
    <t>цельносварной)</t>
  </si>
  <si>
    <t>1000х500х№</t>
  </si>
  <si>
    <t>Стол - трапеция растущий</t>
  </si>
  <si>
    <t>РОМАШКА</t>
  </si>
  <si>
    <t>Стол растущий комплект -5шт</t>
  </si>
  <si>
    <t>700х540х№</t>
  </si>
  <si>
    <t>Пл</t>
  </si>
  <si>
    <t>Кругл труба д18мм, фанера 15мм</t>
  </si>
  <si>
    <t>Растущий №1-3</t>
  </si>
  <si>
    <t>756х604х820</t>
  </si>
  <si>
    <t>"Знайка 1"</t>
  </si>
  <si>
    <t>"Знайка 2"</t>
  </si>
  <si>
    <t>П.дт.2</t>
  </si>
  <si>
    <t>П.дт.3</t>
  </si>
  <si>
    <t>Полка - выставка</t>
  </si>
  <si>
    <t>800х160х1200</t>
  </si>
  <si>
    <t>Светофор</t>
  </si>
  <si>
    <t>Шкаф для хоз. инвентаря</t>
  </si>
  <si>
    <t>1000х250х760</t>
  </si>
  <si>
    <t>Об.1.1</t>
  </si>
  <si>
    <t>800х400х2000</t>
  </si>
  <si>
    <t>1350х400х1350</t>
  </si>
  <si>
    <t>Скамья детская</t>
  </si>
  <si>
    <t>250х250х200</t>
  </si>
  <si>
    <t>500х250х200</t>
  </si>
  <si>
    <t>850х250х200</t>
  </si>
  <si>
    <t>Скамья для раздевалки</t>
  </si>
  <si>
    <t>2х сторонняя</t>
  </si>
  <si>
    <t>1100х500х400</t>
  </si>
  <si>
    <t>1100х240х300</t>
  </si>
  <si>
    <t>Скамья с тумбой под обувь</t>
  </si>
  <si>
    <t>Уголок для спортинвентаря</t>
  </si>
  <si>
    <t>400х400х1100</t>
  </si>
  <si>
    <t>1100х340х1100</t>
  </si>
  <si>
    <t>332х330х1400</t>
  </si>
  <si>
    <t>648х330х1400</t>
  </si>
  <si>
    <t>964х330х1400</t>
  </si>
  <si>
    <t>1280х330х1400</t>
  </si>
  <si>
    <t>1596х330х1400</t>
  </si>
  <si>
    <t>1912х330х1400</t>
  </si>
  <si>
    <t>Цена на Шкафы для одежды указана с учетом детских скамеек</t>
  </si>
  <si>
    <t>Высота металлокаркаса 230мм (высота от пола до каркаса 205мм)</t>
  </si>
  <si>
    <t>комплект - 5 шт.</t>
  </si>
  <si>
    <t>1200х1248х510</t>
  </si>
  <si>
    <t>1400х1248х511</t>
  </si>
  <si>
    <t>Ложе: ДВП на ламелях из ЛДСП</t>
  </si>
  <si>
    <t>С тумбой</t>
  </si>
  <si>
    <t>С надставкой</t>
  </si>
  <si>
    <t xml:space="preserve">Ящик </t>
  </si>
  <si>
    <t>Металлокаркас цельносварной</t>
  </si>
  <si>
    <t>№4-6: 1000-1180-1360</t>
  </si>
  <si>
    <t>С вытяжным вентилятором</t>
  </si>
  <si>
    <t>Вешалка напольная</t>
  </si>
  <si>
    <t>1462х640х750</t>
  </si>
  <si>
    <t>1512х640х852</t>
  </si>
  <si>
    <t>1512х640х852\1756</t>
  </si>
  <si>
    <t>диметр раковины 150мм</t>
  </si>
  <si>
    <t xml:space="preserve">для кабинета химии (пластик) </t>
  </si>
  <si>
    <t>задняя стенка ЛДСП</t>
  </si>
  <si>
    <t>Нижняя тумба сквозная</t>
  </si>
  <si>
    <t>Об.3</t>
  </si>
  <si>
    <t>Двери с обеих сторон</t>
  </si>
  <si>
    <t>Шкаф - купе</t>
  </si>
  <si>
    <t>Внимание!!! Цветопередача может меняться в зависимости от настройки монитора</t>
  </si>
  <si>
    <t>на колесах</t>
  </si>
  <si>
    <t>Регулируемые опоры</t>
  </si>
  <si>
    <t>универсальная</t>
  </si>
  <si>
    <t>крепеж: уголки</t>
  </si>
  <si>
    <t>При комбинации цветов (красный, желтый, синий, зеленый) фасадной части изделия цена увеличивается на 10%</t>
  </si>
  <si>
    <r>
      <rPr>
        <u/>
        <sz val="6"/>
        <color theme="1"/>
        <rFont val="Arial"/>
        <family val="2"/>
        <charset val="204"/>
      </rPr>
      <t>Цвет лдсп по умолчанию БУК.  Толщина лдсп по умолчанию 16 мм. (Столешницы и топы возможно изготовить из лдсп 22 мм.) Толщина кромки пвх по умолчанию  0,4 мм. Возможно использовать кромку пвх 2 мм</t>
    </r>
    <r>
      <rPr>
        <u/>
        <sz val="5"/>
        <color theme="1"/>
        <rFont val="Arial"/>
        <family val="2"/>
        <charset val="204"/>
      </rPr>
      <t>. Металлокаркас квадратного сечения 25*25*1,5. Металлокаркас круглого сечения 18*18*1,5. Цвет каркаса по умолчанию светло-серый. Другие цвета металлокаркаса по согласованию.</t>
    </r>
  </si>
  <si>
    <r>
      <rPr>
        <b/>
        <u/>
        <sz val="7"/>
        <color theme="1"/>
        <rFont val="Arial"/>
        <family val="2"/>
        <charset val="204"/>
      </rPr>
      <t>Трансформер</t>
    </r>
    <r>
      <rPr>
        <u/>
        <sz val="7"/>
        <color theme="1"/>
        <rFont val="Arial"/>
        <family val="2"/>
        <charset val="204"/>
      </rPr>
      <t xml:space="preserve"> рег. угол</t>
    </r>
  </si>
  <si>
    <r>
      <t xml:space="preserve">растущий </t>
    </r>
    <r>
      <rPr>
        <b/>
        <u/>
        <sz val="7"/>
        <color theme="1"/>
        <rFont val="Arial"/>
        <family val="2"/>
        <charset val="204"/>
      </rPr>
      <t>Трансформер</t>
    </r>
  </si>
  <si>
    <t>Дополнительное ребро жесткости на болтовых стяжках</t>
  </si>
  <si>
    <t>Кабель - канал с отверстием</t>
  </si>
  <si>
    <t>С.дт.6.1 (р)</t>
  </si>
  <si>
    <t>Стол растущий, с ящиками</t>
  </si>
  <si>
    <t>алюминиевая рамка</t>
  </si>
  <si>
    <t>Выдвижные ящики на стол ученический</t>
  </si>
  <si>
    <t>Фанера</t>
  </si>
  <si>
    <t>Цветное ЛДСП</t>
  </si>
  <si>
    <t>800х480х800</t>
  </si>
  <si>
    <t>904х160х608 (3 ячейки)</t>
  </si>
  <si>
    <t>904х160х608 (4 ячейки)</t>
  </si>
  <si>
    <t>Светофор: 480х160х920</t>
  </si>
  <si>
    <t>640х160х610</t>
  </si>
  <si>
    <t>Куб 320х160х320</t>
  </si>
  <si>
    <t>Домик 320х160х500</t>
  </si>
  <si>
    <t>1210*500*1050</t>
  </si>
  <si>
    <t>1210*500*1270</t>
  </si>
  <si>
    <t>1210*500*1500</t>
  </si>
  <si>
    <t>450*450*2000</t>
  </si>
  <si>
    <t>3000х1000</t>
  </si>
  <si>
    <t>3600х1200</t>
  </si>
  <si>
    <t>1500х1000</t>
  </si>
  <si>
    <t>Ронделла для детских столов</t>
  </si>
  <si>
    <t>400*160*400</t>
  </si>
  <si>
    <t>800*160*400</t>
  </si>
  <si>
    <t>600*160*200</t>
  </si>
  <si>
    <t>800*160*200</t>
  </si>
  <si>
    <t>400*160*150</t>
  </si>
  <si>
    <t>800*160*150</t>
  </si>
  <si>
    <t>874х250х1204</t>
  </si>
  <si>
    <t>874х250х632</t>
  </si>
  <si>
    <t>1000х280х846</t>
  </si>
  <si>
    <t>1000*1200</t>
  </si>
  <si>
    <t>1000х1500</t>
  </si>
  <si>
    <t>каркас разборный</t>
  </si>
  <si>
    <t>(стол пластик, табуреты-ЛДСП)</t>
  </si>
  <si>
    <t>(стол пластик, скамьи-ЛДСП)</t>
  </si>
  <si>
    <t>500*100*750</t>
  </si>
  <si>
    <t>Т.дт.2.2</t>
  </si>
  <si>
    <t>Крючок 2 шт. + саморез 2 шт.</t>
  </si>
  <si>
    <t>с пюпитром (ЛДСП)</t>
  </si>
  <si>
    <t>можно сделать Л-образный каркас</t>
  </si>
  <si>
    <t>растущий (можно сделать    Т-образный каркас)</t>
  </si>
  <si>
    <t>К.С.А.5</t>
  </si>
  <si>
    <t>Каркас скамьи</t>
  </si>
  <si>
    <t>К.С.А.8</t>
  </si>
  <si>
    <t>1095*244*№</t>
  </si>
  <si>
    <t>1290*280*250</t>
  </si>
  <si>
    <t>Столы</t>
  </si>
  <si>
    <t>Тумбы</t>
  </si>
  <si>
    <t>Шкафы</t>
  </si>
  <si>
    <t>(№: 3, 4, 5, 6, 7)</t>
  </si>
  <si>
    <t>№: 2-4; 3-5; 4-6; 5-7</t>
  </si>
  <si>
    <t>1-местный (№: 3, 4, 5, 6, 7)</t>
  </si>
  <si>
    <t>2-местный (№: 3, 4, 5, 6, 7)</t>
  </si>
  <si>
    <t xml:space="preserve"> 1-местный (№: 2-4; 3-5; 4-6; 5-7)</t>
  </si>
  <si>
    <t xml:space="preserve"> 1-местный (№: 3, 4, 5, 6, 7)</t>
  </si>
  <si>
    <t>1-местный (№: 2-4; 3-5; 4-6; 5-7)</t>
  </si>
  <si>
    <t>2-местный (№: 2-4; 3-5; 4-6; 5-7)</t>
  </si>
  <si>
    <t>1-местный (№: 2-4;3-5;4-6;5-7)</t>
  </si>
  <si>
    <t>2-местный (№: 5, 6, 7)</t>
  </si>
  <si>
    <t>2-местный(№:5,6,7</t>
  </si>
  <si>
    <t xml:space="preserve"> 2-местный (№: 3, 4, 5, 6, 7)</t>
  </si>
  <si>
    <t xml:space="preserve"> (№: 2-4; 3-5; 4-6; 5-7)</t>
  </si>
  <si>
    <t>(№:3,4,5,6,7)</t>
  </si>
  <si>
    <t>ЛДСП (№: 3, 4, 5, 6, 7)</t>
  </si>
  <si>
    <t>600*580*1700</t>
  </si>
  <si>
    <r>
      <t xml:space="preserve">Радиусы на столешнице </t>
    </r>
    <r>
      <rPr>
        <b/>
        <sz val="7"/>
        <color theme="1"/>
        <rFont val="Arial"/>
        <family val="2"/>
        <charset val="204"/>
      </rPr>
      <t>1 угол</t>
    </r>
  </si>
  <si>
    <t>В2.2 с тумбой</t>
  </si>
  <si>
    <t>1585*400*1700</t>
  </si>
  <si>
    <t>с подставкой для зонтов</t>
  </si>
  <si>
    <t>В.7</t>
  </si>
  <si>
    <t>С.п.13</t>
  </si>
  <si>
    <t>(правый/левый)</t>
  </si>
  <si>
    <t>Стол эргономичный</t>
  </si>
  <si>
    <t>1400*900*750</t>
  </si>
  <si>
    <t>1600*900*750</t>
  </si>
  <si>
    <t>В1.1 "д2020" с тумбой</t>
  </si>
  <si>
    <t>Розетка двойная с заземлением и шторками</t>
  </si>
  <si>
    <t>Розетка двойная</t>
  </si>
  <si>
    <t>подвесы +200р</t>
  </si>
  <si>
    <t>гнутоклееная</t>
  </si>
  <si>
    <t>1200*300*16</t>
  </si>
  <si>
    <t>ЦВЕТА ЛДСП (так же есть Пепельный и Ольха)</t>
  </si>
  <si>
    <t>3075 / 3660</t>
  </si>
  <si>
    <t>250р./485р.</t>
  </si>
  <si>
    <t>205р./390р.</t>
  </si>
  <si>
    <t>ПВХ 2мм (метр кромки*60р) / ЛДСП 22мм (м2*350р)</t>
  </si>
  <si>
    <r>
      <rPr>
        <b/>
        <sz val="8"/>
        <rFont val="Arial"/>
        <family val="2"/>
        <charset val="204"/>
      </rPr>
      <t>Поставщик ООО «КОРПОРАЦИЯ ДЕТИ»</t>
    </r>
    <r>
      <rPr>
        <sz val="8"/>
        <rFont val="Arial"/>
        <family val="2"/>
        <charset val="204"/>
      </rPr>
      <t xml:space="preserve">
Счастливые дети – счастливое будущее!
Комплексное снабжение образовательных учреждений по всей РФ
Головной офис: г. Екатеринбург, ул. Московская 287
Эл.адрес: detstvo-ekat@mail.ru
Телефоны:+7 (800) 775-37-70 (звонок по РФ бесплатный)
Наш сайт http://detstvo-ekat.ru/</t>
    </r>
  </si>
  <si>
    <r>
      <rPr>
        <b/>
        <sz val="8"/>
        <color theme="1"/>
        <rFont val="Arial"/>
        <family val="2"/>
        <charset val="204"/>
      </rPr>
      <t>Поставщик ООО «КОРПОРАЦИЯ ДЕТИ»</t>
    </r>
    <r>
      <rPr>
        <sz val="8"/>
        <color theme="1"/>
        <rFont val="Arial"/>
        <family val="2"/>
        <charset val="204"/>
      </rPr>
      <t xml:space="preserve">
Счастливые дети – счастливое будущее!
Комплексное снабжение образовательных учреждений по всей РФ
Головной офис: г. Екатеринбург, ул. Московская 287
Эл.адрес: detstvo-ekat@mail.ru
Телефоны:+7 (800) 775-37-70 (звонок по РФ бесплатный)
Наш сайт http://detstvo-ekat.ru/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</si>
</sst>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&quot;р.&quot;"/>
    <numFmt numFmtId="165" formatCode="#,##0&quot;р.&quot;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6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6"/>
      <color theme="1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sz val="7"/>
      <color theme="1"/>
      <name val="Arial"/>
      <family val="2"/>
      <charset val="204"/>
    </font>
    <font>
      <b/>
      <sz val="7"/>
      <color theme="1"/>
      <name val="Arial"/>
      <family val="2"/>
      <charset val="204"/>
    </font>
    <font>
      <b/>
      <u/>
      <sz val="7"/>
      <color theme="1"/>
      <name val="Arial"/>
      <family val="2"/>
      <charset val="204"/>
    </font>
    <font>
      <u/>
      <sz val="7"/>
      <color theme="1"/>
      <name val="Arial"/>
      <family val="2"/>
      <charset val="204"/>
    </font>
    <font>
      <u/>
      <sz val="6"/>
      <color theme="1"/>
      <name val="Arial"/>
      <family val="2"/>
      <charset val="204"/>
    </font>
    <font>
      <u/>
      <sz val="5"/>
      <color theme="1"/>
      <name val="Arial"/>
      <family val="2"/>
      <charset val="204"/>
    </font>
    <font>
      <b/>
      <u/>
      <sz val="6"/>
      <color theme="1"/>
      <name val="Arial"/>
      <family val="2"/>
      <charset val="204"/>
    </font>
    <font>
      <u/>
      <sz val="11"/>
      <color theme="1"/>
      <name val="Calibri"/>
      <family val="2"/>
      <scheme val="minor"/>
    </font>
    <font>
      <b/>
      <u/>
      <sz val="11"/>
      <color rgb="FFC00000"/>
      <name val="Arial"/>
      <family val="2"/>
      <charset val="204"/>
    </font>
    <font>
      <b/>
      <u/>
      <sz val="16"/>
      <color theme="1"/>
      <name val="Arial"/>
      <family val="2"/>
      <charset val="204"/>
    </font>
    <font>
      <b/>
      <u/>
      <sz val="10"/>
      <color rgb="FFFF0000"/>
      <name val="Arial"/>
      <family val="2"/>
      <charset val="204"/>
    </font>
    <font>
      <b/>
      <u/>
      <sz val="8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scheme val="minor"/>
    </font>
    <font>
      <b/>
      <u/>
      <sz val="7"/>
      <color theme="1"/>
      <name val="Calibri"/>
      <family val="2"/>
      <charset val="204"/>
      <scheme val="minor"/>
    </font>
    <font>
      <b/>
      <u/>
      <sz val="7"/>
      <color theme="1"/>
      <name val="Calibri"/>
      <family val="2"/>
      <scheme val="minor"/>
    </font>
    <font>
      <b/>
      <sz val="6"/>
      <color theme="1"/>
      <name val="Arial"/>
      <family val="2"/>
      <charset val="204"/>
    </font>
    <font>
      <sz val="5"/>
      <color theme="1"/>
      <name val="Arial"/>
      <family val="2"/>
      <charset val="204"/>
    </font>
    <font>
      <b/>
      <sz val="7"/>
      <name val="Arial"/>
      <family val="2"/>
      <charset val="204"/>
    </font>
    <font>
      <b/>
      <sz val="11"/>
      <color theme="1"/>
      <name val="Calibri"/>
      <family val="2"/>
      <scheme val="minor"/>
    </font>
    <font>
      <b/>
      <sz val="5.5"/>
      <color theme="1"/>
      <name val="Arial"/>
      <family val="2"/>
      <charset val="204"/>
    </font>
    <font>
      <u/>
      <sz val="6.5"/>
      <color theme="1"/>
      <name val="Arial"/>
      <family val="2"/>
      <charset val="204"/>
    </font>
    <font>
      <b/>
      <sz val="14"/>
      <color rgb="FF92D050"/>
      <name val="Arial"/>
      <family val="2"/>
      <charset val="204"/>
    </font>
    <font>
      <b/>
      <sz val="14"/>
      <color rgb="FF92D050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u/>
      <sz val="8"/>
      <color theme="10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D889"/>
        <bgColor indexed="64"/>
      </patternFill>
    </fill>
  </fills>
  <borders count="55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theme="1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thin">
        <color theme="0" tint="-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0" tint="-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0" tint="-0.499984740745262"/>
      </left>
      <right style="thin">
        <color theme="1" tint="0.499984740745262"/>
      </right>
      <top/>
      <bottom/>
      <diagonal/>
    </border>
    <border>
      <left/>
      <right style="thin">
        <color theme="0" tint="-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indexed="64"/>
      </bottom>
      <diagonal/>
    </border>
    <border>
      <left/>
      <right/>
      <top style="thin">
        <color theme="1" tint="0.499984740745262"/>
      </top>
      <bottom style="thin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indexed="64"/>
      </bottom>
      <diagonal/>
    </border>
    <border>
      <left style="thin">
        <color theme="1" tint="0.499984740745262"/>
      </left>
      <right/>
      <top style="thin">
        <color indexed="64"/>
      </top>
      <bottom/>
      <diagonal/>
    </border>
    <border>
      <left/>
      <right style="thin">
        <color theme="1" tint="0.499984740745262"/>
      </right>
      <top style="thin">
        <color indexed="64"/>
      </top>
      <bottom/>
      <diagonal/>
    </border>
    <border>
      <left/>
      <right style="thin">
        <color theme="1" tint="0.499984740745262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/>
      <top/>
      <bottom style="thin">
        <color indexed="64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/>
    <xf numFmtId="0" fontId="2" fillId="0" borderId="0"/>
    <xf numFmtId="0" fontId="1" fillId="0" borderId="0"/>
  </cellStyleXfs>
  <cellXfs count="572">
    <xf numFmtId="0" fontId="0" fillId="0" borderId="0" xfId="0"/>
    <xf numFmtId="0" fontId="3" fillId="0" borderId="0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7" fillId="0" borderId="0" xfId="2" applyFont="1" applyBorder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7" fillId="0" borderId="0" xfId="2" applyFont="1" applyFill="1" applyBorder="1" applyAlignment="1">
      <alignment horizontal="center" vertical="center"/>
    </xf>
    <xf numFmtId="0" fontId="6" fillId="0" borderId="0" xfId="2" applyFont="1" applyBorder="1" applyAlignment="1">
      <alignment horizontal="center" vertical="center"/>
    </xf>
    <xf numFmtId="0" fontId="7" fillId="0" borderId="24" xfId="2" applyFont="1" applyBorder="1" applyAlignment="1">
      <alignment horizontal="center" vertical="center"/>
    </xf>
    <xf numFmtId="0" fontId="6" fillId="0" borderId="17" xfId="2" applyFont="1" applyBorder="1" applyAlignment="1">
      <alignment horizontal="center" vertical="center"/>
    </xf>
    <xf numFmtId="0" fontId="7" fillId="0" borderId="25" xfId="2" applyFont="1" applyBorder="1" applyAlignment="1">
      <alignment horizontal="center" vertical="center"/>
    </xf>
    <xf numFmtId="0" fontId="6" fillId="0" borderId="0" xfId="2" applyFont="1" applyBorder="1" applyAlignment="1">
      <alignment horizontal="center" vertical="center"/>
    </xf>
    <xf numFmtId="0" fontId="6" fillId="0" borderId="17" xfId="2" applyFont="1" applyBorder="1" applyAlignment="1">
      <alignment horizontal="center" vertical="center"/>
    </xf>
    <xf numFmtId="0" fontId="6" fillId="0" borderId="0" xfId="2" applyFont="1" applyFill="1" applyBorder="1" applyAlignment="1">
      <alignment horizontal="center" vertical="center"/>
    </xf>
    <xf numFmtId="0" fontId="6" fillId="0" borderId="0" xfId="2" applyFont="1" applyFill="1" applyAlignment="1">
      <alignment horizontal="center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11" xfId="0" applyFont="1" applyBorder="1" applyAlignment="1">
      <alignment vertical="center"/>
    </xf>
    <xf numFmtId="0" fontId="8" fillId="0" borderId="0" xfId="2" applyFont="1" applyAlignment="1">
      <alignment horizontal="center" vertical="center"/>
    </xf>
    <xf numFmtId="0" fontId="9" fillId="0" borderId="24" xfId="2" applyFont="1" applyBorder="1" applyAlignment="1">
      <alignment horizontal="center" vertical="center"/>
    </xf>
    <xf numFmtId="0" fontId="9" fillId="0" borderId="0" xfId="2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/>
    </xf>
    <xf numFmtId="0" fontId="8" fillId="0" borderId="17" xfId="2" applyFont="1" applyBorder="1" applyAlignment="1">
      <alignment horizontal="center" vertical="center"/>
    </xf>
    <xf numFmtId="0" fontId="9" fillId="0" borderId="25" xfId="2" applyFont="1" applyBorder="1" applyAlignment="1">
      <alignment horizontal="center" vertical="center"/>
    </xf>
    <xf numFmtId="0" fontId="8" fillId="0" borderId="0" xfId="2" applyFont="1" applyFill="1" applyAlignment="1">
      <alignment horizontal="center" vertical="center"/>
    </xf>
    <xf numFmtId="0" fontId="8" fillId="0" borderId="12" xfId="2" applyFont="1" applyBorder="1" applyAlignment="1">
      <alignment horizontal="center" vertical="center"/>
    </xf>
    <xf numFmtId="0" fontId="8" fillId="0" borderId="0" xfId="2" applyFont="1" applyFill="1" applyBorder="1" applyAlignment="1">
      <alignment horizontal="center" vertical="center"/>
    </xf>
    <xf numFmtId="0" fontId="8" fillId="0" borderId="0" xfId="2" applyFont="1" applyAlignment="1">
      <alignment horizontal="right" vertical="center"/>
    </xf>
    <xf numFmtId="0" fontId="8" fillId="0" borderId="0" xfId="2" applyFont="1" applyBorder="1" applyAlignment="1">
      <alignment vertical="center"/>
    </xf>
    <xf numFmtId="0" fontId="8" fillId="0" borderId="0" xfId="2" applyFont="1" applyBorder="1" applyAlignment="1">
      <alignment horizontal="right" vertical="center"/>
    </xf>
    <xf numFmtId="0" fontId="8" fillId="0" borderId="12" xfId="2" applyFont="1" applyBorder="1" applyAlignment="1">
      <alignment horizontal="right" vertical="center"/>
    </xf>
    <xf numFmtId="0" fontId="8" fillId="0" borderId="0" xfId="2" applyFont="1" applyFill="1" applyBorder="1" applyAlignment="1">
      <alignment horizontal="right" vertical="center"/>
    </xf>
    <xf numFmtId="0" fontId="8" fillId="0" borderId="12" xfId="2" applyFont="1" applyBorder="1" applyAlignment="1">
      <alignment horizontal="left" vertical="center"/>
    </xf>
    <xf numFmtId="0" fontId="8" fillId="0" borderId="0" xfId="2" applyFont="1" applyBorder="1" applyAlignment="1">
      <alignment horizontal="left" vertical="center"/>
    </xf>
    <xf numFmtId="0" fontId="8" fillId="0" borderId="0" xfId="2" applyFont="1" applyAlignment="1">
      <alignment horizontal="left" vertical="center"/>
    </xf>
    <xf numFmtId="0" fontId="8" fillId="0" borderId="0" xfId="2" applyFont="1" applyFill="1" applyBorder="1" applyAlignment="1">
      <alignment horizontal="left" vertical="center"/>
    </xf>
    <xf numFmtId="0" fontId="8" fillId="0" borderId="0" xfId="2" applyFont="1" applyFill="1" applyBorder="1" applyAlignment="1">
      <alignment vertical="center"/>
    </xf>
    <xf numFmtId="0" fontId="8" fillId="0" borderId="0" xfId="2" applyFont="1" applyBorder="1" applyAlignment="1">
      <alignment horizontal="right" vertical="center"/>
    </xf>
    <xf numFmtId="0" fontId="3" fillId="0" borderId="5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8" fillId="0" borderId="6" xfId="0" applyFont="1" applyBorder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9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9" fillId="0" borderId="6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/>
    </xf>
    <xf numFmtId="0" fontId="8" fillId="0" borderId="0" xfId="2" applyFont="1" applyBorder="1" applyAlignment="1">
      <alignment horizontal="left" vertical="center"/>
    </xf>
    <xf numFmtId="0" fontId="11" fillId="0" borderId="0" xfId="0" applyFont="1" applyAlignment="1">
      <alignment vertical="center"/>
    </xf>
    <xf numFmtId="0" fontId="11" fillId="0" borderId="6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12" xfId="0" applyFont="1" applyBorder="1" applyAlignment="1">
      <alignment vertical="center"/>
    </xf>
    <xf numFmtId="0" fontId="11" fillId="0" borderId="0" xfId="0" applyFont="1" applyBorder="1" applyAlignment="1">
      <alignment horizontal="right" vertical="center"/>
    </xf>
    <xf numFmtId="0" fontId="11" fillId="0" borderId="34" xfId="0" applyFont="1" applyBorder="1" applyAlignment="1">
      <alignment vertical="center"/>
    </xf>
    <xf numFmtId="0" fontId="12" fillId="0" borderId="9" xfId="0" applyFont="1" applyBorder="1" applyAlignment="1">
      <alignment vertical="center"/>
    </xf>
    <xf numFmtId="0" fontId="11" fillId="0" borderId="40" xfId="0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1" fillId="0" borderId="0" xfId="0" applyFont="1" applyBorder="1" applyAlignment="1">
      <alignment horizontal="left" vertical="center"/>
    </xf>
    <xf numFmtId="0" fontId="12" fillId="0" borderId="7" xfId="0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7" fillId="0" borderId="6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1" fillId="0" borderId="11" xfId="0" applyFont="1" applyBorder="1" applyAlignment="1">
      <alignment vertical="center"/>
    </xf>
    <xf numFmtId="0" fontId="11" fillId="0" borderId="36" xfId="0" applyFont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35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1" fillId="0" borderId="0" xfId="2" applyFont="1" applyBorder="1" applyAlignment="1">
      <alignment horizontal="center" vertical="center"/>
    </xf>
    <xf numFmtId="0" fontId="11" fillId="0" borderId="13" xfId="2" applyFont="1" applyBorder="1" applyAlignment="1">
      <alignment horizontal="center" vertical="center"/>
    </xf>
    <xf numFmtId="0" fontId="11" fillId="0" borderId="12" xfId="2" applyFont="1" applyBorder="1" applyAlignment="1">
      <alignment horizontal="center" vertical="center"/>
    </xf>
    <xf numFmtId="0" fontId="11" fillId="0" borderId="0" xfId="2" applyFont="1" applyBorder="1" applyAlignment="1">
      <alignment horizontal="right" vertical="center"/>
    </xf>
    <xf numFmtId="0" fontId="11" fillId="0" borderId="12" xfId="2" applyFont="1" applyBorder="1" applyAlignment="1">
      <alignment horizontal="right" vertical="center"/>
    </xf>
    <xf numFmtId="0" fontId="11" fillId="0" borderId="34" xfId="2" applyFont="1" applyBorder="1" applyAlignment="1">
      <alignment horizontal="center" vertical="center"/>
    </xf>
    <xf numFmtId="0" fontId="11" fillId="0" borderId="16" xfId="2" applyFont="1" applyBorder="1" applyAlignment="1">
      <alignment horizontal="center" vertical="center"/>
    </xf>
    <xf numFmtId="0" fontId="11" fillId="0" borderId="17" xfId="2" applyFont="1" applyBorder="1" applyAlignment="1">
      <alignment horizontal="center" vertical="center"/>
    </xf>
    <xf numFmtId="0" fontId="11" fillId="0" borderId="18" xfId="2" applyFont="1" applyBorder="1" applyAlignment="1">
      <alignment horizontal="center" vertical="center"/>
    </xf>
    <xf numFmtId="0" fontId="11" fillId="0" borderId="0" xfId="2" applyFont="1" applyBorder="1" applyAlignment="1">
      <alignment vertical="center"/>
    </xf>
    <xf numFmtId="0" fontId="11" fillId="0" borderId="12" xfId="2" applyFont="1" applyBorder="1" applyAlignment="1">
      <alignment vertical="center"/>
    </xf>
    <xf numFmtId="0" fontId="11" fillId="0" borderId="34" xfId="2" applyFont="1" applyBorder="1" applyAlignment="1">
      <alignment vertical="center"/>
    </xf>
    <xf numFmtId="0" fontId="11" fillId="2" borderId="0" xfId="2" applyFont="1" applyFill="1" applyBorder="1" applyAlignment="1">
      <alignment horizontal="center" vertical="center"/>
    </xf>
    <xf numFmtId="0" fontId="11" fillId="0" borderId="34" xfId="2" applyFont="1" applyBorder="1" applyAlignment="1">
      <alignment horizontal="right" vertical="center"/>
    </xf>
    <xf numFmtId="0" fontId="11" fillId="0" borderId="6" xfId="2" applyFont="1" applyBorder="1" applyAlignment="1">
      <alignment horizontal="right" vertical="center"/>
    </xf>
    <xf numFmtId="0" fontId="11" fillId="0" borderId="7" xfId="2" applyFont="1" applyBorder="1" applyAlignment="1">
      <alignment horizontal="right" vertical="center"/>
    </xf>
    <xf numFmtId="0" fontId="11" fillId="0" borderId="13" xfId="2" applyFont="1" applyBorder="1" applyAlignment="1">
      <alignment horizontal="right" vertical="center"/>
    </xf>
    <xf numFmtId="0" fontId="11" fillId="0" borderId="6" xfId="2" applyFont="1" applyBorder="1" applyAlignment="1">
      <alignment horizontal="center" vertical="center"/>
    </xf>
    <xf numFmtId="0" fontId="11" fillId="0" borderId="7" xfId="2" applyFont="1" applyBorder="1" applyAlignment="1">
      <alignment horizontal="center" vertical="center"/>
    </xf>
    <xf numFmtId="0" fontId="11" fillId="0" borderId="0" xfId="2" applyFont="1" applyBorder="1" applyAlignment="1">
      <alignment horizontal="left" vertical="center"/>
    </xf>
    <xf numFmtId="0" fontId="11" fillId="0" borderId="13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1" fillId="0" borderId="34" xfId="2" applyFont="1" applyBorder="1" applyAlignment="1">
      <alignment horizontal="left" vertical="center"/>
    </xf>
    <xf numFmtId="0" fontId="11" fillId="0" borderId="6" xfId="2" applyFont="1" applyBorder="1" applyAlignment="1">
      <alignment horizontal="left" vertical="center"/>
    </xf>
    <xf numFmtId="0" fontId="11" fillId="0" borderId="7" xfId="2" applyFont="1" applyBorder="1" applyAlignment="1">
      <alignment horizontal="left" vertical="center"/>
    </xf>
    <xf numFmtId="0" fontId="11" fillId="0" borderId="25" xfId="2" applyFont="1" applyBorder="1" applyAlignment="1">
      <alignment horizontal="center" vertical="center"/>
    </xf>
    <xf numFmtId="0" fontId="11" fillId="0" borderId="16" xfId="2" applyFont="1" applyBorder="1" applyAlignment="1">
      <alignment vertical="center"/>
    </xf>
    <xf numFmtId="0" fontId="11" fillId="0" borderId="17" xfId="2" applyFont="1" applyBorder="1" applyAlignment="1">
      <alignment vertical="center"/>
    </xf>
    <xf numFmtId="0" fontId="11" fillId="0" borderId="18" xfId="2" applyFont="1" applyBorder="1" applyAlignment="1">
      <alignment vertical="center"/>
    </xf>
    <xf numFmtId="0" fontId="11" fillId="0" borderId="13" xfId="2" applyFont="1" applyBorder="1" applyAlignment="1">
      <alignment vertical="center"/>
    </xf>
    <xf numFmtId="0" fontId="7" fillId="0" borderId="0" xfId="3" applyFont="1" applyBorder="1" applyAlignment="1">
      <alignment horizontal="center" vertical="center"/>
    </xf>
    <xf numFmtId="0" fontId="6" fillId="0" borderId="0" xfId="3" applyFont="1" applyAlignment="1">
      <alignment horizontal="center" vertical="center"/>
    </xf>
    <xf numFmtId="0" fontId="7" fillId="0" borderId="0" xfId="3" applyFont="1" applyFill="1" applyBorder="1" applyAlignment="1">
      <alignment horizontal="center" vertical="center"/>
    </xf>
    <xf numFmtId="0" fontId="6" fillId="0" borderId="0" xfId="3" applyFont="1" applyBorder="1" applyAlignment="1">
      <alignment horizontal="center" vertical="center"/>
    </xf>
    <xf numFmtId="0" fontId="7" fillId="0" borderId="24" xfId="3" applyFont="1" applyBorder="1" applyAlignment="1">
      <alignment horizontal="center" vertical="center"/>
    </xf>
    <xf numFmtId="0" fontId="7" fillId="0" borderId="25" xfId="3" applyFont="1" applyBorder="1" applyAlignment="1">
      <alignment horizontal="center" vertical="center"/>
    </xf>
    <xf numFmtId="0" fontId="8" fillId="0" borderId="0" xfId="3" applyFont="1" applyBorder="1" applyAlignment="1">
      <alignment horizontal="center" vertical="center"/>
    </xf>
    <xf numFmtId="0" fontId="8" fillId="0" borderId="0" xfId="3" applyFont="1" applyAlignment="1">
      <alignment horizontal="center" vertical="center"/>
    </xf>
    <xf numFmtId="0" fontId="8" fillId="0" borderId="0" xfId="3" applyFont="1" applyAlignment="1">
      <alignment horizontal="right" vertical="center"/>
    </xf>
    <xf numFmtId="0" fontId="8" fillId="0" borderId="0" xfId="3" applyFont="1" applyBorder="1" applyAlignment="1">
      <alignment horizontal="right" vertical="center"/>
    </xf>
    <xf numFmtId="0" fontId="8" fillId="0" borderId="0" xfId="3" applyFont="1" applyBorder="1" applyAlignment="1">
      <alignment horizontal="left" vertical="center"/>
    </xf>
    <xf numFmtId="0" fontId="8" fillId="0" borderId="0" xfId="3" applyFont="1" applyAlignment="1">
      <alignment horizontal="left" vertical="center"/>
    </xf>
    <xf numFmtId="0" fontId="8" fillId="0" borderId="6" xfId="3" applyFont="1" applyBorder="1" applyAlignment="1">
      <alignment horizontal="left" vertical="center"/>
    </xf>
    <xf numFmtId="0" fontId="8" fillId="0" borderId="7" xfId="3" applyFont="1" applyBorder="1" applyAlignment="1">
      <alignment horizontal="left" vertical="center"/>
    </xf>
    <xf numFmtId="164" fontId="11" fillId="0" borderId="0" xfId="0" applyNumberFormat="1" applyFont="1" applyAlignment="1">
      <alignment vertical="center"/>
    </xf>
    <xf numFmtId="164" fontId="11" fillId="0" borderId="6" xfId="0" applyNumberFormat="1" applyFont="1" applyBorder="1" applyAlignment="1">
      <alignment vertical="center"/>
    </xf>
    <xf numFmtId="164" fontId="11" fillId="0" borderId="0" xfId="0" applyNumberFormat="1" applyFont="1" applyBorder="1" applyAlignment="1">
      <alignment vertical="center"/>
    </xf>
    <xf numFmtId="164" fontId="11" fillId="0" borderId="7" xfId="0" applyNumberFormat="1" applyFont="1" applyBorder="1" applyAlignment="1">
      <alignment vertical="center"/>
    </xf>
    <xf numFmtId="165" fontId="11" fillId="0" borderId="0" xfId="0" applyNumberFormat="1" applyFont="1" applyBorder="1" applyAlignment="1">
      <alignment vertical="center" wrapText="1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vertical="center"/>
    </xf>
    <xf numFmtId="165" fontId="11" fillId="0" borderId="13" xfId="0" applyNumberFormat="1" applyFont="1" applyBorder="1" applyAlignment="1">
      <alignment horizontal="center" vertical="center"/>
    </xf>
    <xf numFmtId="165" fontId="11" fillId="0" borderId="0" xfId="0" applyNumberFormat="1" applyFont="1" applyBorder="1" applyAlignment="1">
      <alignment horizontal="center" vertical="center"/>
    </xf>
    <xf numFmtId="165" fontId="11" fillId="0" borderId="12" xfId="0" applyNumberFormat="1" applyFont="1" applyBorder="1" applyAlignment="1">
      <alignment horizontal="center" vertical="center"/>
    </xf>
    <xf numFmtId="165" fontId="11" fillId="0" borderId="6" xfId="0" applyNumberFormat="1" applyFont="1" applyBorder="1" applyAlignment="1">
      <alignment horizontal="center" vertical="center"/>
    </xf>
    <xf numFmtId="165" fontId="11" fillId="0" borderId="7" xfId="0" applyNumberFormat="1" applyFont="1" applyBorder="1" applyAlignment="1">
      <alignment horizontal="center" vertical="center"/>
    </xf>
    <xf numFmtId="165" fontId="11" fillId="0" borderId="6" xfId="0" applyNumberFormat="1" applyFont="1" applyBorder="1" applyAlignment="1">
      <alignment vertical="center"/>
    </xf>
    <xf numFmtId="165" fontId="11" fillId="0" borderId="0" xfId="0" applyNumberFormat="1" applyFont="1" applyBorder="1" applyAlignment="1">
      <alignment vertical="center"/>
    </xf>
    <xf numFmtId="165" fontId="11" fillId="0" borderId="7" xfId="0" applyNumberFormat="1" applyFont="1" applyBorder="1" applyAlignment="1">
      <alignment vertical="center"/>
    </xf>
    <xf numFmtId="165" fontId="11" fillId="0" borderId="13" xfId="0" applyNumberFormat="1" applyFont="1" applyBorder="1" applyAlignment="1">
      <alignment vertical="center"/>
    </xf>
    <xf numFmtId="165" fontId="11" fillId="2" borderId="0" xfId="0" applyNumberFormat="1" applyFont="1" applyFill="1" applyAlignment="1">
      <alignment horizontal="center" vertical="center"/>
    </xf>
    <xf numFmtId="165" fontId="11" fillId="2" borderId="0" xfId="0" applyNumberFormat="1" applyFont="1" applyFill="1" applyAlignment="1">
      <alignment vertical="center"/>
    </xf>
    <xf numFmtId="165" fontId="11" fillId="0" borderId="6" xfId="0" applyNumberFormat="1" applyFont="1" applyBorder="1" applyAlignment="1">
      <alignment horizontal="right" vertical="center"/>
    </xf>
    <xf numFmtId="165" fontId="11" fillId="0" borderId="0" xfId="0" applyNumberFormat="1" applyFont="1" applyBorder="1" applyAlignment="1">
      <alignment horizontal="right" vertical="center"/>
    </xf>
    <xf numFmtId="165" fontId="11" fillId="0" borderId="7" xfId="0" applyNumberFormat="1" applyFont="1" applyBorder="1" applyAlignment="1">
      <alignment horizontal="right" vertical="center"/>
    </xf>
    <xf numFmtId="165" fontId="11" fillId="0" borderId="0" xfId="0" applyNumberFormat="1" applyFont="1" applyFill="1" applyAlignment="1">
      <alignment horizontal="center" vertical="center"/>
    </xf>
    <xf numFmtId="165" fontId="11" fillId="0" borderId="0" xfId="0" applyNumberFormat="1" applyFont="1" applyFill="1" applyAlignment="1">
      <alignment vertical="center"/>
    </xf>
    <xf numFmtId="165" fontId="11" fillId="0" borderId="6" xfId="0" applyNumberFormat="1" applyFont="1" applyFill="1" applyBorder="1" applyAlignment="1">
      <alignment vertical="center"/>
    </xf>
    <xf numFmtId="165" fontId="11" fillId="0" borderId="0" xfId="0" applyNumberFormat="1" applyFont="1" applyFill="1" applyBorder="1" applyAlignment="1">
      <alignment vertical="center"/>
    </xf>
    <xf numFmtId="165" fontId="11" fillId="0" borderId="7" xfId="0" applyNumberFormat="1" applyFont="1" applyFill="1" applyBorder="1" applyAlignment="1">
      <alignment vertical="center"/>
    </xf>
    <xf numFmtId="165" fontId="11" fillId="0" borderId="6" xfId="0" applyNumberFormat="1" applyFont="1" applyFill="1" applyBorder="1" applyAlignment="1">
      <alignment horizontal="center" vertical="center"/>
    </xf>
    <xf numFmtId="165" fontId="11" fillId="0" borderId="0" xfId="0" applyNumberFormat="1" applyFont="1" applyFill="1" applyBorder="1" applyAlignment="1">
      <alignment horizontal="center" vertical="center"/>
    </xf>
    <xf numFmtId="165" fontId="11" fillId="0" borderId="7" xfId="0" applyNumberFormat="1" applyFont="1" applyFill="1" applyBorder="1" applyAlignment="1">
      <alignment horizontal="center" vertical="center"/>
    </xf>
    <xf numFmtId="165" fontId="11" fillId="0" borderId="13" xfId="0" applyNumberFormat="1" applyFont="1" applyFill="1" applyBorder="1" applyAlignment="1">
      <alignment vertical="center"/>
    </xf>
    <xf numFmtId="165" fontId="11" fillId="0" borderId="17" xfId="0" applyNumberFormat="1" applyFont="1" applyFill="1" applyBorder="1" applyAlignment="1">
      <alignment vertical="center"/>
    </xf>
    <xf numFmtId="165" fontId="11" fillId="0" borderId="28" xfId="0" applyNumberFormat="1" applyFont="1" applyFill="1" applyBorder="1" applyAlignment="1">
      <alignment vertical="center"/>
    </xf>
    <xf numFmtId="165" fontId="10" fillId="2" borderId="0" xfId="0" applyNumberFormat="1" applyFont="1" applyFill="1" applyAlignment="1">
      <alignment vertical="center"/>
    </xf>
    <xf numFmtId="164" fontId="10" fillId="0" borderId="0" xfId="0" applyNumberFormat="1" applyFont="1" applyFill="1" applyBorder="1" applyAlignment="1">
      <alignment horizontal="center" vertical="center"/>
    </xf>
    <xf numFmtId="164" fontId="15" fillId="0" borderId="6" xfId="0" applyNumberFormat="1" applyFont="1" applyBorder="1"/>
    <xf numFmtId="164" fontId="15" fillId="0" borderId="0" xfId="0" applyNumberFormat="1" applyFont="1" applyBorder="1"/>
    <xf numFmtId="164" fontId="15" fillId="0" borderId="7" xfId="0" applyNumberFormat="1" applyFont="1" applyBorder="1"/>
    <xf numFmtId="164" fontId="11" fillId="0" borderId="0" xfId="0" applyNumberFormat="1" applyFont="1" applyBorder="1"/>
    <xf numFmtId="164" fontId="15" fillId="0" borderId="1" xfId="0" applyNumberFormat="1" applyFont="1" applyBorder="1"/>
    <xf numFmtId="164" fontId="15" fillId="0" borderId="5" xfId="0" applyNumberFormat="1" applyFont="1" applyBorder="1"/>
    <xf numFmtId="164" fontId="10" fillId="0" borderId="40" xfId="0" applyNumberFormat="1" applyFont="1" applyBorder="1" applyAlignment="1">
      <alignment vertical="center"/>
    </xf>
    <xf numFmtId="164" fontId="10" fillId="0" borderId="1" xfId="0" applyNumberFormat="1" applyFont="1" applyBorder="1" applyAlignment="1">
      <alignment vertical="center"/>
    </xf>
    <xf numFmtId="164" fontId="10" fillId="0" borderId="5" xfId="0" applyNumberFormat="1" applyFont="1" applyBorder="1" applyAlignment="1">
      <alignment vertical="center"/>
    </xf>
    <xf numFmtId="165" fontId="20" fillId="0" borderId="0" xfId="0" applyNumberFormat="1" applyFont="1" applyBorder="1"/>
    <xf numFmtId="164" fontId="10" fillId="0" borderId="1" xfId="0" applyNumberFormat="1" applyFont="1" applyFill="1" applyBorder="1" applyAlignment="1">
      <alignment vertical="center"/>
    </xf>
    <xf numFmtId="164" fontId="11" fillId="0" borderId="6" xfId="0" applyNumberFormat="1" applyFont="1" applyBorder="1" applyAlignment="1">
      <alignment horizontal="left" vertical="center"/>
    </xf>
    <xf numFmtId="164" fontId="11" fillId="0" borderId="0" xfId="0" applyNumberFormat="1" applyFont="1" applyBorder="1" applyAlignment="1">
      <alignment horizontal="left" vertical="center"/>
    </xf>
    <xf numFmtId="164" fontId="11" fillId="0" borderId="7" xfId="0" applyNumberFormat="1" applyFont="1" applyBorder="1" applyAlignment="1">
      <alignment horizontal="left" vertical="center"/>
    </xf>
    <xf numFmtId="164" fontId="15" fillId="0" borderId="5" xfId="0" applyNumberFormat="1" applyFont="1" applyFill="1" applyBorder="1"/>
    <xf numFmtId="165" fontId="10" fillId="0" borderId="27" xfId="2" applyNumberFormat="1" applyFont="1" applyBorder="1" applyAlignment="1">
      <alignment horizontal="center" vertical="center"/>
    </xf>
    <xf numFmtId="165" fontId="10" fillId="0" borderId="12" xfId="2" applyNumberFormat="1" applyFont="1" applyBorder="1" applyAlignment="1">
      <alignment horizontal="center" vertical="center"/>
    </xf>
    <xf numFmtId="165" fontId="10" fillId="0" borderId="0" xfId="2" applyNumberFormat="1" applyFont="1" applyBorder="1" applyAlignment="1">
      <alignment horizontal="center" vertical="center"/>
    </xf>
    <xf numFmtId="165" fontId="10" fillId="0" borderId="34" xfId="2" applyNumberFormat="1" applyFont="1" applyBorder="1" applyAlignment="1">
      <alignment horizontal="center" vertical="center"/>
    </xf>
    <xf numFmtId="165" fontId="10" fillId="0" borderId="29" xfId="2" applyNumberFormat="1" applyFont="1" applyBorder="1" applyAlignment="1">
      <alignment horizontal="center" vertical="center"/>
    </xf>
    <xf numFmtId="165" fontId="10" fillId="0" borderId="0" xfId="2" applyNumberFormat="1" applyFont="1" applyBorder="1" applyAlignment="1">
      <alignment vertical="center"/>
    </xf>
    <xf numFmtId="165" fontId="10" fillId="0" borderId="12" xfId="2" applyNumberFormat="1" applyFont="1" applyBorder="1" applyAlignment="1">
      <alignment vertical="center"/>
    </xf>
    <xf numFmtId="165" fontId="10" fillId="0" borderId="34" xfId="2" applyNumberFormat="1" applyFont="1" applyBorder="1" applyAlignment="1">
      <alignment vertical="center"/>
    </xf>
    <xf numFmtId="165" fontId="10" fillId="2" borderId="0" xfId="2" applyNumberFormat="1" applyFont="1" applyFill="1" applyBorder="1" applyAlignment="1">
      <alignment horizontal="center" vertical="center"/>
    </xf>
    <xf numFmtId="165" fontId="10" fillId="0" borderId="0" xfId="2" applyNumberFormat="1" applyFont="1" applyBorder="1" applyAlignment="1">
      <alignment horizontal="left" vertical="center"/>
    </xf>
    <xf numFmtId="165" fontId="10" fillId="0" borderId="13" xfId="2" applyNumberFormat="1" applyFont="1" applyBorder="1" applyAlignment="1">
      <alignment horizontal="left" vertical="center"/>
    </xf>
    <xf numFmtId="165" fontId="10" fillId="0" borderId="34" xfId="2" applyNumberFormat="1" applyFont="1" applyBorder="1" applyAlignment="1">
      <alignment horizontal="left" vertical="center"/>
    </xf>
    <xf numFmtId="165" fontId="10" fillId="0" borderId="12" xfId="2" applyNumberFormat="1" applyFont="1" applyBorder="1" applyAlignment="1">
      <alignment horizontal="left" vertical="center"/>
    </xf>
    <xf numFmtId="165" fontId="10" fillId="0" borderId="13" xfId="2" applyNumberFormat="1" applyFont="1" applyBorder="1" applyAlignment="1">
      <alignment vertical="center"/>
    </xf>
    <xf numFmtId="165" fontId="10" fillId="0" borderId="13" xfId="2" applyNumberFormat="1" applyFont="1" applyBorder="1" applyAlignment="1">
      <alignment horizontal="center" vertical="center"/>
    </xf>
    <xf numFmtId="165" fontId="11" fillId="0" borderId="6" xfId="0" applyNumberFormat="1" applyFont="1" applyBorder="1" applyAlignment="1">
      <alignment horizontal="left" vertical="center"/>
    </xf>
    <xf numFmtId="0" fontId="8" fillId="0" borderId="0" xfId="2" applyFont="1" applyBorder="1" applyAlignment="1">
      <alignment horizontal="left" vertical="center"/>
    </xf>
    <xf numFmtId="0" fontId="11" fillId="0" borderId="16" xfId="2" applyFont="1" applyBorder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65" fontId="10" fillId="0" borderId="0" xfId="2" applyNumberFormat="1" applyFont="1" applyBorder="1" applyAlignment="1">
      <alignment horizontal="center" vertical="center"/>
    </xf>
    <xf numFmtId="165" fontId="10" fillId="0" borderId="12" xfId="2" applyNumberFormat="1" applyFont="1" applyBorder="1" applyAlignment="1">
      <alignment horizontal="center" vertical="center"/>
    </xf>
    <xf numFmtId="0" fontId="11" fillId="0" borderId="17" xfId="2" applyFont="1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  <xf numFmtId="0" fontId="11" fillId="0" borderId="12" xfId="2" applyFont="1" applyBorder="1" applyAlignment="1">
      <alignment horizontal="center" vertical="center"/>
    </xf>
    <xf numFmtId="165" fontId="9" fillId="2" borderId="44" xfId="0" applyNumberFormat="1" applyFont="1" applyFill="1" applyBorder="1" applyAlignment="1">
      <alignment horizontal="center" vertical="center"/>
    </xf>
    <xf numFmtId="165" fontId="9" fillId="2" borderId="44" xfId="0" applyNumberFormat="1" applyFont="1" applyFill="1" applyBorder="1" applyAlignment="1">
      <alignment vertical="center"/>
    </xf>
    <xf numFmtId="165" fontId="9" fillId="0" borderId="44" xfId="0" applyNumberFormat="1" applyFont="1" applyBorder="1" applyAlignment="1">
      <alignment vertical="center"/>
    </xf>
    <xf numFmtId="0" fontId="8" fillId="0" borderId="44" xfId="0" applyFont="1" applyBorder="1" applyAlignment="1">
      <alignment vertical="center"/>
    </xf>
    <xf numFmtId="165" fontId="10" fillId="2" borderId="44" xfId="0" applyNumberFormat="1" applyFont="1" applyFill="1" applyBorder="1" applyAlignment="1">
      <alignment vertical="center"/>
    </xf>
    <xf numFmtId="0" fontId="8" fillId="0" borderId="44" xfId="0" applyFont="1" applyFill="1" applyBorder="1" applyAlignment="1">
      <alignment vertical="center"/>
    </xf>
    <xf numFmtId="165" fontId="11" fillId="0" borderId="12" xfId="0" applyNumberFormat="1" applyFont="1" applyFill="1" applyBorder="1" applyAlignment="1">
      <alignment vertical="center"/>
    </xf>
    <xf numFmtId="165" fontId="8" fillId="0" borderId="44" xfId="0" applyNumberFormat="1" applyFont="1" applyFill="1" applyBorder="1" applyAlignment="1">
      <alignment vertical="center"/>
    </xf>
    <xf numFmtId="165" fontId="8" fillId="0" borderId="44" xfId="0" applyNumberFormat="1" applyFont="1" applyBorder="1" applyAlignment="1">
      <alignment vertical="center"/>
    </xf>
    <xf numFmtId="165" fontId="26" fillId="2" borderId="44" xfId="0" applyNumberFormat="1" applyFont="1" applyFill="1" applyBorder="1"/>
    <xf numFmtId="165" fontId="26" fillId="0" borderId="44" xfId="0" applyNumberFormat="1" applyFont="1" applyBorder="1"/>
    <xf numFmtId="165" fontId="9" fillId="0" borderId="44" xfId="0" applyNumberFormat="1" applyFont="1" applyBorder="1"/>
    <xf numFmtId="164" fontId="0" fillId="0" borderId="44" xfId="0" applyNumberFormat="1" applyFont="1" applyBorder="1"/>
    <xf numFmtId="164" fontId="8" fillId="0" borderId="44" xfId="0" applyNumberFormat="1" applyFont="1" applyBorder="1"/>
    <xf numFmtId="0" fontId="11" fillId="0" borderId="1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164" fontId="10" fillId="0" borderId="0" xfId="0" applyNumberFormat="1" applyFont="1" applyBorder="1" applyAlignment="1">
      <alignment horizontal="center" vertical="center"/>
    </xf>
    <xf numFmtId="164" fontId="10" fillId="0" borderId="7" xfId="0" applyNumberFormat="1" applyFont="1" applyFill="1" applyBorder="1" applyAlignment="1">
      <alignment horizontal="center" vertical="center"/>
    </xf>
    <xf numFmtId="165" fontId="9" fillId="0" borderId="44" xfId="2" applyNumberFormat="1" applyFont="1" applyBorder="1" applyAlignment="1">
      <alignment horizontal="center" vertical="center"/>
    </xf>
    <xf numFmtId="165" fontId="9" fillId="2" borderId="44" xfId="2" applyNumberFormat="1" applyFont="1" applyFill="1" applyBorder="1" applyAlignment="1">
      <alignment horizontal="center" vertical="center"/>
    </xf>
    <xf numFmtId="165" fontId="9" fillId="2" borderId="44" xfId="2" applyNumberFormat="1" applyFont="1" applyFill="1" applyBorder="1" applyAlignment="1">
      <alignment horizontal="right" vertical="center"/>
    </xf>
    <xf numFmtId="165" fontId="10" fillId="0" borderId="6" xfId="2" applyNumberFormat="1" applyFont="1" applyBorder="1" applyAlignment="1">
      <alignment horizontal="left" vertical="center"/>
    </xf>
    <xf numFmtId="165" fontId="9" fillId="0" borderId="44" xfId="2" applyNumberFormat="1" applyFont="1" applyBorder="1" applyAlignment="1">
      <alignment horizontal="left" vertical="center"/>
    </xf>
    <xf numFmtId="165" fontId="9" fillId="2" borderId="44" xfId="2" applyNumberFormat="1" applyFont="1" applyFill="1" applyBorder="1" applyAlignment="1">
      <alignment horizontal="left" vertical="center"/>
    </xf>
    <xf numFmtId="0" fontId="8" fillId="0" borderId="44" xfId="2" applyFont="1" applyBorder="1" applyAlignment="1">
      <alignment horizontal="center" vertical="center"/>
    </xf>
    <xf numFmtId="165" fontId="18" fillId="0" borderId="13" xfId="2" applyNumberFormat="1" applyFont="1" applyBorder="1" applyAlignment="1">
      <alignment vertical="center" textRotation="90"/>
    </xf>
    <xf numFmtId="165" fontId="9" fillId="0" borderId="26" xfId="2" applyNumberFormat="1" applyFont="1" applyBorder="1" applyAlignment="1">
      <alignment horizontal="center" vertical="center"/>
    </xf>
    <xf numFmtId="0" fontId="10" fillId="0" borderId="19" xfId="2" applyFont="1" applyBorder="1" applyAlignment="1">
      <alignment vertical="center"/>
    </xf>
    <xf numFmtId="0" fontId="10" fillId="0" borderId="21" xfId="2" applyFont="1" applyBorder="1" applyAlignment="1">
      <alignment vertical="center"/>
    </xf>
    <xf numFmtId="0" fontId="10" fillId="0" borderId="20" xfId="2" applyFont="1" applyBorder="1" applyAlignment="1">
      <alignment vertical="center"/>
    </xf>
    <xf numFmtId="0" fontId="11" fillId="0" borderId="14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1" fillId="0" borderId="52" xfId="2" applyFont="1" applyBorder="1" applyAlignment="1">
      <alignment vertical="center"/>
    </xf>
    <xf numFmtId="0" fontId="11" fillId="0" borderId="13" xfId="2" applyFont="1" applyBorder="1" applyAlignment="1">
      <alignment horizontal="right" vertical="center"/>
    </xf>
    <xf numFmtId="0" fontId="11" fillId="0" borderId="0" xfId="2" applyFont="1" applyBorder="1" applyAlignment="1">
      <alignment horizontal="right" vertical="center"/>
    </xf>
    <xf numFmtId="165" fontId="9" fillId="2" borderId="44" xfId="2" applyNumberFormat="1" applyFont="1" applyFill="1" applyBorder="1" applyAlignment="1">
      <alignment horizontal="left" vertical="center"/>
    </xf>
    <xf numFmtId="0" fontId="11" fillId="0" borderId="13" xfId="2" applyFont="1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  <xf numFmtId="0" fontId="11" fillId="0" borderId="13" xfId="2" applyFont="1" applyBorder="1" applyAlignment="1">
      <alignment vertical="center" wrapText="1"/>
    </xf>
    <xf numFmtId="0" fontId="11" fillId="0" borderId="0" xfId="2" applyFont="1" applyBorder="1" applyAlignment="1">
      <alignment vertical="center" wrapText="1"/>
    </xf>
    <xf numFmtId="0" fontId="10" fillId="0" borderId="0" xfId="2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4" fillId="2" borderId="29" xfId="0" applyFont="1" applyFill="1" applyBorder="1" applyAlignment="1">
      <alignment vertical="center"/>
    </xf>
    <xf numFmtId="0" fontId="4" fillId="2" borderId="29" xfId="2" applyFont="1" applyFill="1" applyBorder="1" applyAlignment="1">
      <alignment vertical="center"/>
    </xf>
    <xf numFmtId="165" fontId="11" fillId="0" borderId="0" xfId="0" applyNumberFormat="1" applyFont="1" applyFill="1" applyAlignment="1">
      <alignment horizontal="left" vertical="center"/>
    </xf>
    <xf numFmtId="165" fontId="3" fillId="0" borderId="44" xfId="0" applyNumberFormat="1" applyFont="1" applyFill="1" applyBorder="1" applyAlignment="1">
      <alignment vertical="center"/>
    </xf>
    <xf numFmtId="0" fontId="34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165" fontId="11" fillId="0" borderId="22" xfId="0" applyNumberFormat="1" applyFont="1" applyBorder="1" applyAlignment="1">
      <alignment horizontal="right" vertical="center"/>
    </xf>
    <xf numFmtId="165" fontId="11" fillId="0" borderId="1" xfId="0" applyNumberFormat="1" applyFont="1" applyBorder="1" applyAlignment="1">
      <alignment horizontal="right" vertical="center"/>
    </xf>
    <xf numFmtId="165" fontId="11" fillId="0" borderId="5" xfId="0" applyNumberFormat="1" applyFont="1" applyBorder="1" applyAlignment="1">
      <alignment horizontal="right" vertical="center"/>
    </xf>
    <xf numFmtId="9" fontId="29" fillId="2" borderId="53" xfId="0" applyNumberFormat="1" applyFont="1" applyFill="1" applyBorder="1" applyAlignment="1">
      <alignment horizontal="center" vertical="center"/>
    </xf>
    <xf numFmtId="0" fontId="29" fillId="2" borderId="29" xfId="0" applyFont="1" applyFill="1" applyBorder="1" applyAlignment="1">
      <alignment horizontal="center" vertical="center"/>
    </xf>
    <xf numFmtId="165" fontId="11" fillId="0" borderId="40" xfId="0" applyNumberFormat="1" applyFont="1" applyBorder="1" applyAlignment="1">
      <alignment horizontal="center" vertical="center"/>
    </xf>
    <xf numFmtId="165" fontId="11" fillId="0" borderId="1" xfId="0" applyNumberFormat="1" applyFont="1" applyBorder="1" applyAlignment="1">
      <alignment horizontal="center" vertical="center"/>
    </xf>
    <xf numFmtId="165" fontId="11" fillId="0" borderId="5" xfId="0" applyNumberFormat="1" applyFont="1" applyBorder="1" applyAlignment="1">
      <alignment horizontal="center" vertical="center"/>
    </xf>
    <xf numFmtId="165" fontId="9" fillId="2" borderId="44" xfId="0" applyNumberFormat="1" applyFont="1" applyFill="1" applyBorder="1" applyAlignment="1">
      <alignment horizontal="left" vertical="center"/>
    </xf>
    <xf numFmtId="165" fontId="9" fillId="2" borderId="44" xfId="0" applyNumberFormat="1" applyFont="1" applyFill="1" applyBorder="1" applyAlignment="1">
      <alignment horizontal="center" vertical="center"/>
    </xf>
    <xf numFmtId="165" fontId="11" fillId="0" borderId="13" xfId="0" applyNumberFormat="1" applyFont="1" applyBorder="1" applyAlignment="1">
      <alignment horizontal="center" vertical="center"/>
    </xf>
    <xf numFmtId="165" fontId="11" fillId="0" borderId="0" xfId="0" applyNumberFormat="1" applyFont="1" applyBorder="1" applyAlignment="1">
      <alignment horizontal="center" vertical="center"/>
    </xf>
    <xf numFmtId="165" fontId="11" fillId="0" borderId="12" xfId="0" applyNumberFormat="1" applyFont="1" applyBorder="1" applyAlignment="1">
      <alignment horizontal="center" vertical="center"/>
    </xf>
    <xf numFmtId="165" fontId="11" fillId="0" borderId="6" xfId="0" applyNumberFormat="1" applyFont="1" applyBorder="1" applyAlignment="1">
      <alignment horizontal="right" vertical="center"/>
    </xf>
    <xf numFmtId="165" fontId="11" fillId="0" borderId="0" xfId="0" applyNumberFormat="1" applyFont="1" applyBorder="1" applyAlignment="1">
      <alignment horizontal="right" vertical="center"/>
    </xf>
    <xf numFmtId="165" fontId="11" fillId="0" borderId="7" xfId="0" applyNumberFormat="1" applyFont="1" applyBorder="1" applyAlignment="1">
      <alignment horizontal="right" vertical="center"/>
    </xf>
    <xf numFmtId="165" fontId="10" fillId="0" borderId="19" xfId="0" applyNumberFormat="1" applyFont="1" applyBorder="1" applyAlignment="1">
      <alignment horizontal="center" vertical="center"/>
    </xf>
    <xf numFmtId="165" fontId="10" fillId="0" borderId="21" xfId="0" applyNumberFormat="1" applyFont="1" applyBorder="1" applyAlignment="1">
      <alignment horizontal="center" vertical="center"/>
    </xf>
    <xf numFmtId="165" fontId="10" fillId="0" borderId="20" xfId="0" applyNumberFormat="1" applyFont="1" applyBorder="1" applyAlignment="1">
      <alignment horizontal="center" vertical="center"/>
    </xf>
    <xf numFmtId="165" fontId="11" fillId="0" borderId="14" xfId="0" applyNumberFormat="1" applyFont="1" applyBorder="1" applyAlignment="1">
      <alignment horizontal="right" vertical="center"/>
    </xf>
    <xf numFmtId="165" fontId="11" fillId="0" borderId="11" xfId="0" applyNumberFormat="1" applyFont="1" applyBorder="1" applyAlignment="1">
      <alignment horizontal="right" vertical="center"/>
    </xf>
    <xf numFmtId="165" fontId="11" fillId="0" borderId="15" xfId="0" applyNumberFormat="1" applyFont="1" applyBorder="1" applyAlignment="1">
      <alignment horizontal="right" vertical="center"/>
    </xf>
    <xf numFmtId="0" fontId="4" fillId="2" borderId="43" xfId="0" applyFont="1" applyFill="1" applyBorder="1" applyAlignment="1">
      <alignment horizontal="center" vertical="center"/>
    </xf>
    <xf numFmtId="0" fontId="4" fillId="2" borderId="44" xfId="0" applyFont="1" applyFill="1" applyBorder="1" applyAlignment="1">
      <alignment horizontal="center" vertical="center"/>
    </xf>
    <xf numFmtId="165" fontId="11" fillId="0" borderId="40" xfId="0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horizontal="center" vertical="center"/>
    </xf>
    <xf numFmtId="165" fontId="11" fillId="0" borderId="5" xfId="0" applyNumberFormat="1" applyFont="1" applyFill="1" applyBorder="1" applyAlignment="1">
      <alignment horizontal="center" vertical="center"/>
    </xf>
    <xf numFmtId="165" fontId="14" fillId="0" borderId="22" xfId="0" applyNumberFormat="1" applyFont="1" applyBorder="1" applyAlignment="1">
      <alignment horizontal="right" vertical="center"/>
    </xf>
    <xf numFmtId="165" fontId="14" fillId="0" borderId="1" xfId="0" applyNumberFormat="1" applyFont="1" applyBorder="1" applyAlignment="1">
      <alignment horizontal="right" vertical="center"/>
    </xf>
    <xf numFmtId="165" fontId="14" fillId="0" borderId="5" xfId="0" applyNumberFormat="1" applyFont="1" applyBorder="1" applyAlignment="1">
      <alignment horizontal="right" vertical="center"/>
    </xf>
    <xf numFmtId="165" fontId="13" fillId="0" borderId="44" xfId="0" applyNumberFormat="1" applyFont="1" applyFill="1" applyBorder="1" applyAlignment="1">
      <alignment horizontal="left" vertical="center" wrapText="1"/>
    </xf>
    <xf numFmtId="165" fontId="10" fillId="0" borderId="31" xfId="0" applyNumberFormat="1" applyFont="1" applyBorder="1" applyAlignment="1">
      <alignment horizontal="center" vertical="center"/>
    </xf>
    <xf numFmtId="165" fontId="10" fillId="0" borderId="30" xfId="0" applyNumberFormat="1" applyFont="1" applyBorder="1" applyAlignment="1">
      <alignment horizontal="center" vertical="center"/>
    </xf>
    <xf numFmtId="165" fontId="10" fillId="0" borderId="33" xfId="0" applyNumberFormat="1" applyFont="1" applyBorder="1" applyAlignment="1">
      <alignment horizontal="center" vertical="center"/>
    </xf>
    <xf numFmtId="165" fontId="14" fillId="0" borderId="6" xfId="0" applyNumberFormat="1" applyFont="1" applyBorder="1" applyAlignment="1">
      <alignment horizontal="center" vertical="center"/>
    </xf>
    <xf numFmtId="165" fontId="14" fillId="0" borderId="0" xfId="0" applyNumberFormat="1" applyFont="1" applyBorder="1" applyAlignment="1">
      <alignment horizontal="center" vertical="center"/>
    </xf>
    <xf numFmtId="165" fontId="14" fillId="0" borderId="7" xfId="0" applyNumberFormat="1" applyFont="1" applyBorder="1" applyAlignment="1">
      <alignment horizontal="center" vertical="center"/>
    </xf>
    <xf numFmtId="165" fontId="28" fillId="0" borderId="22" xfId="0" applyNumberFormat="1" applyFont="1" applyBorder="1" applyAlignment="1">
      <alignment horizontal="right" vertical="center"/>
    </xf>
    <xf numFmtId="165" fontId="28" fillId="0" borderId="1" xfId="0" applyNumberFormat="1" applyFont="1" applyBorder="1" applyAlignment="1">
      <alignment horizontal="right" vertical="center"/>
    </xf>
    <xf numFmtId="165" fontId="28" fillId="0" borderId="5" xfId="0" applyNumberFormat="1" applyFont="1" applyBorder="1" applyAlignment="1">
      <alignment horizontal="right" vertical="center"/>
    </xf>
    <xf numFmtId="165" fontId="27" fillId="2" borderId="44" xfId="0" applyNumberFormat="1" applyFont="1" applyFill="1" applyBorder="1" applyAlignment="1">
      <alignment horizontal="left" vertical="center"/>
    </xf>
    <xf numFmtId="165" fontId="11" fillId="0" borderId="14" xfId="0" applyNumberFormat="1" applyFont="1" applyFill="1" applyBorder="1" applyAlignment="1">
      <alignment horizontal="center" vertical="center"/>
    </xf>
    <xf numFmtId="165" fontId="11" fillId="0" borderId="15" xfId="0" applyNumberFormat="1" applyFont="1" applyFill="1" applyBorder="1" applyAlignment="1">
      <alignment horizontal="center" vertical="center"/>
    </xf>
    <xf numFmtId="165" fontId="11" fillId="0" borderId="11" xfId="0" applyNumberFormat="1" applyFont="1" applyFill="1" applyBorder="1" applyAlignment="1">
      <alignment horizontal="center" vertical="center"/>
    </xf>
    <xf numFmtId="165" fontId="9" fillId="2" borderId="46" xfId="0" applyNumberFormat="1" applyFont="1" applyFill="1" applyBorder="1" applyAlignment="1">
      <alignment horizontal="left" vertical="center"/>
    </xf>
    <xf numFmtId="165" fontId="9" fillId="2" borderId="46" xfId="0" applyNumberFormat="1" applyFont="1" applyFill="1" applyBorder="1" applyAlignment="1">
      <alignment horizontal="center" vertical="center"/>
    </xf>
    <xf numFmtId="165" fontId="11" fillId="0" borderId="22" xfId="0" applyNumberFormat="1" applyFont="1" applyBorder="1" applyAlignment="1">
      <alignment horizontal="center" vertical="center"/>
    </xf>
    <xf numFmtId="165" fontId="23" fillId="2" borderId="44" xfId="0" applyNumberFormat="1" applyFont="1" applyFill="1" applyBorder="1" applyAlignment="1">
      <alignment horizontal="left" vertical="center"/>
    </xf>
    <xf numFmtId="165" fontId="9" fillId="2" borderId="42" xfId="0" applyNumberFormat="1" applyFont="1" applyFill="1" applyBorder="1" applyAlignment="1">
      <alignment horizontal="center" vertical="center"/>
    </xf>
    <xf numFmtId="165" fontId="9" fillId="2" borderId="29" xfId="0" applyNumberFormat="1" applyFont="1" applyFill="1" applyBorder="1" applyAlignment="1">
      <alignment horizontal="center" vertical="center"/>
    </xf>
    <xf numFmtId="165" fontId="9" fillId="2" borderId="43" xfId="0" applyNumberFormat="1" applyFont="1" applyFill="1" applyBorder="1" applyAlignment="1">
      <alignment horizontal="center" vertical="center"/>
    </xf>
    <xf numFmtId="165" fontId="8" fillId="0" borderId="44" xfId="0" applyNumberFormat="1" applyFont="1" applyFill="1" applyBorder="1" applyAlignment="1">
      <alignment horizontal="left" vertical="center"/>
    </xf>
    <xf numFmtId="165" fontId="23" fillId="2" borderId="42" xfId="0" applyNumberFormat="1" applyFont="1" applyFill="1" applyBorder="1" applyAlignment="1">
      <alignment horizontal="center" vertical="center"/>
    </xf>
    <xf numFmtId="165" fontId="23" fillId="2" borderId="29" xfId="0" applyNumberFormat="1" applyFont="1" applyFill="1" applyBorder="1" applyAlignment="1">
      <alignment horizontal="center" vertical="center"/>
    </xf>
    <xf numFmtId="165" fontId="23" fillId="2" borderId="43" xfId="0" applyNumberFormat="1" applyFont="1" applyFill="1" applyBorder="1" applyAlignment="1">
      <alignment horizontal="center" vertical="center"/>
    </xf>
    <xf numFmtId="165" fontId="24" fillId="0" borderId="44" xfId="0" applyNumberFormat="1" applyFont="1" applyFill="1" applyBorder="1" applyAlignment="1">
      <alignment horizontal="left" vertical="center"/>
    </xf>
    <xf numFmtId="165" fontId="8" fillId="0" borderId="42" xfId="0" applyNumberFormat="1" applyFont="1" applyFill="1" applyBorder="1" applyAlignment="1">
      <alignment horizontal="left" vertical="center"/>
    </xf>
    <xf numFmtId="165" fontId="8" fillId="0" borderId="29" xfId="0" applyNumberFormat="1" applyFont="1" applyFill="1" applyBorder="1" applyAlignment="1">
      <alignment horizontal="left" vertical="center"/>
    </xf>
    <xf numFmtId="165" fontId="8" fillId="0" borderId="43" xfId="0" applyNumberFormat="1" applyFont="1" applyFill="1" applyBorder="1" applyAlignment="1">
      <alignment horizontal="left" vertical="center"/>
    </xf>
    <xf numFmtId="165" fontId="10" fillId="0" borderId="47" xfId="0" applyNumberFormat="1" applyFont="1" applyFill="1" applyBorder="1" applyAlignment="1">
      <alignment horizontal="left" vertical="center"/>
    </xf>
    <xf numFmtId="165" fontId="10" fillId="0" borderId="48" xfId="0" applyNumberFormat="1" applyFont="1" applyFill="1" applyBorder="1" applyAlignment="1">
      <alignment horizontal="left" vertical="center"/>
    </xf>
    <xf numFmtId="165" fontId="10" fillId="0" borderId="49" xfId="0" applyNumberFormat="1" applyFont="1" applyFill="1" applyBorder="1" applyAlignment="1">
      <alignment horizontal="left" vertical="center"/>
    </xf>
    <xf numFmtId="165" fontId="11" fillId="0" borderId="50" xfId="0" applyNumberFormat="1" applyFont="1" applyFill="1" applyBorder="1" applyAlignment="1">
      <alignment horizontal="left" vertical="center"/>
    </xf>
    <xf numFmtId="165" fontId="11" fillId="0" borderId="26" xfId="0" applyNumberFormat="1" applyFont="1" applyFill="1" applyBorder="1" applyAlignment="1">
      <alignment horizontal="left" vertical="center"/>
    </xf>
    <xf numFmtId="165" fontId="11" fillId="0" borderId="51" xfId="0" applyNumberFormat="1" applyFont="1" applyFill="1" applyBorder="1" applyAlignment="1">
      <alignment horizontal="left" vertical="center"/>
    </xf>
    <xf numFmtId="165" fontId="11" fillId="0" borderId="13" xfId="0" applyNumberFormat="1" applyFont="1" applyFill="1" applyBorder="1" applyAlignment="1">
      <alignment horizontal="left" vertical="center"/>
    </xf>
    <xf numFmtId="165" fontId="11" fillId="0" borderId="0" xfId="0" applyNumberFormat="1" applyFont="1" applyFill="1" applyBorder="1" applyAlignment="1">
      <alignment horizontal="left" vertical="center"/>
    </xf>
    <xf numFmtId="165" fontId="11" fillId="0" borderId="12" xfId="0" applyNumberFormat="1" applyFont="1" applyFill="1" applyBorder="1" applyAlignment="1">
      <alignment horizontal="left" vertical="center"/>
    </xf>
    <xf numFmtId="165" fontId="11" fillId="0" borderId="16" xfId="0" applyNumberFormat="1" applyFont="1" applyFill="1" applyBorder="1" applyAlignment="1">
      <alignment horizontal="left" vertical="center"/>
    </xf>
    <xf numFmtId="165" fontId="11" fillId="0" borderId="17" xfId="0" applyNumberFormat="1" applyFont="1" applyFill="1" applyBorder="1" applyAlignment="1">
      <alignment horizontal="left" vertical="center"/>
    </xf>
    <xf numFmtId="165" fontId="11" fillId="0" borderId="18" xfId="0" applyNumberFormat="1" applyFont="1" applyFill="1" applyBorder="1" applyAlignment="1">
      <alignment horizontal="left" vertical="center"/>
    </xf>
    <xf numFmtId="165" fontId="11" fillId="0" borderId="37" xfId="0" applyNumberFormat="1" applyFont="1" applyBorder="1" applyAlignment="1">
      <alignment horizontal="center" vertical="center"/>
    </xf>
    <xf numFmtId="165" fontId="12" fillId="0" borderId="44" xfId="0" applyNumberFormat="1" applyFont="1" applyFill="1" applyBorder="1" applyAlignment="1">
      <alignment horizontal="left" vertical="center" wrapText="1"/>
    </xf>
    <xf numFmtId="165" fontId="11" fillId="0" borderId="37" xfId="0" applyNumberFormat="1" applyFont="1" applyBorder="1" applyAlignment="1">
      <alignment horizontal="right" vertical="center"/>
    </xf>
    <xf numFmtId="165" fontId="14" fillId="0" borderId="19" xfId="0" applyNumberFormat="1" applyFont="1" applyBorder="1" applyAlignment="1">
      <alignment horizontal="center" vertical="center"/>
    </xf>
    <xf numFmtId="165" fontId="14" fillId="0" borderId="21" xfId="0" applyNumberFormat="1" applyFont="1" applyBorder="1" applyAlignment="1">
      <alignment horizontal="center" vertical="center"/>
    </xf>
    <xf numFmtId="165" fontId="14" fillId="0" borderId="20" xfId="0" applyNumberFormat="1" applyFont="1" applyBorder="1" applyAlignment="1">
      <alignment horizontal="center" vertical="center"/>
    </xf>
    <xf numFmtId="165" fontId="10" fillId="0" borderId="23" xfId="0" applyNumberFormat="1" applyFont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9" fontId="29" fillId="2" borderId="42" xfId="0" applyNumberFormat="1" applyFont="1" applyFill="1" applyBorder="1" applyAlignment="1">
      <alignment horizontal="center" vertical="center"/>
    </xf>
    <xf numFmtId="165" fontId="10" fillId="0" borderId="38" xfId="0" applyNumberFormat="1" applyFont="1" applyBorder="1" applyAlignment="1">
      <alignment horizontal="center" vertical="center"/>
    </xf>
    <xf numFmtId="165" fontId="10" fillId="0" borderId="32" xfId="0" applyNumberFormat="1" applyFont="1" applyBorder="1" applyAlignment="1">
      <alignment horizontal="center" vertical="center"/>
    </xf>
    <xf numFmtId="165" fontId="10" fillId="0" borderId="13" xfId="0" applyNumberFormat="1" applyFont="1" applyBorder="1" applyAlignment="1">
      <alignment horizontal="right" vertical="center"/>
    </xf>
    <xf numFmtId="165" fontId="10" fillId="0" borderId="0" xfId="0" applyNumberFormat="1" applyFont="1" applyBorder="1" applyAlignment="1">
      <alignment horizontal="right" vertical="center"/>
    </xf>
    <xf numFmtId="165" fontId="10" fillId="0" borderId="12" xfId="0" applyNumberFormat="1" applyFont="1" applyBorder="1" applyAlignment="1">
      <alignment horizontal="right" vertical="center"/>
    </xf>
    <xf numFmtId="165" fontId="11" fillId="0" borderId="13" xfId="0" applyNumberFormat="1" applyFont="1" applyBorder="1" applyAlignment="1">
      <alignment horizontal="right" vertical="center"/>
    </xf>
    <xf numFmtId="165" fontId="11" fillId="0" borderId="12" xfId="0" applyNumberFormat="1" applyFont="1" applyBorder="1" applyAlignment="1">
      <alignment horizontal="right" vertical="center"/>
    </xf>
    <xf numFmtId="165" fontId="11" fillId="0" borderId="6" xfId="0" applyNumberFormat="1" applyFont="1" applyBorder="1" applyAlignment="1">
      <alignment horizontal="center" vertical="center"/>
    </xf>
    <xf numFmtId="165" fontId="11" fillId="0" borderId="7" xfId="0" applyNumberFormat="1" applyFont="1" applyBorder="1" applyAlignment="1">
      <alignment horizontal="center" vertical="center"/>
    </xf>
    <xf numFmtId="165" fontId="14" fillId="0" borderId="13" xfId="0" applyNumberFormat="1" applyFont="1" applyBorder="1" applyAlignment="1">
      <alignment horizontal="right" vertical="center"/>
    </xf>
    <xf numFmtId="165" fontId="14" fillId="0" borderId="0" xfId="0" applyNumberFormat="1" applyFont="1" applyBorder="1" applyAlignment="1">
      <alignment horizontal="right" vertical="center"/>
    </xf>
    <xf numFmtId="165" fontId="14" fillId="0" borderId="7" xfId="0" applyNumberFormat="1" applyFont="1" applyBorder="1" applyAlignment="1">
      <alignment horizontal="right" vertical="center"/>
    </xf>
    <xf numFmtId="165" fontId="10" fillId="0" borderId="7" xfId="0" applyNumberFormat="1" applyFont="1" applyBorder="1" applyAlignment="1">
      <alignment horizontal="right" vertical="center"/>
    </xf>
    <xf numFmtId="165" fontId="10" fillId="0" borderId="0" xfId="0" applyNumberFormat="1" applyFont="1" applyBorder="1" applyAlignment="1">
      <alignment horizontal="center" vertical="center"/>
    </xf>
    <xf numFmtId="165" fontId="10" fillId="0" borderId="19" xfId="0" applyNumberFormat="1" applyFont="1" applyFill="1" applyBorder="1" applyAlignment="1">
      <alignment horizontal="center" vertical="center"/>
    </xf>
    <xf numFmtId="165" fontId="10" fillId="0" borderId="21" xfId="0" applyNumberFormat="1" applyFont="1" applyFill="1" applyBorder="1" applyAlignment="1">
      <alignment horizontal="center" vertical="center"/>
    </xf>
    <xf numFmtId="165" fontId="10" fillId="0" borderId="20" xfId="0" applyNumberFormat="1" applyFont="1" applyFill="1" applyBorder="1" applyAlignment="1">
      <alignment horizontal="center" vertical="center"/>
    </xf>
    <xf numFmtId="165" fontId="11" fillId="0" borderId="22" xfId="0" applyNumberFormat="1" applyFont="1" applyFill="1" applyBorder="1" applyAlignment="1">
      <alignment horizontal="right" vertical="center"/>
    </xf>
    <xf numFmtId="165" fontId="11" fillId="0" borderId="1" xfId="0" applyNumberFormat="1" applyFont="1" applyFill="1" applyBorder="1" applyAlignment="1">
      <alignment horizontal="right" vertical="center"/>
    </xf>
    <xf numFmtId="165" fontId="11" fillId="0" borderId="5" xfId="0" applyNumberFormat="1" applyFont="1" applyFill="1" applyBorder="1" applyAlignment="1">
      <alignment horizontal="right" vertical="center"/>
    </xf>
    <xf numFmtId="165" fontId="11" fillId="0" borderId="6" xfId="0" applyNumberFormat="1" applyFont="1" applyFill="1" applyBorder="1" applyAlignment="1">
      <alignment horizontal="right" vertical="center"/>
    </xf>
    <xf numFmtId="165" fontId="11" fillId="0" borderId="0" xfId="0" applyNumberFormat="1" applyFont="1" applyFill="1" applyBorder="1" applyAlignment="1">
      <alignment horizontal="right" vertical="center"/>
    </xf>
    <xf numFmtId="165" fontId="11" fillId="0" borderId="7" xfId="0" applyNumberFormat="1" applyFont="1" applyFill="1" applyBorder="1" applyAlignment="1">
      <alignment horizontal="right" vertical="center"/>
    </xf>
    <xf numFmtId="165" fontId="12" fillId="0" borderId="6" xfId="0" applyNumberFormat="1" applyFont="1" applyFill="1" applyBorder="1" applyAlignment="1">
      <alignment horizontal="right" vertical="center"/>
    </xf>
    <xf numFmtId="165" fontId="12" fillId="0" borderId="0" xfId="0" applyNumberFormat="1" applyFont="1" applyFill="1" applyBorder="1" applyAlignment="1">
      <alignment horizontal="right" vertical="center"/>
    </xf>
    <xf numFmtId="165" fontId="12" fillId="0" borderId="7" xfId="0" applyNumberFormat="1" applyFont="1" applyFill="1" applyBorder="1" applyAlignment="1">
      <alignment horizontal="right" vertical="center"/>
    </xf>
    <xf numFmtId="165" fontId="11" fillId="0" borderId="6" xfId="0" applyNumberFormat="1" applyFont="1" applyFill="1" applyBorder="1" applyAlignment="1">
      <alignment horizontal="center" vertical="center"/>
    </xf>
    <xf numFmtId="165" fontId="11" fillId="0" borderId="0" xfId="0" applyNumberFormat="1" applyFont="1" applyFill="1" applyBorder="1" applyAlignment="1">
      <alignment horizontal="center" vertical="center"/>
    </xf>
    <xf numFmtId="165" fontId="11" fillId="0" borderId="7" xfId="0" applyNumberFormat="1" applyFont="1" applyFill="1" applyBorder="1" applyAlignment="1">
      <alignment horizontal="center" vertical="center"/>
    </xf>
    <xf numFmtId="165" fontId="14" fillId="0" borderId="6" xfId="0" applyNumberFormat="1" applyFont="1" applyFill="1" applyBorder="1" applyAlignment="1">
      <alignment horizontal="right" vertical="center"/>
    </xf>
    <xf numFmtId="165" fontId="14" fillId="0" borderId="0" xfId="0" applyNumberFormat="1" applyFont="1" applyFill="1" applyBorder="1" applyAlignment="1">
      <alignment horizontal="right" vertical="center"/>
    </xf>
    <xf numFmtId="165" fontId="14" fillId="0" borderId="7" xfId="0" applyNumberFormat="1" applyFont="1" applyFill="1" applyBorder="1" applyAlignment="1">
      <alignment horizontal="right" vertical="center"/>
    </xf>
    <xf numFmtId="165" fontId="10" fillId="2" borderId="44" xfId="0" applyNumberFormat="1" applyFont="1" applyFill="1" applyBorder="1" applyAlignment="1">
      <alignment horizontal="left" vertical="center"/>
    </xf>
    <xf numFmtId="165" fontId="10" fillId="2" borderId="44" xfId="0" applyNumberFormat="1" applyFont="1" applyFill="1" applyBorder="1" applyAlignment="1">
      <alignment horizontal="center" vertical="center"/>
    </xf>
    <xf numFmtId="165" fontId="10" fillId="0" borderId="23" xfId="0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horizontal="left" vertical="center"/>
    </xf>
    <xf numFmtId="165" fontId="11" fillId="0" borderId="5" xfId="0" applyNumberFormat="1" applyFont="1" applyFill="1" applyBorder="1" applyAlignment="1">
      <alignment horizontal="left" vertical="center"/>
    </xf>
    <xf numFmtId="165" fontId="10" fillId="0" borderId="6" xfId="0" applyNumberFormat="1" applyFont="1" applyFill="1" applyBorder="1" applyAlignment="1">
      <alignment horizontal="right" vertical="center"/>
    </xf>
    <xf numFmtId="165" fontId="10" fillId="0" borderId="0" xfId="0" applyNumberFormat="1" applyFont="1" applyFill="1" applyBorder="1" applyAlignment="1">
      <alignment horizontal="right" vertical="center"/>
    </xf>
    <xf numFmtId="165" fontId="10" fillId="0" borderId="7" xfId="0" applyNumberFormat="1" applyFont="1" applyFill="1" applyBorder="1" applyAlignment="1">
      <alignment horizontal="right" vertical="center"/>
    </xf>
    <xf numFmtId="165" fontId="11" fillId="0" borderId="6" xfId="0" applyNumberFormat="1" applyFont="1" applyFill="1" applyBorder="1" applyAlignment="1">
      <alignment vertical="center"/>
    </xf>
    <xf numFmtId="165" fontId="11" fillId="0" borderId="0" xfId="0" applyNumberFormat="1" applyFont="1" applyFill="1" applyBorder="1" applyAlignment="1">
      <alignment vertical="center"/>
    </xf>
    <xf numFmtId="165" fontId="11" fillId="0" borderId="7" xfId="0" applyNumberFormat="1" applyFont="1" applyFill="1" applyBorder="1" applyAlignment="1">
      <alignment vertical="center"/>
    </xf>
    <xf numFmtId="165" fontId="12" fillId="0" borderId="6" xfId="0" applyNumberFormat="1" applyFont="1" applyFill="1" applyBorder="1" applyAlignment="1">
      <alignment horizontal="center" vertical="center"/>
    </xf>
    <xf numFmtId="165" fontId="12" fillId="0" borderId="0" xfId="0" applyNumberFormat="1" applyFont="1" applyFill="1" applyBorder="1" applyAlignment="1">
      <alignment horizontal="center" vertical="center"/>
    </xf>
    <xf numFmtId="165" fontId="12" fillId="0" borderId="7" xfId="0" applyNumberFormat="1" applyFont="1" applyFill="1" applyBorder="1" applyAlignment="1">
      <alignment horizontal="center" vertical="center"/>
    </xf>
    <xf numFmtId="165" fontId="11" fillId="0" borderId="6" xfId="0" applyNumberFormat="1" applyFont="1" applyFill="1" applyBorder="1" applyAlignment="1">
      <alignment horizontal="left" vertical="center"/>
    </xf>
    <xf numFmtId="165" fontId="11" fillId="0" borderId="7" xfId="0" applyNumberFormat="1" applyFont="1" applyFill="1" applyBorder="1" applyAlignment="1">
      <alignment horizontal="left" vertical="center"/>
    </xf>
    <xf numFmtId="165" fontId="14" fillId="0" borderId="6" xfId="0" applyNumberFormat="1" applyFont="1" applyFill="1" applyBorder="1" applyAlignment="1">
      <alignment horizontal="left" vertical="center" wrapText="1"/>
    </xf>
    <xf numFmtId="165" fontId="14" fillId="0" borderId="0" xfId="0" applyNumberFormat="1" applyFont="1" applyFill="1" applyBorder="1" applyAlignment="1">
      <alignment horizontal="left" vertical="center" wrapText="1"/>
    </xf>
    <xf numFmtId="165" fontId="14" fillId="0" borderId="7" xfId="0" applyNumberFormat="1" applyFont="1" applyFill="1" applyBorder="1" applyAlignment="1">
      <alignment horizontal="left" vertical="center" wrapText="1"/>
    </xf>
    <xf numFmtId="165" fontId="9" fillId="2" borderId="44" xfId="0" applyNumberFormat="1" applyFont="1" applyFill="1" applyBorder="1" applyAlignment="1">
      <alignment horizontal="left" vertical="center" wrapText="1"/>
    </xf>
    <xf numFmtId="165" fontId="11" fillId="0" borderId="14" xfId="0" applyNumberFormat="1" applyFont="1" applyFill="1" applyBorder="1" applyAlignment="1">
      <alignment horizontal="right" vertical="center"/>
    </xf>
    <xf numFmtId="165" fontId="11" fillId="0" borderId="11" xfId="0" applyNumberFormat="1" applyFont="1" applyFill="1" applyBorder="1" applyAlignment="1">
      <alignment horizontal="right" vertical="center"/>
    </xf>
    <xf numFmtId="165" fontId="11" fillId="0" borderId="15" xfId="0" applyNumberFormat="1" applyFont="1" applyFill="1" applyBorder="1" applyAlignment="1">
      <alignment horizontal="right" vertical="center"/>
    </xf>
    <xf numFmtId="165" fontId="11" fillId="0" borderId="37" xfId="0" applyNumberFormat="1" applyFont="1" applyFill="1" applyBorder="1" applyAlignment="1">
      <alignment horizontal="center" vertical="center"/>
    </xf>
    <xf numFmtId="165" fontId="11" fillId="0" borderId="22" xfId="0" applyNumberFormat="1" applyFont="1" applyFill="1" applyBorder="1" applyAlignment="1">
      <alignment horizontal="center" vertical="center"/>
    </xf>
    <xf numFmtId="165" fontId="25" fillId="2" borderId="44" xfId="0" applyNumberFormat="1" applyFont="1" applyFill="1" applyBorder="1" applyAlignment="1">
      <alignment horizontal="center" vertical="center"/>
    </xf>
    <xf numFmtId="165" fontId="11" fillId="0" borderId="14" xfId="0" applyNumberFormat="1" applyFont="1" applyBorder="1" applyAlignment="1">
      <alignment horizontal="center" vertical="center"/>
    </xf>
    <xf numFmtId="165" fontId="11" fillId="0" borderId="15" xfId="0" applyNumberFormat="1" applyFont="1" applyBorder="1" applyAlignment="1">
      <alignment horizontal="center" vertical="center"/>
    </xf>
    <xf numFmtId="165" fontId="11" fillId="0" borderId="11" xfId="0" applyNumberFormat="1" applyFont="1" applyBorder="1" applyAlignment="1">
      <alignment horizontal="center" vertical="center"/>
    </xf>
    <xf numFmtId="0" fontId="34" fillId="3" borderId="4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64" fontId="11" fillId="0" borderId="6" xfId="0" applyNumberFormat="1" applyFont="1" applyBorder="1" applyAlignment="1">
      <alignment horizontal="left" vertical="center"/>
    </xf>
    <xf numFmtId="164" fontId="11" fillId="0" borderId="0" xfId="0" applyNumberFormat="1" applyFont="1" applyBorder="1" applyAlignment="1">
      <alignment horizontal="left" vertical="center"/>
    </xf>
    <xf numFmtId="164" fontId="11" fillId="0" borderId="7" xfId="0" applyNumberFormat="1" applyFont="1" applyBorder="1" applyAlignment="1">
      <alignment horizontal="left" vertical="center"/>
    </xf>
    <xf numFmtId="165" fontId="9" fillId="2" borderId="44" xfId="0" applyNumberFormat="1" applyFont="1" applyFill="1" applyBorder="1" applyAlignment="1">
      <alignment horizontal="left" vertical="top"/>
    </xf>
    <xf numFmtId="164" fontId="12" fillId="0" borderId="41" xfId="0" applyNumberFormat="1" applyFont="1" applyBorder="1" applyAlignment="1">
      <alignment horizontal="center" vertical="center"/>
    </xf>
    <xf numFmtId="164" fontId="10" fillId="0" borderId="2" xfId="0" applyNumberFormat="1" applyFont="1" applyFill="1" applyBorder="1" applyAlignment="1">
      <alignment horizontal="center" vertical="center"/>
    </xf>
    <xf numFmtId="164" fontId="10" fillId="0" borderId="4" xfId="0" applyNumberFormat="1" applyFont="1" applyFill="1" applyBorder="1" applyAlignment="1">
      <alignment horizontal="center" vertical="center"/>
    </xf>
    <xf numFmtId="164" fontId="10" fillId="0" borderId="3" xfId="0" applyNumberFormat="1" applyFont="1" applyFill="1" applyBorder="1" applyAlignment="1">
      <alignment horizontal="center" vertical="center"/>
    </xf>
    <xf numFmtId="164" fontId="10" fillId="0" borderId="40" xfId="0" applyNumberFormat="1" applyFont="1" applyFill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/>
    </xf>
    <xf numFmtId="164" fontId="10" fillId="0" borderId="5" xfId="0" applyNumberFormat="1" applyFont="1" applyFill="1" applyBorder="1" applyAlignment="1">
      <alignment horizontal="center" vertical="center"/>
    </xf>
    <xf numFmtId="164" fontId="10" fillId="0" borderId="2" xfId="0" applyNumberFormat="1" applyFont="1" applyBorder="1" applyAlignment="1">
      <alignment horizontal="center" vertical="center"/>
    </xf>
    <xf numFmtId="164" fontId="10" fillId="0" borderId="4" xfId="0" applyNumberFormat="1" applyFont="1" applyBorder="1" applyAlignment="1">
      <alignment horizontal="center" vertical="center"/>
    </xf>
    <xf numFmtId="164" fontId="10" fillId="0" borderId="3" xfId="0" applyNumberFormat="1" applyFont="1" applyBorder="1" applyAlignment="1">
      <alignment horizontal="center" vertical="center"/>
    </xf>
    <xf numFmtId="164" fontId="10" fillId="0" borderId="40" xfId="0" applyNumberFormat="1" applyFont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 vertical="center"/>
    </xf>
    <xf numFmtId="164" fontId="11" fillId="0" borderId="0" xfId="0" applyNumberFormat="1" applyFont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 vertical="center"/>
    </xf>
    <xf numFmtId="164" fontId="11" fillId="0" borderId="41" xfId="0" applyNumberFormat="1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right" vertical="center"/>
    </xf>
    <xf numFmtId="164" fontId="11" fillId="0" borderId="0" xfId="0" applyNumberFormat="1" applyFont="1" applyBorder="1" applyAlignment="1">
      <alignment horizontal="right" vertical="center"/>
    </xf>
    <xf numFmtId="164" fontId="11" fillId="0" borderId="7" xfId="0" applyNumberFormat="1" applyFont="1" applyBorder="1" applyAlignment="1">
      <alignment horizontal="right" vertical="center"/>
    </xf>
    <xf numFmtId="165" fontId="9" fillId="2" borderId="44" xfId="0" applyNumberFormat="1" applyFont="1" applyFill="1" applyBorder="1" applyAlignment="1">
      <alignment horizontal="center" vertical="top"/>
    </xf>
    <xf numFmtId="165" fontId="10" fillId="2" borderId="42" xfId="0" applyNumberFormat="1" applyFont="1" applyFill="1" applyBorder="1" applyAlignment="1">
      <alignment horizontal="center" vertical="center"/>
    </xf>
    <xf numFmtId="165" fontId="10" fillId="2" borderId="29" xfId="0" applyNumberFormat="1" applyFont="1" applyFill="1" applyBorder="1" applyAlignment="1">
      <alignment horizontal="center" vertical="center"/>
    </xf>
    <xf numFmtId="165" fontId="10" fillId="2" borderId="43" xfId="0" applyNumberFormat="1" applyFont="1" applyFill="1" applyBorder="1" applyAlignment="1">
      <alignment horizontal="center" vertical="center"/>
    </xf>
    <xf numFmtId="165" fontId="19" fillId="2" borderId="42" xfId="0" applyNumberFormat="1" applyFont="1" applyFill="1" applyBorder="1" applyAlignment="1">
      <alignment horizontal="center" vertical="center"/>
    </xf>
    <xf numFmtId="165" fontId="19" fillId="2" borderId="29" xfId="0" applyNumberFormat="1" applyFont="1" applyFill="1" applyBorder="1" applyAlignment="1">
      <alignment horizontal="center" vertical="center"/>
    </xf>
    <xf numFmtId="165" fontId="19" fillId="2" borderId="43" xfId="0" applyNumberFormat="1" applyFont="1" applyFill="1" applyBorder="1" applyAlignment="1">
      <alignment horizontal="center" vertical="center"/>
    </xf>
    <xf numFmtId="164" fontId="10" fillId="0" borderId="40" xfId="0" applyNumberFormat="1" applyFont="1" applyBorder="1" applyAlignment="1">
      <alignment horizontal="center" vertical="center" wrapText="1"/>
    </xf>
    <xf numFmtId="164" fontId="10" fillId="0" borderId="1" xfId="0" applyNumberFormat="1" applyFont="1" applyBorder="1" applyAlignment="1">
      <alignment horizontal="center" vertical="center" wrapText="1"/>
    </xf>
    <xf numFmtId="164" fontId="10" fillId="0" borderId="5" xfId="0" applyNumberFormat="1" applyFont="1" applyBorder="1" applyAlignment="1">
      <alignment horizontal="center" vertical="center" wrapText="1"/>
    </xf>
    <xf numFmtId="164" fontId="10" fillId="0" borderId="6" xfId="0" applyNumberFormat="1" applyFont="1" applyBorder="1" applyAlignment="1">
      <alignment horizontal="center" vertical="center" wrapText="1"/>
    </xf>
    <xf numFmtId="164" fontId="10" fillId="0" borderId="0" xfId="0" applyNumberFormat="1" applyFont="1" applyBorder="1" applyAlignment="1">
      <alignment horizontal="center" vertical="center" wrapText="1"/>
    </xf>
    <xf numFmtId="164" fontId="10" fillId="0" borderId="7" xfId="0" applyNumberFormat="1" applyFont="1" applyBorder="1" applyAlignment="1">
      <alignment horizontal="center" vertical="center" wrapText="1"/>
    </xf>
    <xf numFmtId="165" fontId="25" fillId="2" borderId="44" xfId="0" applyNumberFormat="1" applyFont="1" applyFill="1" applyBorder="1" applyAlignment="1">
      <alignment horizontal="left" vertical="top"/>
    </xf>
    <xf numFmtId="164" fontId="10" fillId="0" borderId="6" xfId="0" applyNumberFormat="1" applyFont="1" applyBorder="1" applyAlignment="1">
      <alignment horizontal="center" vertical="center"/>
    </xf>
    <xf numFmtId="164" fontId="10" fillId="0" borderId="0" xfId="0" applyNumberFormat="1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10" fillId="0" borderId="10" xfId="0" applyNumberFormat="1" applyFont="1" applyBorder="1" applyAlignment="1">
      <alignment horizontal="center" vertical="center"/>
    </xf>
    <xf numFmtId="0" fontId="18" fillId="2" borderId="44" xfId="0" applyFont="1" applyFill="1" applyBorder="1" applyAlignment="1">
      <alignment horizontal="center" vertical="center"/>
    </xf>
    <xf numFmtId="165" fontId="21" fillId="2" borderId="44" xfId="0" applyNumberFormat="1" applyFont="1" applyFill="1" applyBorder="1" applyAlignment="1">
      <alignment horizontal="center" vertical="center"/>
    </xf>
    <xf numFmtId="165" fontId="22" fillId="2" borderId="44" xfId="0" applyNumberFormat="1" applyFont="1" applyFill="1" applyBorder="1" applyAlignment="1">
      <alignment horizontal="center" vertical="center"/>
    </xf>
    <xf numFmtId="165" fontId="21" fillId="2" borderId="44" xfId="0" applyNumberFormat="1" applyFont="1" applyFill="1" applyBorder="1" applyAlignment="1">
      <alignment horizontal="center" vertical="top"/>
    </xf>
    <xf numFmtId="0" fontId="34" fillId="3" borderId="6" xfId="0" applyFont="1" applyFill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3" xfId="0" applyFont="1" applyBorder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0" fillId="0" borderId="23" xfId="0" applyFont="1" applyBorder="1" applyAlignment="1">
      <alignment horizontal="center" vertical="center"/>
    </xf>
    <xf numFmtId="165" fontId="23" fillId="2" borderId="44" xfId="0" applyNumberFormat="1" applyFont="1" applyFill="1" applyBorder="1" applyAlignment="1">
      <alignment horizontal="center" vertical="center"/>
    </xf>
    <xf numFmtId="0" fontId="11" fillId="0" borderId="6" xfId="0" applyFont="1" applyBorder="1" applyAlignment="1">
      <alignment horizontal="left" vertical="center"/>
    </xf>
    <xf numFmtId="0" fontId="11" fillId="0" borderId="6" xfId="0" applyFont="1" applyBorder="1" applyAlignment="1">
      <alignment horizontal="right" vertical="center"/>
    </xf>
    <xf numFmtId="0" fontId="11" fillId="0" borderId="0" xfId="0" applyFont="1" applyBorder="1" applyAlignment="1">
      <alignment horizontal="right" vertical="center"/>
    </xf>
    <xf numFmtId="0" fontId="11" fillId="0" borderId="7" xfId="0" applyFont="1" applyBorder="1" applyAlignment="1">
      <alignment horizontal="right" vertical="center"/>
    </xf>
    <xf numFmtId="0" fontId="10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6" fillId="0" borderId="44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0" fillId="0" borderId="19" xfId="2" applyFont="1" applyBorder="1" applyAlignment="1">
      <alignment horizontal="center" vertical="center"/>
    </xf>
    <xf numFmtId="0" fontId="10" fillId="0" borderId="21" xfId="2" applyFont="1" applyBorder="1" applyAlignment="1">
      <alignment horizontal="center" vertical="center"/>
    </xf>
    <xf numFmtId="0" fontId="10" fillId="0" borderId="20" xfId="2" applyFont="1" applyBorder="1" applyAlignment="1">
      <alignment horizontal="center" vertical="center"/>
    </xf>
    <xf numFmtId="0" fontId="11" fillId="0" borderId="14" xfId="2" applyFont="1" applyBorder="1" applyAlignment="1">
      <alignment horizontal="center" vertical="center"/>
    </xf>
    <xf numFmtId="0" fontId="11" fillId="0" borderId="11" xfId="2" applyFont="1" applyBorder="1" applyAlignment="1">
      <alignment horizontal="center" vertical="center"/>
    </xf>
    <xf numFmtId="0" fontId="11" fillId="0" borderId="15" xfId="2" applyFont="1" applyBorder="1" applyAlignment="1">
      <alignment horizontal="center" vertical="center"/>
    </xf>
    <xf numFmtId="0" fontId="4" fillId="2" borderId="29" xfId="2" applyFont="1" applyFill="1" applyBorder="1" applyAlignment="1">
      <alignment horizontal="center" vertical="center"/>
    </xf>
    <xf numFmtId="0" fontId="4" fillId="2" borderId="43" xfId="2" applyFont="1" applyFill="1" applyBorder="1" applyAlignment="1">
      <alignment horizontal="center" vertical="center"/>
    </xf>
    <xf numFmtId="9" fontId="30" fillId="2" borderId="42" xfId="2" applyNumberFormat="1" applyFont="1" applyFill="1" applyBorder="1" applyAlignment="1">
      <alignment horizontal="center" vertical="center"/>
    </xf>
    <xf numFmtId="0" fontId="30" fillId="2" borderId="29" xfId="2" applyFont="1" applyFill="1" applyBorder="1" applyAlignment="1">
      <alignment horizontal="center" vertical="center"/>
    </xf>
    <xf numFmtId="0" fontId="34" fillId="3" borderId="0" xfId="2" applyFont="1" applyFill="1" applyBorder="1" applyAlignment="1">
      <alignment horizontal="center" vertical="center" wrapText="1"/>
    </xf>
    <xf numFmtId="0" fontId="6" fillId="3" borderId="0" xfId="2" applyFont="1" applyFill="1" applyBorder="1" applyAlignment="1">
      <alignment horizontal="center" vertical="center"/>
    </xf>
    <xf numFmtId="0" fontId="6" fillId="3" borderId="12" xfId="2" applyFont="1" applyFill="1" applyBorder="1" applyAlignment="1">
      <alignment horizontal="center" vertical="center"/>
    </xf>
    <xf numFmtId="0" fontId="6" fillId="3" borderId="27" xfId="2" applyFont="1" applyFill="1" applyBorder="1" applyAlignment="1">
      <alignment horizontal="center" vertical="center"/>
    </xf>
    <xf numFmtId="0" fontId="6" fillId="3" borderId="52" xfId="2" applyFont="1" applyFill="1" applyBorder="1" applyAlignment="1">
      <alignment horizontal="center" vertical="center"/>
    </xf>
    <xf numFmtId="0" fontId="11" fillId="0" borderId="13" xfId="2" applyFont="1" applyBorder="1" applyAlignment="1">
      <alignment horizontal="right" vertical="center"/>
    </xf>
    <xf numFmtId="0" fontId="11" fillId="0" borderId="0" xfId="2" applyFont="1" applyBorder="1" applyAlignment="1">
      <alignment horizontal="right" vertical="center"/>
    </xf>
    <xf numFmtId="0" fontId="11" fillId="0" borderId="12" xfId="2" applyFont="1" applyBorder="1" applyAlignment="1">
      <alignment horizontal="right" vertical="center"/>
    </xf>
    <xf numFmtId="165" fontId="9" fillId="2" borderId="44" xfId="2" applyNumberFormat="1" applyFont="1" applyFill="1" applyBorder="1" applyAlignment="1">
      <alignment horizontal="left" vertical="center"/>
    </xf>
    <xf numFmtId="165" fontId="9" fillId="2" borderId="44" xfId="2" applyNumberFormat="1" applyFont="1" applyFill="1" applyBorder="1" applyAlignment="1">
      <alignment horizontal="center" vertical="center"/>
    </xf>
    <xf numFmtId="165" fontId="9" fillId="2" borderId="44" xfId="2" applyNumberFormat="1" applyFont="1" applyFill="1" applyBorder="1" applyAlignment="1">
      <alignment vertical="center"/>
    </xf>
    <xf numFmtId="165" fontId="9" fillId="2" borderId="13" xfId="2" applyNumberFormat="1" applyFont="1" applyFill="1" applyBorder="1" applyAlignment="1">
      <alignment vertical="center"/>
    </xf>
    <xf numFmtId="165" fontId="9" fillId="2" borderId="0" xfId="2" applyNumberFormat="1" applyFont="1" applyFill="1" applyBorder="1" applyAlignment="1">
      <alignment vertical="center"/>
    </xf>
    <xf numFmtId="165" fontId="9" fillId="2" borderId="12" xfId="2" applyNumberFormat="1" applyFont="1" applyFill="1" applyBorder="1" applyAlignment="1">
      <alignment vertical="center"/>
    </xf>
    <xf numFmtId="165" fontId="9" fillId="2" borderId="13" xfId="2" applyNumberFormat="1" applyFont="1" applyFill="1" applyBorder="1" applyAlignment="1">
      <alignment horizontal="center" vertical="center"/>
    </xf>
    <xf numFmtId="165" fontId="9" fillId="2" borderId="0" xfId="2" applyNumberFormat="1" applyFont="1" applyFill="1" applyBorder="1" applyAlignment="1">
      <alignment horizontal="center" vertical="center"/>
    </xf>
    <xf numFmtId="165" fontId="9" fillId="2" borderId="12" xfId="2" applyNumberFormat="1" applyFont="1" applyFill="1" applyBorder="1" applyAlignment="1">
      <alignment horizontal="center" vertical="center"/>
    </xf>
    <xf numFmtId="165" fontId="9" fillId="2" borderId="13" xfId="2" applyNumberFormat="1" applyFont="1" applyFill="1" applyBorder="1" applyAlignment="1">
      <alignment horizontal="left" vertical="center"/>
    </xf>
    <xf numFmtId="165" fontId="9" fillId="2" borderId="0" xfId="2" applyNumberFormat="1" applyFont="1" applyFill="1" applyBorder="1" applyAlignment="1">
      <alignment horizontal="left" vertical="center"/>
    </xf>
    <xf numFmtId="165" fontId="9" fillId="2" borderId="12" xfId="2" applyNumberFormat="1" applyFont="1" applyFill="1" applyBorder="1" applyAlignment="1">
      <alignment horizontal="left" vertical="center"/>
    </xf>
    <xf numFmtId="0" fontId="11" fillId="0" borderId="14" xfId="2" applyFont="1" applyBorder="1" applyAlignment="1">
      <alignment horizontal="right" vertical="center"/>
    </xf>
    <xf numFmtId="0" fontId="11" fillId="0" borderId="11" xfId="2" applyFont="1" applyBorder="1" applyAlignment="1">
      <alignment horizontal="right" vertical="center"/>
    </xf>
    <xf numFmtId="0" fontId="11" fillId="0" borderId="15" xfId="2" applyFont="1" applyBorder="1" applyAlignment="1">
      <alignment horizontal="right" vertical="center"/>
    </xf>
    <xf numFmtId="0" fontId="10" fillId="0" borderId="31" xfId="2" applyFont="1" applyBorder="1" applyAlignment="1">
      <alignment horizontal="center" vertical="center"/>
    </xf>
    <xf numFmtId="0" fontId="10" fillId="0" borderId="30" xfId="2" applyFont="1" applyBorder="1" applyAlignment="1">
      <alignment horizontal="center" vertical="center"/>
    </xf>
    <xf numFmtId="0" fontId="10" fillId="0" borderId="33" xfId="2" applyFont="1" applyBorder="1" applyAlignment="1">
      <alignment horizontal="center" vertical="center"/>
    </xf>
    <xf numFmtId="0" fontId="11" fillId="0" borderId="22" xfId="2" applyFont="1" applyBorder="1" applyAlignment="1">
      <alignment horizontal="right" vertical="center"/>
    </xf>
    <xf numFmtId="0" fontId="11" fillId="0" borderId="1" xfId="2" applyFont="1" applyBorder="1" applyAlignment="1">
      <alignment horizontal="right" vertical="center"/>
    </xf>
    <xf numFmtId="0" fontId="11" fillId="0" borderId="5" xfId="2" applyFont="1" applyBorder="1" applyAlignment="1">
      <alignment horizontal="right" vertical="center"/>
    </xf>
    <xf numFmtId="165" fontId="10" fillId="0" borderId="0" xfId="2" applyNumberFormat="1" applyFont="1" applyBorder="1" applyAlignment="1">
      <alignment horizontal="center" vertical="center"/>
    </xf>
    <xf numFmtId="165" fontId="10" fillId="0" borderId="12" xfId="2" applyNumberFormat="1" applyFont="1" applyBorder="1" applyAlignment="1">
      <alignment horizontal="center" vertical="center"/>
    </xf>
    <xf numFmtId="165" fontId="10" fillId="0" borderId="7" xfId="2" applyNumberFormat="1" applyFont="1" applyBorder="1" applyAlignment="1">
      <alignment horizontal="center" vertical="center"/>
    </xf>
    <xf numFmtId="0" fontId="11" fillId="0" borderId="6" xfId="2" applyFont="1" applyBorder="1" applyAlignment="1">
      <alignment horizontal="right" vertical="center"/>
    </xf>
    <xf numFmtId="0" fontId="11" fillId="0" borderId="7" xfId="2" applyFont="1" applyBorder="1" applyAlignment="1">
      <alignment horizontal="right" vertical="center"/>
    </xf>
    <xf numFmtId="0" fontId="10" fillId="0" borderId="13" xfId="2" applyFont="1" applyBorder="1" applyAlignment="1">
      <alignment horizontal="left" vertical="center" wrapText="1"/>
    </xf>
    <xf numFmtId="0" fontId="10" fillId="0" borderId="0" xfId="2" applyFont="1" applyBorder="1" applyAlignment="1">
      <alignment horizontal="left" vertical="center" wrapText="1"/>
    </xf>
    <xf numFmtId="0" fontId="10" fillId="0" borderId="25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0" fillId="0" borderId="12" xfId="2" applyFont="1" applyBorder="1" applyAlignment="1">
      <alignment horizontal="left" vertical="center"/>
    </xf>
    <xf numFmtId="165" fontId="9" fillId="2" borderId="42" xfId="2" applyNumberFormat="1" applyFont="1" applyFill="1" applyBorder="1" applyAlignment="1">
      <alignment horizontal="right" vertical="center"/>
    </xf>
    <xf numFmtId="165" fontId="9" fillId="2" borderId="29" xfId="2" applyNumberFormat="1" applyFont="1" applyFill="1" applyBorder="1" applyAlignment="1">
      <alignment horizontal="right" vertical="center"/>
    </xf>
    <xf numFmtId="165" fontId="9" fillId="2" borderId="43" xfId="2" applyNumberFormat="1" applyFont="1" applyFill="1" applyBorder="1" applyAlignment="1">
      <alignment horizontal="right" vertical="center"/>
    </xf>
    <xf numFmtId="165" fontId="9" fillId="2" borderId="42" xfId="2" applyNumberFormat="1" applyFont="1" applyFill="1" applyBorder="1" applyAlignment="1">
      <alignment horizontal="center" vertical="center"/>
    </xf>
    <xf numFmtId="165" fontId="9" fillId="2" borderId="29" xfId="2" applyNumberFormat="1" applyFont="1" applyFill="1" applyBorder="1" applyAlignment="1">
      <alignment horizontal="center" vertical="center"/>
    </xf>
    <xf numFmtId="165" fontId="25" fillId="2" borderId="44" xfId="2" applyNumberFormat="1" applyFont="1" applyFill="1" applyBorder="1" applyAlignment="1">
      <alignment horizontal="center" vertical="center"/>
    </xf>
    <xf numFmtId="0" fontId="8" fillId="0" borderId="0" xfId="2" applyFont="1" applyBorder="1" applyAlignment="1">
      <alignment horizontal="center" vertical="center"/>
    </xf>
    <xf numFmtId="0" fontId="11" fillId="0" borderId="16" xfId="2" applyFont="1" applyBorder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0" fontId="8" fillId="0" borderId="0" xfId="2" applyFont="1" applyBorder="1" applyAlignment="1">
      <alignment horizontal="left" vertical="center"/>
    </xf>
    <xf numFmtId="0" fontId="11" fillId="0" borderId="19" xfId="2" applyFont="1" applyBorder="1" applyAlignment="1">
      <alignment horizontal="center" vertical="center"/>
    </xf>
    <xf numFmtId="0" fontId="11" fillId="0" borderId="21" xfId="2" applyFont="1" applyBorder="1" applyAlignment="1">
      <alignment horizontal="center" vertical="center"/>
    </xf>
    <xf numFmtId="0" fontId="11" fillId="0" borderId="20" xfId="2" applyFont="1" applyBorder="1" applyAlignment="1">
      <alignment horizontal="center" vertical="center"/>
    </xf>
    <xf numFmtId="0" fontId="3" fillId="3" borderId="0" xfId="2" applyFont="1" applyFill="1" applyBorder="1" applyAlignment="1">
      <alignment horizontal="center" vertical="center"/>
    </xf>
    <xf numFmtId="0" fontId="3" fillId="3" borderId="12" xfId="2" applyFont="1" applyFill="1" applyBorder="1" applyAlignment="1">
      <alignment horizontal="center" vertical="center"/>
    </xf>
    <xf numFmtId="0" fontId="11" fillId="0" borderId="13" xfId="2" applyFont="1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  <xf numFmtId="0" fontId="11" fillId="0" borderId="12" xfId="2" applyFont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0" fontId="10" fillId="0" borderId="4" xfId="2" applyFont="1" applyBorder="1" applyAlignment="1">
      <alignment horizontal="center" vertical="center"/>
    </xf>
    <xf numFmtId="0" fontId="10" fillId="0" borderId="3" xfId="2" applyFont="1" applyBorder="1" applyAlignment="1">
      <alignment horizontal="center" vertical="center"/>
    </xf>
    <xf numFmtId="0" fontId="18" fillId="0" borderId="11" xfId="2" applyFont="1" applyBorder="1" applyAlignment="1">
      <alignment horizontal="right" vertical="center"/>
    </xf>
    <xf numFmtId="0" fontId="18" fillId="0" borderId="15" xfId="2" applyFont="1" applyBorder="1" applyAlignment="1">
      <alignment horizontal="right" vertical="center"/>
    </xf>
    <xf numFmtId="0" fontId="11" fillId="0" borderId="22" xfId="2" applyFont="1" applyBorder="1" applyAlignment="1">
      <alignment horizontal="center" vertical="center" textRotation="90"/>
    </xf>
    <xf numFmtId="0" fontId="11" fillId="0" borderId="13" xfId="2" applyFont="1" applyBorder="1" applyAlignment="1">
      <alignment horizontal="center" vertical="center" textRotation="90"/>
    </xf>
    <xf numFmtId="0" fontId="11" fillId="0" borderId="1" xfId="2" applyFont="1" applyBorder="1" applyAlignment="1">
      <alignment horizontal="center" vertical="center" textRotation="90"/>
    </xf>
    <xf numFmtId="0" fontId="11" fillId="0" borderId="0" xfId="2" applyFont="1" applyBorder="1" applyAlignment="1">
      <alignment horizontal="center" vertical="center" textRotation="90"/>
    </xf>
    <xf numFmtId="0" fontId="18" fillId="0" borderId="13" xfId="2" applyFont="1" applyBorder="1" applyAlignment="1">
      <alignment horizontal="center" vertical="center" textRotation="90"/>
    </xf>
    <xf numFmtId="9" fontId="29" fillId="2" borderId="29" xfId="2" applyNumberFormat="1" applyFont="1" applyFill="1" applyBorder="1" applyAlignment="1">
      <alignment horizontal="center" vertical="center"/>
    </xf>
    <xf numFmtId="0" fontId="29" fillId="2" borderId="29" xfId="2" applyFont="1" applyFill="1" applyBorder="1" applyAlignment="1">
      <alignment horizontal="center" vertical="center"/>
    </xf>
    <xf numFmtId="165" fontId="23" fillId="2" borderId="44" xfId="2" applyNumberFormat="1" applyFont="1" applyFill="1" applyBorder="1" applyAlignment="1">
      <alignment horizontal="center" vertical="center"/>
    </xf>
    <xf numFmtId="165" fontId="23" fillId="2" borderId="44" xfId="2" applyNumberFormat="1" applyFont="1" applyFill="1" applyBorder="1" applyAlignment="1">
      <alignment horizontal="left" vertical="center"/>
    </xf>
    <xf numFmtId="0" fontId="8" fillId="0" borderId="0" xfId="3" applyFont="1" applyBorder="1" applyAlignment="1">
      <alignment horizontal="center" vertical="center"/>
    </xf>
    <xf numFmtId="0" fontId="9" fillId="0" borderId="6" xfId="3" applyFont="1" applyBorder="1" applyAlignment="1">
      <alignment horizontal="center" vertical="center"/>
    </xf>
    <xf numFmtId="0" fontId="9" fillId="0" borderId="0" xfId="3" applyFont="1" applyBorder="1" applyAlignment="1">
      <alignment horizontal="center" vertical="center"/>
    </xf>
    <xf numFmtId="0" fontId="9" fillId="0" borderId="7" xfId="3" applyFont="1" applyBorder="1" applyAlignment="1">
      <alignment horizontal="center" vertical="center"/>
    </xf>
    <xf numFmtId="0" fontId="4" fillId="2" borderId="44" xfId="3" applyFont="1" applyFill="1" applyBorder="1" applyAlignment="1">
      <alignment horizontal="center" vertical="center"/>
    </xf>
    <xf numFmtId="0" fontId="31" fillId="3" borderId="14" xfId="1" applyFont="1" applyFill="1" applyBorder="1" applyAlignment="1">
      <alignment horizontal="center" vertical="center" wrapText="1"/>
    </xf>
    <xf numFmtId="0" fontId="33" fillId="3" borderId="11" xfId="1" applyFont="1" applyFill="1" applyBorder="1" applyAlignment="1">
      <alignment horizontal="center" vertical="center"/>
    </xf>
    <xf numFmtId="0" fontId="33" fillId="3" borderId="15" xfId="1" applyFont="1" applyFill="1" applyBorder="1" applyAlignment="1">
      <alignment horizontal="center" vertical="center"/>
    </xf>
    <xf numFmtId="0" fontId="33" fillId="3" borderId="13" xfId="1" applyFont="1" applyFill="1" applyBorder="1" applyAlignment="1">
      <alignment horizontal="center" vertical="center"/>
    </xf>
    <xf numFmtId="0" fontId="33" fillId="3" borderId="0" xfId="1" applyFont="1" applyFill="1" applyBorder="1" applyAlignment="1">
      <alignment horizontal="center" vertical="center"/>
    </xf>
    <xf numFmtId="0" fontId="33" fillId="3" borderId="12" xfId="1" applyFont="1" applyFill="1" applyBorder="1" applyAlignment="1">
      <alignment horizontal="center" vertical="center"/>
    </xf>
    <xf numFmtId="0" fontId="33" fillId="3" borderId="54" xfId="1" applyFont="1" applyFill="1" applyBorder="1" applyAlignment="1">
      <alignment horizontal="center" vertical="center"/>
    </xf>
    <xf numFmtId="0" fontId="33" fillId="3" borderId="27" xfId="1" applyFont="1" applyFill="1" applyBorder="1" applyAlignment="1">
      <alignment horizontal="center" vertical="center"/>
    </xf>
    <xf numFmtId="0" fontId="33" fillId="3" borderId="52" xfId="1" applyFont="1" applyFill="1" applyBorder="1" applyAlignment="1">
      <alignment horizontal="center" vertical="center"/>
    </xf>
    <xf numFmtId="0" fontId="3" fillId="0" borderId="0" xfId="3" applyFont="1" applyBorder="1" applyAlignment="1">
      <alignment horizontal="left" vertical="center"/>
    </xf>
    <xf numFmtId="0" fontId="8" fillId="0" borderId="0" xfId="3" applyFont="1" applyBorder="1" applyAlignment="1">
      <alignment horizontal="left" vertical="center"/>
    </xf>
  </cellXfs>
  <cellStyles count="4">
    <cellStyle name="Гиперссылка" xfId="1" builtinId="8"/>
    <cellStyle name="Обычный" xfId="0" builtinId="0"/>
    <cellStyle name="Обычный 2" xfId="2"/>
    <cellStyle name="Обычный 2 2" xfId="3"/>
  </cellStyles>
  <dxfs count="0"/>
  <tableStyles count="0" defaultTableStyle="TableStyleMedium2" defaultPivotStyle="PivotStyleMedium9"/>
  <colors>
    <mruColors>
      <color rgb="FFFFD889"/>
      <color rgb="FFFFCC66"/>
      <color rgb="FFECBB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8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7.jpeg"/><Relationship Id="rId18" Type="http://schemas.openxmlformats.org/officeDocument/2006/relationships/image" Target="../media/image52.jpeg"/><Relationship Id="rId26" Type="http://schemas.openxmlformats.org/officeDocument/2006/relationships/image" Target="../media/image60.jpeg"/><Relationship Id="rId39" Type="http://schemas.openxmlformats.org/officeDocument/2006/relationships/image" Target="../media/image73.png"/><Relationship Id="rId21" Type="http://schemas.openxmlformats.org/officeDocument/2006/relationships/image" Target="../media/image55.jpeg"/><Relationship Id="rId34" Type="http://schemas.openxmlformats.org/officeDocument/2006/relationships/image" Target="../media/image68.jpeg"/><Relationship Id="rId42" Type="http://schemas.openxmlformats.org/officeDocument/2006/relationships/image" Target="../media/image76.png"/><Relationship Id="rId7" Type="http://schemas.openxmlformats.org/officeDocument/2006/relationships/image" Target="../media/image41.jpeg"/><Relationship Id="rId2" Type="http://schemas.openxmlformats.org/officeDocument/2006/relationships/image" Target="../media/image36.jpeg"/><Relationship Id="rId16" Type="http://schemas.openxmlformats.org/officeDocument/2006/relationships/image" Target="../media/image50.jpeg"/><Relationship Id="rId20" Type="http://schemas.openxmlformats.org/officeDocument/2006/relationships/image" Target="../media/image54.jpeg"/><Relationship Id="rId29" Type="http://schemas.openxmlformats.org/officeDocument/2006/relationships/image" Target="../media/image63.png"/><Relationship Id="rId41" Type="http://schemas.openxmlformats.org/officeDocument/2006/relationships/image" Target="../media/image75.png"/><Relationship Id="rId1" Type="http://schemas.openxmlformats.org/officeDocument/2006/relationships/image" Target="../media/image35.jpeg"/><Relationship Id="rId6" Type="http://schemas.openxmlformats.org/officeDocument/2006/relationships/image" Target="../media/image40.jpeg"/><Relationship Id="rId11" Type="http://schemas.openxmlformats.org/officeDocument/2006/relationships/image" Target="../media/image45.jpeg"/><Relationship Id="rId24" Type="http://schemas.openxmlformats.org/officeDocument/2006/relationships/image" Target="../media/image58.gif"/><Relationship Id="rId32" Type="http://schemas.openxmlformats.org/officeDocument/2006/relationships/image" Target="../media/image66.jpeg"/><Relationship Id="rId37" Type="http://schemas.openxmlformats.org/officeDocument/2006/relationships/image" Target="../media/image71.png"/><Relationship Id="rId40" Type="http://schemas.openxmlformats.org/officeDocument/2006/relationships/image" Target="../media/image74.png"/><Relationship Id="rId5" Type="http://schemas.openxmlformats.org/officeDocument/2006/relationships/image" Target="../media/image39.jpeg"/><Relationship Id="rId15" Type="http://schemas.openxmlformats.org/officeDocument/2006/relationships/image" Target="../media/image49.jpeg"/><Relationship Id="rId23" Type="http://schemas.openxmlformats.org/officeDocument/2006/relationships/image" Target="../media/image57.jpeg"/><Relationship Id="rId28" Type="http://schemas.openxmlformats.org/officeDocument/2006/relationships/image" Target="../media/image62.jpeg"/><Relationship Id="rId36" Type="http://schemas.openxmlformats.org/officeDocument/2006/relationships/image" Target="../media/image70.jpeg"/><Relationship Id="rId10" Type="http://schemas.openxmlformats.org/officeDocument/2006/relationships/image" Target="../media/image44.jpeg"/><Relationship Id="rId19" Type="http://schemas.openxmlformats.org/officeDocument/2006/relationships/image" Target="../media/image53.jpeg"/><Relationship Id="rId31" Type="http://schemas.openxmlformats.org/officeDocument/2006/relationships/image" Target="../media/image65.jpeg"/><Relationship Id="rId4" Type="http://schemas.openxmlformats.org/officeDocument/2006/relationships/image" Target="../media/image38.jpeg"/><Relationship Id="rId9" Type="http://schemas.openxmlformats.org/officeDocument/2006/relationships/image" Target="../media/image43.jpeg"/><Relationship Id="rId14" Type="http://schemas.openxmlformats.org/officeDocument/2006/relationships/image" Target="../media/image48.jpeg"/><Relationship Id="rId22" Type="http://schemas.openxmlformats.org/officeDocument/2006/relationships/image" Target="../media/image56.jpeg"/><Relationship Id="rId27" Type="http://schemas.openxmlformats.org/officeDocument/2006/relationships/image" Target="../media/image61.jpeg"/><Relationship Id="rId30" Type="http://schemas.openxmlformats.org/officeDocument/2006/relationships/image" Target="../media/image64.png"/><Relationship Id="rId35" Type="http://schemas.openxmlformats.org/officeDocument/2006/relationships/image" Target="../media/image69.jpeg"/><Relationship Id="rId43" Type="http://schemas.openxmlformats.org/officeDocument/2006/relationships/image" Target="../media/image34.png"/><Relationship Id="rId8" Type="http://schemas.openxmlformats.org/officeDocument/2006/relationships/image" Target="../media/image42.jpeg"/><Relationship Id="rId3" Type="http://schemas.openxmlformats.org/officeDocument/2006/relationships/image" Target="../media/image37.jpeg"/><Relationship Id="rId12" Type="http://schemas.openxmlformats.org/officeDocument/2006/relationships/image" Target="../media/image46.jpeg"/><Relationship Id="rId17" Type="http://schemas.openxmlformats.org/officeDocument/2006/relationships/image" Target="../media/image51.jpeg"/><Relationship Id="rId25" Type="http://schemas.openxmlformats.org/officeDocument/2006/relationships/image" Target="../media/image59.jpeg"/><Relationship Id="rId33" Type="http://schemas.openxmlformats.org/officeDocument/2006/relationships/image" Target="../media/image67.jpeg"/><Relationship Id="rId38" Type="http://schemas.openxmlformats.org/officeDocument/2006/relationships/image" Target="../media/image7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png"/><Relationship Id="rId13" Type="http://schemas.openxmlformats.org/officeDocument/2006/relationships/image" Target="../media/image89.jpeg"/><Relationship Id="rId18" Type="http://schemas.openxmlformats.org/officeDocument/2006/relationships/image" Target="../media/image94.png"/><Relationship Id="rId26" Type="http://schemas.openxmlformats.org/officeDocument/2006/relationships/image" Target="../media/image102.jpeg"/><Relationship Id="rId3" Type="http://schemas.openxmlformats.org/officeDocument/2006/relationships/image" Target="../media/image79.jpeg"/><Relationship Id="rId21" Type="http://schemas.openxmlformats.org/officeDocument/2006/relationships/image" Target="../media/image97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5" Type="http://schemas.openxmlformats.org/officeDocument/2006/relationships/image" Target="../media/image101.jpeg"/><Relationship Id="rId2" Type="http://schemas.openxmlformats.org/officeDocument/2006/relationships/image" Target="../media/image78.png"/><Relationship Id="rId16" Type="http://schemas.openxmlformats.org/officeDocument/2006/relationships/image" Target="../media/image92.jpeg"/><Relationship Id="rId20" Type="http://schemas.openxmlformats.org/officeDocument/2006/relationships/image" Target="../media/image96.jpeg"/><Relationship Id="rId29" Type="http://schemas.openxmlformats.org/officeDocument/2006/relationships/image" Target="../media/image105.jpg"/><Relationship Id="rId1" Type="http://schemas.openxmlformats.org/officeDocument/2006/relationships/image" Target="../media/image77.png"/><Relationship Id="rId6" Type="http://schemas.openxmlformats.org/officeDocument/2006/relationships/image" Target="../media/image82.png"/><Relationship Id="rId11" Type="http://schemas.openxmlformats.org/officeDocument/2006/relationships/image" Target="../media/image87.jpeg"/><Relationship Id="rId24" Type="http://schemas.openxmlformats.org/officeDocument/2006/relationships/image" Target="../media/image100.png"/><Relationship Id="rId32" Type="http://schemas.openxmlformats.org/officeDocument/2006/relationships/image" Target="../media/image34.png"/><Relationship Id="rId5" Type="http://schemas.openxmlformats.org/officeDocument/2006/relationships/image" Target="../media/image81.png"/><Relationship Id="rId15" Type="http://schemas.openxmlformats.org/officeDocument/2006/relationships/image" Target="../media/image91.jpeg"/><Relationship Id="rId23" Type="http://schemas.openxmlformats.org/officeDocument/2006/relationships/image" Target="../media/image99.png"/><Relationship Id="rId28" Type="http://schemas.openxmlformats.org/officeDocument/2006/relationships/image" Target="../media/image104.jpg"/><Relationship Id="rId10" Type="http://schemas.openxmlformats.org/officeDocument/2006/relationships/image" Target="../media/image86.jpeg"/><Relationship Id="rId19" Type="http://schemas.openxmlformats.org/officeDocument/2006/relationships/image" Target="../media/image95.jpg"/><Relationship Id="rId31" Type="http://schemas.openxmlformats.org/officeDocument/2006/relationships/image" Target="../media/image107.png"/><Relationship Id="rId4" Type="http://schemas.openxmlformats.org/officeDocument/2006/relationships/image" Target="../media/image80.jpeg"/><Relationship Id="rId9" Type="http://schemas.openxmlformats.org/officeDocument/2006/relationships/image" Target="../media/image85.jpeg"/><Relationship Id="rId14" Type="http://schemas.openxmlformats.org/officeDocument/2006/relationships/image" Target="../media/image90.jpeg"/><Relationship Id="rId22" Type="http://schemas.openxmlformats.org/officeDocument/2006/relationships/image" Target="../media/image98.jpeg"/><Relationship Id="rId27" Type="http://schemas.openxmlformats.org/officeDocument/2006/relationships/image" Target="../media/image103.jpg"/><Relationship Id="rId30" Type="http://schemas.openxmlformats.org/officeDocument/2006/relationships/image" Target="../media/image106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0.jpeg"/><Relationship Id="rId18" Type="http://schemas.openxmlformats.org/officeDocument/2006/relationships/image" Target="../media/image125.jpeg"/><Relationship Id="rId26" Type="http://schemas.openxmlformats.org/officeDocument/2006/relationships/image" Target="../media/image133.jpeg"/><Relationship Id="rId21" Type="http://schemas.openxmlformats.org/officeDocument/2006/relationships/image" Target="../media/image128.jpeg"/><Relationship Id="rId34" Type="http://schemas.openxmlformats.org/officeDocument/2006/relationships/image" Target="../media/image141.jpeg"/><Relationship Id="rId7" Type="http://schemas.openxmlformats.org/officeDocument/2006/relationships/image" Target="../media/image114.jpeg"/><Relationship Id="rId12" Type="http://schemas.openxmlformats.org/officeDocument/2006/relationships/image" Target="../media/image119.jpeg"/><Relationship Id="rId17" Type="http://schemas.openxmlformats.org/officeDocument/2006/relationships/image" Target="../media/image124.jpeg"/><Relationship Id="rId25" Type="http://schemas.openxmlformats.org/officeDocument/2006/relationships/image" Target="../media/image132.jpeg"/><Relationship Id="rId33" Type="http://schemas.openxmlformats.org/officeDocument/2006/relationships/image" Target="../media/image140.jpeg"/><Relationship Id="rId38" Type="http://schemas.openxmlformats.org/officeDocument/2006/relationships/image" Target="../media/image34.png"/><Relationship Id="rId2" Type="http://schemas.openxmlformats.org/officeDocument/2006/relationships/image" Target="../media/image109.png"/><Relationship Id="rId16" Type="http://schemas.openxmlformats.org/officeDocument/2006/relationships/image" Target="../media/image123.jpeg"/><Relationship Id="rId20" Type="http://schemas.openxmlformats.org/officeDocument/2006/relationships/image" Target="../media/image127.jpeg"/><Relationship Id="rId29" Type="http://schemas.openxmlformats.org/officeDocument/2006/relationships/image" Target="../media/image136.jpeg"/><Relationship Id="rId1" Type="http://schemas.openxmlformats.org/officeDocument/2006/relationships/image" Target="../media/image108.png"/><Relationship Id="rId6" Type="http://schemas.openxmlformats.org/officeDocument/2006/relationships/image" Target="../media/image113.jpeg"/><Relationship Id="rId11" Type="http://schemas.openxmlformats.org/officeDocument/2006/relationships/image" Target="../media/image118.jpeg"/><Relationship Id="rId24" Type="http://schemas.openxmlformats.org/officeDocument/2006/relationships/image" Target="../media/image131.jpeg"/><Relationship Id="rId32" Type="http://schemas.openxmlformats.org/officeDocument/2006/relationships/image" Target="../media/image139.jpeg"/><Relationship Id="rId37" Type="http://schemas.openxmlformats.org/officeDocument/2006/relationships/image" Target="../media/image144.jpeg"/><Relationship Id="rId5" Type="http://schemas.openxmlformats.org/officeDocument/2006/relationships/image" Target="../media/image112.jpeg"/><Relationship Id="rId15" Type="http://schemas.openxmlformats.org/officeDocument/2006/relationships/image" Target="../media/image122.jpeg"/><Relationship Id="rId23" Type="http://schemas.openxmlformats.org/officeDocument/2006/relationships/image" Target="../media/image130.jpeg"/><Relationship Id="rId28" Type="http://schemas.openxmlformats.org/officeDocument/2006/relationships/image" Target="../media/image135.jpeg"/><Relationship Id="rId36" Type="http://schemas.openxmlformats.org/officeDocument/2006/relationships/image" Target="../media/image143.jpeg"/><Relationship Id="rId10" Type="http://schemas.openxmlformats.org/officeDocument/2006/relationships/image" Target="../media/image117.jpeg"/><Relationship Id="rId19" Type="http://schemas.openxmlformats.org/officeDocument/2006/relationships/image" Target="../media/image126.jpeg"/><Relationship Id="rId31" Type="http://schemas.openxmlformats.org/officeDocument/2006/relationships/image" Target="../media/image138.jpeg"/><Relationship Id="rId4" Type="http://schemas.openxmlformats.org/officeDocument/2006/relationships/image" Target="../media/image111.jpeg"/><Relationship Id="rId9" Type="http://schemas.openxmlformats.org/officeDocument/2006/relationships/image" Target="../media/image116.jpeg"/><Relationship Id="rId14" Type="http://schemas.openxmlformats.org/officeDocument/2006/relationships/image" Target="../media/image121.jpeg"/><Relationship Id="rId22" Type="http://schemas.openxmlformats.org/officeDocument/2006/relationships/image" Target="../media/image129.jpeg"/><Relationship Id="rId27" Type="http://schemas.openxmlformats.org/officeDocument/2006/relationships/image" Target="../media/image134.jpeg"/><Relationship Id="rId30" Type="http://schemas.openxmlformats.org/officeDocument/2006/relationships/image" Target="../media/image137.jpeg"/><Relationship Id="rId35" Type="http://schemas.openxmlformats.org/officeDocument/2006/relationships/image" Target="../media/image142.jpeg"/><Relationship Id="rId8" Type="http://schemas.openxmlformats.org/officeDocument/2006/relationships/image" Target="../media/image115.jpeg"/><Relationship Id="rId3" Type="http://schemas.openxmlformats.org/officeDocument/2006/relationships/image" Target="../media/image110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7.jpeg"/><Relationship Id="rId18" Type="http://schemas.openxmlformats.org/officeDocument/2006/relationships/image" Target="../media/image162.jpeg"/><Relationship Id="rId26" Type="http://schemas.openxmlformats.org/officeDocument/2006/relationships/image" Target="../media/image170.jpeg"/><Relationship Id="rId39" Type="http://schemas.openxmlformats.org/officeDocument/2006/relationships/image" Target="../media/image183.jpeg"/><Relationship Id="rId21" Type="http://schemas.openxmlformats.org/officeDocument/2006/relationships/image" Target="../media/image165.jpeg"/><Relationship Id="rId34" Type="http://schemas.openxmlformats.org/officeDocument/2006/relationships/image" Target="../media/image178.jpeg"/><Relationship Id="rId42" Type="http://schemas.openxmlformats.org/officeDocument/2006/relationships/image" Target="../media/image186.png"/><Relationship Id="rId7" Type="http://schemas.openxmlformats.org/officeDocument/2006/relationships/image" Target="../media/image151.jpeg"/><Relationship Id="rId2" Type="http://schemas.openxmlformats.org/officeDocument/2006/relationships/image" Target="../media/image146.jpeg"/><Relationship Id="rId16" Type="http://schemas.openxmlformats.org/officeDocument/2006/relationships/image" Target="../media/image160.jpeg"/><Relationship Id="rId20" Type="http://schemas.openxmlformats.org/officeDocument/2006/relationships/image" Target="../media/image164.jpeg"/><Relationship Id="rId29" Type="http://schemas.openxmlformats.org/officeDocument/2006/relationships/image" Target="../media/image173.jpeg"/><Relationship Id="rId41" Type="http://schemas.openxmlformats.org/officeDocument/2006/relationships/image" Target="../media/image185.jpeg"/><Relationship Id="rId1" Type="http://schemas.openxmlformats.org/officeDocument/2006/relationships/image" Target="../media/image145.jpeg"/><Relationship Id="rId6" Type="http://schemas.openxmlformats.org/officeDocument/2006/relationships/image" Target="../media/image150.jpeg"/><Relationship Id="rId11" Type="http://schemas.openxmlformats.org/officeDocument/2006/relationships/image" Target="../media/image155.jpeg"/><Relationship Id="rId24" Type="http://schemas.openxmlformats.org/officeDocument/2006/relationships/image" Target="../media/image168.jpeg"/><Relationship Id="rId32" Type="http://schemas.openxmlformats.org/officeDocument/2006/relationships/image" Target="../media/image176.jpeg"/><Relationship Id="rId37" Type="http://schemas.openxmlformats.org/officeDocument/2006/relationships/image" Target="../media/image181.jpeg"/><Relationship Id="rId40" Type="http://schemas.openxmlformats.org/officeDocument/2006/relationships/image" Target="../media/image184.jpeg"/><Relationship Id="rId5" Type="http://schemas.openxmlformats.org/officeDocument/2006/relationships/image" Target="../media/image149.jpeg"/><Relationship Id="rId15" Type="http://schemas.openxmlformats.org/officeDocument/2006/relationships/image" Target="../media/image159.jpeg"/><Relationship Id="rId23" Type="http://schemas.openxmlformats.org/officeDocument/2006/relationships/image" Target="../media/image167.jpeg"/><Relationship Id="rId28" Type="http://schemas.openxmlformats.org/officeDocument/2006/relationships/image" Target="../media/image172.jpeg"/><Relationship Id="rId36" Type="http://schemas.openxmlformats.org/officeDocument/2006/relationships/image" Target="../media/image180.jpeg"/><Relationship Id="rId10" Type="http://schemas.openxmlformats.org/officeDocument/2006/relationships/image" Target="../media/image154.jpeg"/><Relationship Id="rId19" Type="http://schemas.openxmlformats.org/officeDocument/2006/relationships/image" Target="../media/image163.jpeg"/><Relationship Id="rId31" Type="http://schemas.openxmlformats.org/officeDocument/2006/relationships/image" Target="../media/image175.jpeg"/><Relationship Id="rId44" Type="http://schemas.openxmlformats.org/officeDocument/2006/relationships/image" Target="../media/image34.png"/><Relationship Id="rId4" Type="http://schemas.openxmlformats.org/officeDocument/2006/relationships/image" Target="../media/image148.jpeg"/><Relationship Id="rId9" Type="http://schemas.openxmlformats.org/officeDocument/2006/relationships/image" Target="../media/image153.jpeg"/><Relationship Id="rId14" Type="http://schemas.openxmlformats.org/officeDocument/2006/relationships/image" Target="../media/image158.jpeg"/><Relationship Id="rId22" Type="http://schemas.openxmlformats.org/officeDocument/2006/relationships/image" Target="../media/image166.jpeg"/><Relationship Id="rId27" Type="http://schemas.openxmlformats.org/officeDocument/2006/relationships/image" Target="../media/image171.jpeg"/><Relationship Id="rId30" Type="http://schemas.openxmlformats.org/officeDocument/2006/relationships/image" Target="../media/image174.jpeg"/><Relationship Id="rId35" Type="http://schemas.openxmlformats.org/officeDocument/2006/relationships/image" Target="../media/image179.jpeg"/><Relationship Id="rId43" Type="http://schemas.microsoft.com/office/2007/relationships/hdphoto" Target="../media/hdphoto1.wdp"/><Relationship Id="rId8" Type="http://schemas.openxmlformats.org/officeDocument/2006/relationships/image" Target="../media/image152.jpeg"/><Relationship Id="rId3" Type="http://schemas.openxmlformats.org/officeDocument/2006/relationships/image" Target="../media/image147.jpeg"/><Relationship Id="rId12" Type="http://schemas.openxmlformats.org/officeDocument/2006/relationships/image" Target="../media/image156.jpeg"/><Relationship Id="rId17" Type="http://schemas.openxmlformats.org/officeDocument/2006/relationships/image" Target="../media/image161.jpeg"/><Relationship Id="rId25" Type="http://schemas.openxmlformats.org/officeDocument/2006/relationships/image" Target="../media/image169.jpeg"/><Relationship Id="rId33" Type="http://schemas.openxmlformats.org/officeDocument/2006/relationships/image" Target="../media/image177.jpeg"/><Relationship Id="rId38" Type="http://schemas.openxmlformats.org/officeDocument/2006/relationships/image" Target="../media/image182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9.jpeg"/><Relationship Id="rId18" Type="http://schemas.openxmlformats.org/officeDocument/2006/relationships/image" Target="../media/image204.jpeg"/><Relationship Id="rId26" Type="http://schemas.openxmlformats.org/officeDocument/2006/relationships/image" Target="../media/image212.jpeg"/><Relationship Id="rId39" Type="http://schemas.openxmlformats.org/officeDocument/2006/relationships/image" Target="../media/image225.jpeg"/><Relationship Id="rId21" Type="http://schemas.openxmlformats.org/officeDocument/2006/relationships/image" Target="../media/image207.jpeg"/><Relationship Id="rId34" Type="http://schemas.openxmlformats.org/officeDocument/2006/relationships/image" Target="../media/image220.jpeg"/><Relationship Id="rId42" Type="http://schemas.openxmlformats.org/officeDocument/2006/relationships/image" Target="../media/image228.jpeg"/><Relationship Id="rId47" Type="http://schemas.openxmlformats.org/officeDocument/2006/relationships/image" Target="../media/image34.png"/><Relationship Id="rId7" Type="http://schemas.openxmlformats.org/officeDocument/2006/relationships/image" Target="../media/image193.jpeg"/><Relationship Id="rId2" Type="http://schemas.openxmlformats.org/officeDocument/2006/relationships/image" Target="../media/image188.jpeg"/><Relationship Id="rId16" Type="http://schemas.openxmlformats.org/officeDocument/2006/relationships/image" Target="../media/image202.jpeg"/><Relationship Id="rId29" Type="http://schemas.openxmlformats.org/officeDocument/2006/relationships/image" Target="../media/image215.jpeg"/><Relationship Id="rId1" Type="http://schemas.openxmlformats.org/officeDocument/2006/relationships/image" Target="../media/image187.jpeg"/><Relationship Id="rId6" Type="http://schemas.openxmlformats.org/officeDocument/2006/relationships/image" Target="../media/image192.jpeg"/><Relationship Id="rId11" Type="http://schemas.openxmlformats.org/officeDocument/2006/relationships/image" Target="../media/image197.jpeg"/><Relationship Id="rId24" Type="http://schemas.openxmlformats.org/officeDocument/2006/relationships/image" Target="../media/image210.jpeg"/><Relationship Id="rId32" Type="http://schemas.openxmlformats.org/officeDocument/2006/relationships/image" Target="../media/image218.jpeg"/><Relationship Id="rId37" Type="http://schemas.openxmlformats.org/officeDocument/2006/relationships/image" Target="../media/image223.jpeg"/><Relationship Id="rId40" Type="http://schemas.openxmlformats.org/officeDocument/2006/relationships/image" Target="../media/image226.jpeg"/><Relationship Id="rId45" Type="http://schemas.openxmlformats.org/officeDocument/2006/relationships/image" Target="../media/image231.jpeg"/><Relationship Id="rId5" Type="http://schemas.openxmlformats.org/officeDocument/2006/relationships/image" Target="../media/image191.jpeg"/><Relationship Id="rId15" Type="http://schemas.openxmlformats.org/officeDocument/2006/relationships/image" Target="../media/image201.jpeg"/><Relationship Id="rId23" Type="http://schemas.openxmlformats.org/officeDocument/2006/relationships/image" Target="../media/image209.jpeg"/><Relationship Id="rId28" Type="http://schemas.openxmlformats.org/officeDocument/2006/relationships/image" Target="../media/image214.jpeg"/><Relationship Id="rId36" Type="http://schemas.openxmlformats.org/officeDocument/2006/relationships/image" Target="../media/image222.jpeg"/><Relationship Id="rId10" Type="http://schemas.openxmlformats.org/officeDocument/2006/relationships/image" Target="../media/image196.jpeg"/><Relationship Id="rId19" Type="http://schemas.openxmlformats.org/officeDocument/2006/relationships/image" Target="../media/image205.jpeg"/><Relationship Id="rId31" Type="http://schemas.openxmlformats.org/officeDocument/2006/relationships/image" Target="../media/image217.jpeg"/><Relationship Id="rId44" Type="http://schemas.openxmlformats.org/officeDocument/2006/relationships/image" Target="../media/image230.jpeg"/><Relationship Id="rId4" Type="http://schemas.openxmlformats.org/officeDocument/2006/relationships/image" Target="../media/image190.jpeg"/><Relationship Id="rId9" Type="http://schemas.openxmlformats.org/officeDocument/2006/relationships/image" Target="../media/image195.jpeg"/><Relationship Id="rId14" Type="http://schemas.openxmlformats.org/officeDocument/2006/relationships/image" Target="../media/image200.jpeg"/><Relationship Id="rId22" Type="http://schemas.openxmlformats.org/officeDocument/2006/relationships/image" Target="../media/image208.jpeg"/><Relationship Id="rId27" Type="http://schemas.openxmlformats.org/officeDocument/2006/relationships/image" Target="../media/image213.jpeg"/><Relationship Id="rId30" Type="http://schemas.openxmlformats.org/officeDocument/2006/relationships/image" Target="../media/image216.jpeg"/><Relationship Id="rId35" Type="http://schemas.openxmlformats.org/officeDocument/2006/relationships/image" Target="../media/image221.jpeg"/><Relationship Id="rId43" Type="http://schemas.openxmlformats.org/officeDocument/2006/relationships/image" Target="../media/image229.jpeg"/><Relationship Id="rId8" Type="http://schemas.openxmlformats.org/officeDocument/2006/relationships/image" Target="../media/image194.jpeg"/><Relationship Id="rId3" Type="http://schemas.openxmlformats.org/officeDocument/2006/relationships/image" Target="../media/image189.jpeg"/><Relationship Id="rId12" Type="http://schemas.openxmlformats.org/officeDocument/2006/relationships/image" Target="../media/image198.jpeg"/><Relationship Id="rId17" Type="http://schemas.openxmlformats.org/officeDocument/2006/relationships/image" Target="../media/image203.jpeg"/><Relationship Id="rId25" Type="http://schemas.openxmlformats.org/officeDocument/2006/relationships/image" Target="../media/image211.jpeg"/><Relationship Id="rId33" Type="http://schemas.openxmlformats.org/officeDocument/2006/relationships/image" Target="../media/image219.jpeg"/><Relationship Id="rId38" Type="http://schemas.openxmlformats.org/officeDocument/2006/relationships/image" Target="../media/image224.jpeg"/><Relationship Id="rId46" Type="http://schemas.openxmlformats.org/officeDocument/2006/relationships/image" Target="../media/image232.jpeg"/><Relationship Id="rId20" Type="http://schemas.openxmlformats.org/officeDocument/2006/relationships/image" Target="../media/image206.jpeg"/><Relationship Id="rId41" Type="http://schemas.openxmlformats.org/officeDocument/2006/relationships/image" Target="../media/image227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5.jpeg"/><Relationship Id="rId18" Type="http://schemas.openxmlformats.org/officeDocument/2006/relationships/image" Target="../media/image250.jpeg"/><Relationship Id="rId26" Type="http://schemas.openxmlformats.org/officeDocument/2006/relationships/image" Target="../media/image258.jpeg"/><Relationship Id="rId39" Type="http://schemas.openxmlformats.org/officeDocument/2006/relationships/image" Target="../media/image271.jpeg"/><Relationship Id="rId21" Type="http://schemas.openxmlformats.org/officeDocument/2006/relationships/image" Target="../media/image253.jpeg"/><Relationship Id="rId34" Type="http://schemas.openxmlformats.org/officeDocument/2006/relationships/image" Target="../media/image266.jpeg"/><Relationship Id="rId42" Type="http://schemas.openxmlformats.org/officeDocument/2006/relationships/image" Target="../media/image274.jpeg"/><Relationship Id="rId7" Type="http://schemas.openxmlformats.org/officeDocument/2006/relationships/image" Target="../media/image239.jpeg"/><Relationship Id="rId2" Type="http://schemas.openxmlformats.org/officeDocument/2006/relationships/image" Target="../media/image234.jpeg"/><Relationship Id="rId16" Type="http://schemas.openxmlformats.org/officeDocument/2006/relationships/image" Target="../media/image248.jpeg"/><Relationship Id="rId20" Type="http://schemas.openxmlformats.org/officeDocument/2006/relationships/image" Target="../media/image252.jpeg"/><Relationship Id="rId29" Type="http://schemas.openxmlformats.org/officeDocument/2006/relationships/image" Target="../media/image261.jpeg"/><Relationship Id="rId41" Type="http://schemas.openxmlformats.org/officeDocument/2006/relationships/image" Target="../media/image273.jpeg"/><Relationship Id="rId1" Type="http://schemas.openxmlformats.org/officeDocument/2006/relationships/image" Target="../media/image233.jpeg"/><Relationship Id="rId6" Type="http://schemas.openxmlformats.org/officeDocument/2006/relationships/image" Target="../media/image238.jpeg"/><Relationship Id="rId11" Type="http://schemas.openxmlformats.org/officeDocument/2006/relationships/image" Target="../media/image243.jpeg"/><Relationship Id="rId24" Type="http://schemas.openxmlformats.org/officeDocument/2006/relationships/image" Target="../media/image256.jpeg"/><Relationship Id="rId32" Type="http://schemas.openxmlformats.org/officeDocument/2006/relationships/image" Target="../media/image264.jpeg"/><Relationship Id="rId37" Type="http://schemas.openxmlformats.org/officeDocument/2006/relationships/image" Target="../media/image269.jpeg"/><Relationship Id="rId40" Type="http://schemas.openxmlformats.org/officeDocument/2006/relationships/image" Target="../media/image272.jpeg"/><Relationship Id="rId5" Type="http://schemas.openxmlformats.org/officeDocument/2006/relationships/image" Target="../media/image237.jpeg"/><Relationship Id="rId15" Type="http://schemas.openxmlformats.org/officeDocument/2006/relationships/image" Target="../media/image247.jpeg"/><Relationship Id="rId23" Type="http://schemas.openxmlformats.org/officeDocument/2006/relationships/image" Target="../media/image255.jpeg"/><Relationship Id="rId28" Type="http://schemas.openxmlformats.org/officeDocument/2006/relationships/image" Target="../media/image260.jpeg"/><Relationship Id="rId36" Type="http://schemas.openxmlformats.org/officeDocument/2006/relationships/image" Target="../media/image268.jpeg"/><Relationship Id="rId10" Type="http://schemas.openxmlformats.org/officeDocument/2006/relationships/image" Target="../media/image242.jpeg"/><Relationship Id="rId19" Type="http://schemas.openxmlformats.org/officeDocument/2006/relationships/image" Target="../media/image251.jpeg"/><Relationship Id="rId31" Type="http://schemas.openxmlformats.org/officeDocument/2006/relationships/image" Target="../media/image263.jpeg"/><Relationship Id="rId4" Type="http://schemas.openxmlformats.org/officeDocument/2006/relationships/image" Target="../media/image236.jpeg"/><Relationship Id="rId9" Type="http://schemas.openxmlformats.org/officeDocument/2006/relationships/image" Target="../media/image241.jpeg"/><Relationship Id="rId14" Type="http://schemas.openxmlformats.org/officeDocument/2006/relationships/image" Target="../media/image246.jpeg"/><Relationship Id="rId22" Type="http://schemas.openxmlformats.org/officeDocument/2006/relationships/image" Target="../media/image254.jpeg"/><Relationship Id="rId27" Type="http://schemas.openxmlformats.org/officeDocument/2006/relationships/image" Target="../media/image259.jpeg"/><Relationship Id="rId30" Type="http://schemas.openxmlformats.org/officeDocument/2006/relationships/image" Target="../media/image262.jpeg"/><Relationship Id="rId35" Type="http://schemas.openxmlformats.org/officeDocument/2006/relationships/image" Target="../media/image267.jpeg"/><Relationship Id="rId43" Type="http://schemas.openxmlformats.org/officeDocument/2006/relationships/image" Target="../media/image34.png"/><Relationship Id="rId8" Type="http://schemas.openxmlformats.org/officeDocument/2006/relationships/image" Target="../media/image240.jpeg"/><Relationship Id="rId3" Type="http://schemas.openxmlformats.org/officeDocument/2006/relationships/image" Target="../media/image235.jpeg"/><Relationship Id="rId12" Type="http://schemas.openxmlformats.org/officeDocument/2006/relationships/image" Target="../media/image244.jpeg"/><Relationship Id="rId17" Type="http://schemas.openxmlformats.org/officeDocument/2006/relationships/image" Target="../media/image249.jpeg"/><Relationship Id="rId25" Type="http://schemas.openxmlformats.org/officeDocument/2006/relationships/image" Target="../media/image257.jpeg"/><Relationship Id="rId33" Type="http://schemas.openxmlformats.org/officeDocument/2006/relationships/image" Target="../media/image265.jpeg"/><Relationship Id="rId38" Type="http://schemas.openxmlformats.org/officeDocument/2006/relationships/image" Target="../media/image270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7.jpeg"/><Relationship Id="rId18" Type="http://schemas.openxmlformats.org/officeDocument/2006/relationships/image" Target="../media/image292.jpeg"/><Relationship Id="rId26" Type="http://schemas.openxmlformats.org/officeDocument/2006/relationships/image" Target="../media/image300.jpeg"/><Relationship Id="rId39" Type="http://schemas.openxmlformats.org/officeDocument/2006/relationships/image" Target="../media/image313.jpeg"/><Relationship Id="rId21" Type="http://schemas.openxmlformats.org/officeDocument/2006/relationships/image" Target="../media/image295.jpeg"/><Relationship Id="rId34" Type="http://schemas.openxmlformats.org/officeDocument/2006/relationships/image" Target="../media/image308.jpeg"/><Relationship Id="rId42" Type="http://schemas.openxmlformats.org/officeDocument/2006/relationships/image" Target="../media/image316.jpeg"/><Relationship Id="rId47" Type="http://schemas.openxmlformats.org/officeDocument/2006/relationships/image" Target="../media/image321.jpeg"/><Relationship Id="rId50" Type="http://schemas.openxmlformats.org/officeDocument/2006/relationships/image" Target="../media/image34.png"/><Relationship Id="rId7" Type="http://schemas.openxmlformats.org/officeDocument/2006/relationships/image" Target="../media/image281.jpeg"/><Relationship Id="rId2" Type="http://schemas.openxmlformats.org/officeDocument/2006/relationships/image" Target="../media/image276.jpeg"/><Relationship Id="rId16" Type="http://schemas.openxmlformats.org/officeDocument/2006/relationships/image" Target="../media/image290.jpeg"/><Relationship Id="rId29" Type="http://schemas.openxmlformats.org/officeDocument/2006/relationships/image" Target="../media/image303.jpeg"/><Relationship Id="rId11" Type="http://schemas.openxmlformats.org/officeDocument/2006/relationships/image" Target="../media/image285.jpeg"/><Relationship Id="rId24" Type="http://schemas.openxmlformats.org/officeDocument/2006/relationships/image" Target="../media/image298.jpeg"/><Relationship Id="rId32" Type="http://schemas.openxmlformats.org/officeDocument/2006/relationships/image" Target="../media/image306.jpeg"/><Relationship Id="rId37" Type="http://schemas.openxmlformats.org/officeDocument/2006/relationships/image" Target="../media/image311.jpeg"/><Relationship Id="rId40" Type="http://schemas.openxmlformats.org/officeDocument/2006/relationships/image" Target="../media/image314.jpeg"/><Relationship Id="rId45" Type="http://schemas.openxmlformats.org/officeDocument/2006/relationships/image" Target="../media/image319.jpeg"/><Relationship Id="rId5" Type="http://schemas.openxmlformats.org/officeDocument/2006/relationships/image" Target="../media/image279.jpeg"/><Relationship Id="rId15" Type="http://schemas.openxmlformats.org/officeDocument/2006/relationships/image" Target="../media/image289.jpeg"/><Relationship Id="rId23" Type="http://schemas.openxmlformats.org/officeDocument/2006/relationships/image" Target="../media/image297.jpeg"/><Relationship Id="rId28" Type="http://schemas.openxmlformats.org/officeDocument/2006/relationships/image" Target="../media/image302.jpeg"/><Relationship Id="rId36" Type="http://schemas.openxmlformats.org/officeDocument/2006/relationships/image" Target="../media/image310.jpeg"/><Relationship Id="rId49" Type="http://schemas.openxmlformats.org/officeDocument/2006/relationships/image" Target="../media/image323.jpeg"/><Relationship Id="rId10" Type="http://schemas.openxmlformats.org/officeDocument/2006/relationships/image" Target="../media/image284.jpeg"/><Relationship Id="rId19" Type="http://schemas.openxmlformats.org/officeDocument/2006/relationships/image" Target="../media/image293.jpeg"/><Relationship Id="rId31" Type="http://schemas.openxmlformats.org/officeDocument/2006/relationships/image" Target="../media/image305.jpeg"/><Relationship Id="rId44" Type="http://schemas.openxmlformats.org/officeDocument/2006/relationships/image" Target="../media/image318.jpeg"/><Relationship Id="rId4" Type="http://schemas.openxmlformats.org/officeDocument/2006/relationships/image" Target="../media/image278.jpeg"/><Relationship Id="rId9" Type="http://schemas.openxmlformats.org/officeDocument/2006/relationships/image" Target="../media/image283.jpeg"/><Relationship Id="rId14" Type="http://schemas.openxmlformats.org/officeDocument/2006/relationships/image" Target="../media/image288.jpeg"/><Relationship Id="rId22" Type="http://schemas.openxmlformats.org/officeDocument/2006/relationships/image" Target="../media/image296.jpeg"/><Relationship Id="rId27" Type="http://schemas.openxmlformats.org/officeDocument/2006/relationships/image" Target="../media/image301.jpeg"/><Relationship Id="rId30" Type="http://schemas.openxmlformats.org/officeDocument/2006/relationships/image" Target="../media/image304.jpeg"/><Relationship Id="rId35" Type="http://schemas.openxmlformats.org/officeDocument/2006/relationships/image" Target="../media/image309.jpeg"/><Relationship Id="rId43" Type="http://schemas.openxmlformats.org/officeDocument/2006/relationships/image" Target="../media/image317.jpeg"/><Relationship Id="rId48" Type="http://schemas.openxmlformats.org/officeDocument/2006/relationships/image" Target="../media/image322.jpeg"/><Relationship Id="rId8" Type="http://schemas.openxmlformats.org/officeDocument/2006/relationships/image" Target="../media/image282.jpeg"/><Relationship Id="rId3" Type="http://schemas.openxmlformats.org/officeDocument/2006/relationships/image" Target="../media/image277.jpeg"/><Relationship Id="rId12" Type="http://schemas.openxmlformats.org/officeDocument/2006/relationships/image" Target="../media/image286.jpeg"/><Relationship Id="rId17" Type="http://schemas.openxmlformats.org/officeDocument/2006/relationships/image" Target="../media/image291.jpeg"/><Relationship Id="rId25" Type="http://schemas.openxmlformats.org/officeDocument/2006/relationships/image" Target="../media/image299.jpeg"/><Relationship Id="rId33" Type="http://schemas.openxmlformats.org/officeDocument/2006/relationships/image" Target="../media/image307.jpeg"/><Relationship Id="rId38" Type="http://schemas.openxmlformats.org/officeDocument/2006/relationships/image" Target="../media/image312.jpeg"/><Relationship Id="rId46" Type="http://schemas.openxmlformats.org/officeDocument/2006/relationships/image" Target="../media/image320.jpeg"/><Relationship Id="rId20" Type="http://schemas.openxmlformats.org/officeDocument/2006/relationships/image" Target="../media/image294.jpeg"/><Relationship Id="rId41" Type="http://schemas.openxmlformats.org/officeDocument/2006/relationships/image" Target="../media/image315.jpeg"/><Relationship Id="rId1" Type="http://schemas.openxmlformats.org/officeDocument/2006/relationships/image" Target="../media/image275.jpeg"/><Relationship Id="rId6" Type="http://schemas.openxmlformats.org/officeDocument/2006/relationships/image" Target="../media/image28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25.jpeg"/><Relationship Id="rId1" Type="http://schemas.openxmlformats.org/officeDocument/2006/relationships/image" Target="../media/image32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24846</xdr:colOff>
      <xdr:row>23</xdr:row>
      <xdr:rowOff>16566</xdr:rowOff>
    </xdr:from>
    <xdr:to>
      <xdr:col>21</xdr:col>
      <xdr:colOff>111981</xdr:colOff>
      <xdr:row>31</xdr:row>
      <xdr:rowOff>16566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7542" y="2940327"/>
          <a:ext cx="1135575" cy="927652"/>
        </a:xfrm>
        <a:prstGeom prst="rect">
          <a:avLst/>
        </a:prstGeom>
      </xdr:spPr>
    </xdr:pic>
    <xdr:clientData/>
  </xdr:twoCellAnchor>
  <xdr:twoCellAnchor editAs="oneCell">
    <xdr:from>
      <xdr:col>23</xdr:col>
      <xdr:colOff>24850</xdr:colOff>
      <xdr:row>23</xdr:row>
      <xdr:rowOff>33131</xdr:rowOff>
    </xdr:from>
    <xdr:to>
      <xdr:col>32</xdr:col>
      <xdr:colOff>105578</xdr:colOff>
      <xdr:row>30</xdr:row>
      <xdr:rowOff>24848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93676" y="2956892"/>
          <a:ext cx="1116054" cy="803413"/>
        </a:xfrm>
        <a:prstGeom prst="rect">
          <a:avLst/>
        </a:prstGeom>
      </xdr:spPr>
    </xdr:pic>
    <xdr:clientData/>
  </xdr:twoCellAnchor>
  <xdr:twoCellAnchor editAs="oneCell">
    <xdr:from>
      <xdr:col>34</xdr:col>
      <xdr:colOff>41414</xdr:colOff>
      <xdr:row>23</xdr:row>
      <xdr:rowOff>33130</xdr:rowOff>
    </xdr:from>
    <xdr:to>
      <xdr:col>43</xdr:col>
      <xdr:colOff>54465</xdr:colOff>
      <xdr:row>30</xdr:row>
      <xdr:rowOff>66261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86371" y="2956891"/>
          <a:ext cx="1088408" cy="844827"/>
        </a:xfrm>
        <a:prstGeom prst="rect">
          <a:avLst/>
        </a:prstGeom>
      </xdr:spPr>
    </xdr:pic>
    <xdr:clientData/>
  </xdr:twoCellAnchor>
  <xdr:twoCellAnchor editAs="oneCell">
    <xdr:from>
      <xdr:col>45</xdr:col>
      <xdr:colOff>99391</xdr:colOff>
      <xdr:row>22</xdr:row>
      <xdr:rowOff>74543</xdr:rowOff>
    </xdr:from>
    <xdr:to>
      <xdr:col>53</xdr:col>
      <xdr:colOff>81100</xdr:colOff>
      <xdr:row>31</xdr:row>
      <xdr:rowOff>74543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20478" y="2882347"/>
          <a:ext cx="1035326" cy="1043609"/>
        </a:xfrm>
        <a:prstGeom prst="rect">
          <a:avLst/>
        </a:prstGeom>
      </xdr:spPr>
    </xdr:pic>
    <xdr:clientData/>
  </xdr:twoCellAnchor>
  <xdr:twoCellAnchor editAs="oneCell">
    <xdr:from>
      <xdr:col>12</xdr:col>
      <xdr:colOff>41413</xdr:colOff>
      <xdr:row>37</xdr:row>
      <xdr:rowOff>99391</xdr:rowOff>
    </xdr:from>
    <xdr:to>
      <xdr:col>21</xdr:col>
      <xdr:colOff>76897</xdr:colOff>
      <xdr:row>43</xdr:row>
      <xdr:rowOff>82826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34109" y="4547152"/>
          <a:ext cx="1079092" cy="679174"/>
        </a:xfrm>
        <a:prstGeom prst="rect">
          <a:avLst/>
        </a:prstGeom>
      </xdr:spPr>
    </xdr:pic>
    <xdr:clientData/>
  </xdr:twoCellAnchor>
  <xdr:twoCellAnchor editAs="oneCell">
    <xdr:from>
      <xdr:col>46</xdr:col>
      <xdr:colOff>41415</xdr:colOff>
      <xdr:row>36</xdr:row>
      <xdr:rowOff>49697</xdr:rowOff>
    </xdr:from>
    <xdr:to>
      <xdr:col>52</xdr:col>
      <xdr:colOff>43216</xdr:colOff>
      <xdr:row>44</xdr:row>
      <xdr:rowOff>99392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8458" y="4381501"/>
          <a:ext cx="823507" cy="977348"/>
        </a:xfrm>
        <a:prstGeom prst="rect">
          <a:avLst/>
        </a:prstGeom>
      </xdr:spPr>
    </xdr:pic>
    <xdr:clientData/>
  </xdr:twoCellAnchor>
  <xdr:twoCellAnchor editAs="oneCell">
    <xdr:from>
      <xdr:col>58</xdr:col>
      <xdr:colOff>24849</xdr:colOff>
      <xdr:row>36</xdr:row>
      <xdr:rowOff>0</xdr:rowOff>
    </xdr:from>
    <xdr:to>
      <xdr:col>63</xdr:col>
      <xdr:colOff>91287</xdr:colOff>
      <xdr:row>45</xdr:row>
      <xdr:rowOff>8283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53979" y="4331804"/>
          <a:ext cx="695916" cy="1051892"/>
        </a:xfrm>
        <a:prstGeom prst="rect">
          <a:avLst/>
        </a:prstGeom>
      </xdr:spPr>
    </xdr:pic>
    <xdr:clientData/>
  </xdr:twoCellAnchor>
  <xdr:twoCellAnchor editAs="oneCell">
    <xdr:from>
      <xdr:col>13</xdr:col>
      <xdr:colOff>72129</xdr:colOff>
      <xdr:row>50</xdr:row>
      <xdr:rowOff>10007</xdr:rowOff>
    </xdr:from>
    <xdr:to>
      <xdr:col>21</xdr:col>
      <xdr:colOff>0</xdr:colOff>
      <xdr:row>58</xdr:row>
      <xdr:rowOff>94514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00879" y="5661507"/>
          <a:ext cx="816871" cy="973507"/>
        </a:xfrm>
        <a:prstGeom prst="rect">
          <a:avLst/>
        </a:prstGeom>
      </xdr:spPr>
    </xdr:pic>
    <xdr:clientData/>
  </xdr:twoCellAnchor>
  <xdr:twoCellAnchor editAs="oneCell">
    <xdr:from>
      <xdr:col>34</xdr:col>
      <xdr:colOff>57977</xdr:colOff>
      <xdr:row>50</xdr:row>
      <xdr:rowOff>41414</xdr:rowOff>
    </xdr:from>
    <xdr:to>
      <xdr:col>43</xdr:col>
      <xdr:colOff>61900</xdr:colOff>
      <xdr:row>58</xdr:row>
      <xdr:rowOff>91109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99890" y="5897218"/>
          <a:ext cx="1228368" cy="977348"/>
        </a:xfrm>
        <a:prstGeom prst="rect">
          <a:avLst/>
        </a:prstGeom>
      </xdr:spPr>
    </xdr:pic>
    <xdr:clientData/>
  </xdr:twoCellAnchor>
  <xdr:twoCellAnchor editAs="oneCell">
    <xdr:from>
      <xdr:col>45</xdr:col>
      <xdr:colOff>33129</xdr:colOff>
      <xdr:row>52</xdr:row>
      <xdr:rowOff>16567</xdr:rowOff>
    </xdr:from>
    <xdr:to>
      <xdr:col>53</xdr:col>
      <xdr:colOff>93335</xdr:colOff>
      <xdr:row>55</xdr:row>
      <xdr:rowOff>107674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54216" y="6104284"/>
          <a:ext cx="1113823" cy="438977"/>
        </a:xfrm>
        <a:prstGeom prst="rect">
          <a:avLst/>
        </a:prstGeom>
      </xdr:spPr>
    </xdr:pic>
    <xdr:clientData/>
  </xdr:twoCellAnchor>
  <xdr:twoCellAnchor editAs="oneCell">
    <xdr:from>
      <xdr:col>1</xdr:col>
      <xdr:colOff>91112</xdr:colOff>
      <xdr:row>64</xdr:row>
      <xdr:rowOff>99395</xdr:rowOff>
    </xdr:from>
    <xdr:to>
      <xdr:col>8</xdr:col>
      <xdr:colOff>72473</xdr:colOff>
      <xdr:row>72</xdr:row>
      <xdr:rowOff>41348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677" y="7479199"/>
          <a:ext cx="977345" cy="869606"/>
        </a:xfrm>
        <a:prstGeom prst="rect">
          <a:avLst/>
        </a:prstGeom>
      </xdr:spPr>
    </xdr:pic>
    <xdr:clientData/>
  </xdr:twoCellAnchor>
  <xdr:twoCellAnchor editAs="oneCell">
    <xdr:from>
      <xdr:col>45</xdr:col>
      <xdr:colOff>41414</xdr:colOff>
      <xdr:row>65</xdr:row>
      <xdr:rowOff>91108</xdr:rowOff>
    </xdr:from>
    <xdr:to>
      <xdr:col>53</xdr:col>
      <xdr:colOff>47970</xdr:colOff>
      <xdr:row>70</xdr:row>
      <xdr:rowOff>1823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62501" y="7586869"/>
          <a:ext cx="1060173" cy="485666"/>
        </a:xfrm>
        <a:prstGeom prst="rect">
          <a:avLst/>
        </a:prstGeom>
      </xdr:spPr>
    </xdr:pic>
    <xdr:clientData/>
  </xdr:twoCellAnchor>
  <xdr:twoCellAnchor editAs="oneCell">
    <xdr:from>
      <xdr:col>56</xdr:col>
      <xdr:colOff>49695</xdr:colOff>
      <xdr:row>65</xdr:row>
      <xdr:rowOff>107675</xdr:rowOff>
    </xdr:from>
    <xdr:to>
      <xdr:col>65</xdr:col>
      <xdr:colOff>40272</xdr:colOff>
      <xdr:row>70</xdr:row>
      <xdr:rowOff>8284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46912" y="7603436"/>
          <a:ext cx="1083881" cy="480391"/>
        </a:xfrm>
        <a:prstGeom prst="rect">
          <a:avLst/>
        </a:prstGeom>
      </xdr:spPr>
    </xdr:pic>
    <xdr:clientData/>
  </xdr:twoCellAnchor>
  <xdr:twoCellAnchor editAs="oneCell">
    <xdr:from>
      <xdr:col>24</xdr:col>
      <xdr:colOff>75909</xdr:colOff>
      <xdr:row>50</xdr:row>
      <xdr:rowOff>17520</xdr:rowOff>
    </xdr:from>
    <xdr:to>
      <xdr:col>31</xdr:col>
      <xdr:colOff>24849</xdr:colOff>
      <xdr:row>59</xdr:row>
      <xdr:rowOff>102704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692" y="5873324"/>
          <a:ext cx="752352" cy="1128793"/>
        </a:xfrm>
        <a:prstGeom prst="rect">
          <a:avLst/>
        </a:prstGeom>
      </xdr:spPr>
    </xdr:pic>
    <xdr:clientData/>
  </xdr:twoCellAnchor>
  <xdr:twoCellAnchor editAs="oneCell">
    <xdr:from>
      <xdr:col>35</xdr:col>
      <xdr:colOff>27667</xdr:colOff>
      <xdr:row>65</xdr:row>
      <xdr:rowOff>16563</xdr:rowOff>
    </xdr:from>
    <xdr:to>
      <xdr:col>43</xdr:col>
      <xdr:colOff>17946</xdr:colOff>
      <xdr:row>73</xdr:row>
      <xdr:rowOff>19290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580" y="7512324"/>
          <a:ext cx="949681" cy="930379"/>
        </a:xfrm>
        <a:prstGeom prst="rect">
          <a:avLst/>
        </a:prstGeom>
      </xdr:spPr>
    </xdr:pic>
    <xdr:clientData/>
  </xdr:twoCellAnchor>
  <xdr:twoCellAnchor editAs="oneCell">
    <xdr:from>
      <xdr:col>13</xdr:col>
      <xdr:colOff>33130</xdr:colOff>
      <xdr:row>63</xdr:row>
      <xdr:rowOff>111669</xdr:rowOff>
    </xdr:from>
    <xdr:to>
      <xdr:col>21</xdr:col>
      <xdr:colOff>42301</xdr:colOff>
      <xdr:row>73</xdr:row>
      <xdr:rowOff>99391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782" y="7375517"/>
          <a:ext cx="936823" cy="1147287"/>
        </a:xfrm>
        <a:prstGeom prst="rect">
          <a:avLst/>
        </a:prstGeom>
      </xdr:spPr>
    </xdr:pic>
    <xdr:clientData/>
  </xdr:twoCellAnchor>
  <xdr:twoCellAnchor editAs="oneCell">
    <xdr:from>
      <xdr:col>24</xdr:col>
      <xdr:colOff>66261</xdr:colOff>
      <xdr:row>64</xdr:row>
      <xdr:rowOff>0</xdr:rowOff>
    </xdr:from>
    <xdr:to>
      <xdr:col>31</xdr:col>
      <xdr:colOff>593</xdr:colOff>
      <xdr:row>73</xdr:row>
      <xdr:rowOff>103993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51044" y="7379804"/>
          <a:ext cx="737744" cy="1147602"/>
        </a:xfrm>
        <a:prstGeom prst="rect">
          <a:avLst/>
        </a:prstGeom>
      </xdr:spPr>
    </xdr:pic>
    <xdr:clientData/>
  </xdr:twoCellAnchor>
  <xdr:twoCellAnchor editAs="oneCell">
    <xdr:from>
      <xdr:col>57</xdr:col>
      <xdr:colOff>107675</xdr:colOff>
      <xdr:row>21</xdr:row>
      <xdr:rowOff>99390</xdr:rowOff>
    </xdr:from>
    <xdr:to>
      <xdr:col>64</xdr:col>
      <xdr:colOff>49696</xdr:colOff>
      <xdr:row>31</xdr:row>
      <xdr:rowOff>100024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0849" y="2791238"/>
          <a:ext cx="803412" cy="1160199"/>
        </a:xfrm>
        <a:prstGeom prst="rect">
          <a:avLst/>
        </a:prstGeom>
      </xdr:spPr>
    </xdr:pic>
    <xdr:clientData/>
  </xdr:twoCellAnchor>
  <xdr:twoCellAnchor editAs="oneCell">
    <xdr:from>
      <xdr:col>23</xdr:col>
      <xdr:colOff>41413</xdr:colOff>
      <xdr:row>9</xdr:row>
      <xdr:rowOff>41411</xdr:rowOff>
    </xdr:from>
    <xdr:to>
      <xdr:col>32</xdr:col>
      <xdr:colOff>110622</xdr:colOff>
      <xdr:row>14</xdr:row>
      <xdr:rowOff>24848</xdr:rowOff>
    </xdr:to>
    <xdr:pic>
      <xdr:nvPicPr>
        <xdr:cNvPr id="37" name="Picture 5" descr="8981f385243bd7059a574efc58dd75fc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410239" y="1441172"/>
          <a:ext cx="1104535" cy="563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33130</xdr:colOff>
      <xdr:row>9</xdr:row>
      <xdr:rowOff>74542</xdr:rowOff>
    </xdr:from>
    <xdr:to>
      <xdr:col>43</xdr:col>
      <xdr:colOff>62308</xdr:colOff>
      <xdr:row>14</xdr:row>
      <xdr:rowOff>57979</xdr:rowOff>
    </xdr:to>
    <xdr:pic>
      <xdr:nvPicPr>
        <xdr:cNvPr id="38" name="Picture 5" descr="8981f385243bd7059a574efc58dd75fc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578087" y="1474303"/>
          <a:ext cx="1104535" cy="563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47</xdr:col>
      <xdr:colOff>49696</xdr:colOff>
      <xdr:row>8</xdr:row>
      <xdr:rowOff>8285</xdr:rowOff>
    </xdr:from>
    <xdr:to>
      <xdr:col>52</xdr:col>
      <xdr:colOff>38934</xdr:colOff>
      <xdr:row>15</xdr:row>
      <xdr:rowOff>99393</xdr:rowOff>
    </xdr:to>
    <xdr:pic>
      <xdr:nvPicPr>
        <xdr:cNvPr id="60" name="Picture 9" descr="e5b552f229e549cc8afd090b91b9947f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02696" y="1292089"/>
          <a:ext cx="690155" cy="902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41412</xdr:colOff>
      <xdr:row>7</xdr:row>
      <xdr:rowOff>24848</xdr:rowOff>
    </xdr:from>
    <xdr:to>
      <xdr:col>21</xdr:col>
      <xdr:colOff>99391</xdr:colOff>
      <xdr:row>13</xdr:row>
      <xdr:rowOff>93698</xdr:rowOff>
    </xdr:to>
    <xdr:pic>
      <xdr:nvPicPr>
        <xdr:cNvPr id="61" name="Picture 8" descr="582dcc1c6c51a274da004078ac47ba5d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34108" y="1192696"/>
          <a:ext cx="1101587" cy="764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91110</xdr:colOff>
      <xdr:row>35</xdr:row>
      <xdr:rowOff>67090</xdr:rowOff>
    </xdr:from>
    <xdr:to>
      <xdr:col>40</xdr:col>
      <xdr:colOff>91108</xdr:colOff>
      <xdr:row>45</xdr:row>
      <xdr:rowOff>9272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2023" y="4282938"/>
          <a:ext cx="579782" cy="1101747"/>
        </a:xfrm>
        <a:prstGeom prst="rect">
          <a:avLst/>
        </a:prstGeom>
      </xdr:spPr>
    </xdr:pic>
    <xdr:clientData/>
  </xdr:twoCellAnchor>
  <xdr:twoCellAnchor editAs="oneCell">
    <xdr:from>
      <xdr:col>25</xdr:col>
      <xdr:colOff>24849</xdr:colOff>
      <xdr:row>35</xdr:row>
      <xdr:rowOff>98970</xdr:rowOff>
    </xdr:from>
    <xdr:to>
      <xdr:col>29</xdr:col>
      <xdr:colOff>91110</xdr:colOff>
      <xdr:row>45</xdr:row>
      <xdr:rowOff>1124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5588" y="4314818"/>
          <a:ext cx="521804" cy="1056888"/>
        </a:xfrm>
        <a:prstGeom prst="rect">
          <a:avLst/>
        </a:prstGeom>
      </xdr:spPr>
    </xdr:pic>
    <xdr:clientData/>
  </xdr:twoCellAnchor>
  <xdr:twoCellAnchor editAs="oneCell">
    <xdr:from>
      <xdr:col>1</xdr:col>
      <xdr:colOff>33132</xdr:colOff>
      <xdr:row>38</xdr:row>
      <xdr:rowOff>8282</xdr:rowOff>
    </xdr:from>
    <xdr:to>
      <xdr:col>9</xdr:col>
      <xdr:colOff>42164</xdr:colOff>
      <xdr:row>43</xdr:row>
      <xdr:rowOff>24848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7" y="4571999"/>
          <a:ext cx="1265228" cy="596349"/>
        </a:xfrm>
        <a:prstGeom prst="rect">
          <a:avLst/>
        </a:prstGeom>
      </xdr:spPr>
    </xdr:pic>
    <xdr:clientData/>
  </xdr:twoCellAnchor>
  <xdr:twoCellAnchor editAs="oneCell">
    <xdr:from>
      <xdr:col>2</xdr:col>
      <xdr:colOff>44174</xdr:colOff>
      <xdr:row>50</xdr:row>
      <xdr:rowOff>6510</xdr:rowOff>
    </xdr:from>
    <xdr:to>
      <xdr:col>8</xdr:col>
      <xdr:colOff>47624</xdr:colOff>
      <xdr:row>58</xdr:row>
      <xdr:rowOff>98228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74" y="5658010"/>
          <a:ext cx="844825" cy="980718"/>
        </a:xfrm>
        <a:prstGeom prst="rect">
          <a:avLst/>
        </a:prstGeom>
      </xdr:spPr>
    </xdr:pic>
    <xdr:clientData/>
  </xdr:twoCellAnchor>
  <xdr:twoCellAnchor editAs="oneCell">
    <xdr:from>
      <xdr:col>56</xdr:col>
      <xdr:colOff>107676</xdr:colOff>
      <xdr:row>8</xdr:row>
      <xdr:rowOff>82827</xdr:rowOff>
    </xdr:from>
    <xdr:to>
      <xdr:col>65</xdr:col>
      <xdr:colOff>2</xdr:colOff>
      <xdr:row>14</xdr:row>
      <xdr:rowOff>61110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04893" y="1366631"/>
          <a:ext cx="985630" cy="674022"/>
        </a:xfrm>
        <a:prstGeom prst="rect">
          <a:avLst/>
        </a:prstGeom>
      </xdr:spPr>
    </xdr:pic>
    <xdr:clientData/>
  </xdr:twoCellAnchor>
  <xdr:twoCellAnchor editAs="oneCell">
    <xdr:from>
      <xdr:col>45</xdr:col>
      <xdr:colOff>66261</xdr:colOff>
      <xdr:row>78</xdr:row>
      <xdr:rowOff>74544</xdr:rowOff>
    </xdr:from>
    <xdr:to>
      <xdr:col>53</xdr:col>
      <xdr:colOff>97666</xdr:colOff>
      <xdr:row>85</xdr:row>
      <xdr:rowOff>82003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87348" y="8978348"/>
          <a:ext cx="1085022" cy="819155"/>
        </a:xfrm>
        <a:prstGeom prst="rect">
          <a:avLst/>
        </a:prstGeom>
      </xdr:spPr>
    </xdr:pic>
    <xdr:clientData/>
  </xdr:twoCellAnchor>
  <xdr:twoCellAnchor editAs="oneCell">
    <xdr:from>
      <xdr:col>57</xdr:col>
      <xdr:colOff>49695</xdr:colOff>
      <xdr:row>78</xdr:row>
      <xdr:rowOff>49695</xdr:rowOff>
    </xdr:from>
    <xdr:to>
      <xdr:col>64</xdr:col>
      <xdr:colOff>82592</xdr:colOff>
      <xdr:row>85</xdr:row>
      <xdr:rowOff>107674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12565" y="8953499"/>
          <a:ext cx="894288" cy="869675"/>
        </a:xfrm>
        <a:prstGeom prst="rect">
          <a:avLst/>
        </a:prstGeom>
      </xdr:spPr>
    </xdr:pic>
    <xdr:clientData/>
  </xdr:twoCellAnchor>
  <xdr:twoCellAnchor editAs="oneCell">
    <xdr:from>
      <xdr:col>26</xdr:col>
      <xdr:colOff>16566</xdr:colOff>
      <xdr:row>78</xdr:row>
      <xdr:rowOff>24847</xdr:rowOff>
    </xdr:from>
    <xdr:to>
      <xdr:col>31</xdr:col>
      <xdr:colOff>39839</xdr:colOff>
      <xdr:row>85</xdr:row>
      <xdr:rowOff>74544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33262" y="8928651"/>
          <a:ext cx="594772" cy="861393"/>
        </a:xfrm>
        <a:prstGeom prst="rect">
          <a:avLst/>
        </a:prstGeom>
      </xdr:spPr>
    </xdr:pic>
    <xdr:clientData/>
  </xdr:twoCellAnchor>
  <xdr:twoCellAnchor editAs="oneCell">
    <xdr:from>
      <xdr:col>36</xdr:col>
      <xdr:colOff>91107</xdr:colOff>
      <xdr:row>78</xdr:row>
      <xdr:rowOff>49697</xdr:rowOff>
    </xdr:from>
    <xdr:to>
      <xdr:col>41</xdr:col>
      <xdr:colOff>84207</xdr:colOff>
      <xdr:row>85</xdr:row>
      <xdr:rowOff>50894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67977" y="8953501"/>
          <a:ext cx="604631" cy="812893"/>
        </a:xfrm>
        <a:prstGeom prst="rect">
          <a:avLst/>
        </a:prstGeom>
      </xdr:spPr>
    </xdr:pic>
    <xdr:clientData/>
  </xdr:twoCellAnchor>
  <xdr:twoCellAnchor editAs="oneCell">
    <xdr:from>
      <xdr:col>12</xdr:col>
      <xdr:colOff>33129</xdr:colOff>
      <xdr:row>79</xdr:row>
      <xdr:rowOff>24848</xdr:rowOff>
    </xdr:from>
    <xdr:to>
      <xdr:col>21</xdr:col>
      <xdr:colOff>91108</xdr:colOff>
      <xdr:row>84</xdr:row>
      <xdr:rowOff>94346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5825" y="9044609"/>
          <a:ext cx="1101587" cy="649280"/>
        </a:xfrm>
        <a:prstGeom prst="rect">
          <a:avLst/>
        </a:prstGeom>
      </xdr:spPr>
    </xdr:pic>
    <xdr:clientData/>
  </xdr:twoCellAnchor>
  <xdr:twoCellAnchor editAs="oneCell">
    <xdr:from>
      <xdr:col>2</xdr:col>
      <xdr:colOff>49695</xdr:colOff>
      <xdr:row>78</xdr:row>
      <xdr:rowOff>99393</xdr:rowOff>
    </xdr:from>
    <xdr:to>
      <xdr:col>8</xdr:col>
      <xdr:colOff>35891</xdr:colOff>
      <xdr:row>85</xdr:row>
      <xdr:rowOff>82256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217" y="9003197"/>
          <a:ext cx="861391" cy="794559"/>
        </a:xfrm>
        <a:prstGeom prst="rect">
          <a:avLst/>
        </a:prstGeom>
      </xdr:spPr>
    </xdr:pic>
    <xdr:clientData/>
  </xdr:twoCellAnchor>
  <xdr:twoCellAnchor editAs="oneCell">
    <xdr:from>
      <xdr:col>59</xdr:col>
      <xdr:colOff>31751</xdr:colOff>
      <xdr:row>50</xdr:row>
      <xdr:rowOff>55563</xdr:rowOff>
    </xdr:from>
    <xdr:to>
      <xdr:col>62</xdr:col>
      <xdr:colOff>48669</xdr:colOff>
      <xdr:row>59</xdr:row>
      <xdr:rowOff>71438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1" y="5707063"/>
          <a:ext cx="389980" cy="10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0</xdr:row>
      <xdr:rowOff>66261</xdr:rowOff>
    </xdr:from>
    <xdr:to>
      <xdr:col>12</xdr:col>
      <xdr:colOff>107673</xdr:colOff>
      <xdr:row>3</xdr:row>
      <xdr:rowOff>190500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79" y="66261"/>
          <a:ext cx="836542" cy="8696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49695</xdr:colOff>
      <xdr:row>8</xdr:row>
      <xdr:rowOff>82828</xdr:rowOff>
    </xdr:from>
    <xdr:to>
      <xdr:col>9</xdr:col>
      <xdr:colOff>83861</xdr:colOff>
      <xdr:row>16</xdr:row>
      <xdr:rowOff>27861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260" y="1366632"/>
          <a:ext cx="1101588" cy="872686"/>
        </a:xfrm>
        <a:prstGeom prst="rect">
          <a:avLst/>
        </a:prstGeom>
      </xdr:spPr>
    </xdr:pic>
    <xdr:clientData/>
  </xdr:twoCellAnchor>
  <xdr:twoCellAnchor editAs="oneCell">
    <xdr:from>
      <xdr:col>12</xdr:col>
      <xdr:colOff>91109</xdr:colOff>
      <xdr:row>8</xdr:row>
      <xdr:rowOff>49696</xdr:rowOff>
    </xdr:from>
    <xdr:to>
      <xdr:col>20</xdr:col>
      <xdr:colOff>69231</xdr:colOff>
      <xdr:row>17</xdr:row>
      <xdr:rowOff>19863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83805" y="1333500"/>
          <a:ext cx="1134718" cy="1013776"/>
        </a:xfrm>
        <a:prstGeom prst="rect">
          <a:avLst/>
        </a:prstGeom>
      </xdr:spPr>
    </xdr:pic>
    <xdr:clientData/>
  </xdr:twoCellAnchor>
  <xdr:twoCellAnchor editAs="oneCell">
    <xdr:from>
      <xdr:col>34</xdr:col>
      <xdr:colOff>57979</xdr:colOff>
      <xdr:row>8</xdr:row>
      <xdr:rowOff>24849</xdr:rowOff>
    </xdr:from>
    <xdr:to>
      <xdr:col>43</xdr:col>
      <xdr:colOff>80084</xdr:colOff>
      <xdr:row>16</xdr:row>
      <xdr:rowOff>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42604" y="1294849"/>
          <a:ext cx="1022230" cy="864151"/>
        </a:xfrm>
        <a:prstGeom prst="rect">
          <a:avLst/>
        </a:prstGeom>
      </xdr:spPr>
    </xdr:pic>
    <xdr:clientData/>
  </xdr:twoCellAnchor>
  <xdr:twoCellAnchor editAs="oneCell">
    <xdr:from>
      <xdr:col>45</xdr:col>
      <xdr:colOff>91107</xdr:colOff>
      <xdr:row>9</xdr:row>
      <xdr:rowOff>0</xdr:rowOff>
    </xdr:from>
    <xdr:to>
      <xdr:col>53</xdr:col>
      <xdr:colOff>19739</xdr:colOff>
      <xdr:row>16</xdr:row>
      <xdr:rowOff>72782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19868" y="1399761"/>
          <a:ext cx="1002197" cy="884478"/>
        </a:xfrm>
        <a:prstGeom prst="rect">
          <a:avLst/>
        </a:prstGeom>
      </xdr:spPr>
    </xdr:pic>
    <xdr:clientData/>
  </xdr:twoCellAnchor>
  <xdr:twoCellAnchor editAs="oneCell">
    <xdr:from>
      <xdr:col>56</xdr:col>
      <xdr:colOff>107674</xdr:colOff>
      <xdr:row>9</xdr:row>
      <xdr:rowOff>24850</xdr:rowOff>
    </xdr:from>
    <xdr:to>
      <xdr:col>64</xdr:col>
      <xdr:colOff>68402</xdr:colOff>
      <xdr:row>16</xdr:row>
      <xdr:rowOff>78768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12565" y="1424611"/>
          <a:ext cx="1018761" cy="865614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107674</xdr:colOff>
      <xdr:row>23</xdr:row>
      <xdr:rowOff>1</xdr:rowOff>
    </xdr:from>
    <xdr:to>
      <xdr:col>9</xdr:col>
      <xdr:colOff>11476</xdr:colOff>
      <xdr:row>31</xdr:row>
      <xdr:rowOff>99391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4239" y="2923762"/>
          <a:ext cx="971224" cy="1027042"/>
        </a:xfrm>
        <a:prstGeom prst="rect">
          <a:avLst/>
        </a:prstGeom>
      </xdr:spPr>
    </xdr:pic>
    <xdr:clientData/>
  </xdr:twoCellAnchor>
  <xdr:twoCellAnchor editAs="oneCell">
    <xdr:from>
      <xdr:col>24</xdr:col>
      <xdr:colOff>41413</xdr:colOff>
      <xdr:row>23</xdr:row>
      <xdr:rowOff>49695</xdr:rowOff>
    </xdr:from>
    <xdr:to>
      <xdr:col>31</xdr:col>
      <xdr:colOff>24502</xdr:colOff>
      <xdr:row>32</xdr:row>
      <xdr:rowOff>631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09022" y="2973456"/>
          <a:ext cx="927651" cy="989713"/>
        </a:xfrm>
        <a:prstGeom prst="rect">
          <a:avLst/>
        </a:prstGeom>
      </xdr:spPr>
    </xdr:pic>
    <xdr:clientData/>
  </xdr:twoCellAnchor>
  <xdr:twoCellAnchor editAs="oneCell">
    <xdr:from>
      <xdr:col>34</xdr:col>
      <xdr:colOff>49698</xdr:colOff>
      <xdr:row>23</xdr:row>
      <xdr:rowOff>41415</xdr:rowOff>
    </xdr:from>
    <xdr:to>
      <xdr:col>43</xdr:col>
      <xdr:colOff>83547</xdr:colOff>
      <xdr:row>31</xdr:row>
      <xdr:rowOff>24849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02328" y="2965176"/>
          <a:ext cx="1077458" cy="911086"/>
        </a:xfrm>
        <a:prstGeom prst="rect">
          <a:avLst/>
        </a:prstGeom>
      </xdr:spPr>
    </xdr:pic>
    <xdr:clientData/>
  </xdr:twoCellAnchor>
  <xdr:twoCellAnchor editAs="oneCell">
    <xdr:from>
      <xdr:col>45</xdr:col>
      <xdr:colOff>91110</xdr:colOff>
      <xdr:row>22</xdr:row>
      <xdr:rowOff>74546</xdr:rowOff>
    </xdr:from>
    <xdr:to>
      <xdr:col>53</xdr:col>
      <xdr:colOff>6785</xdr:colOff>
      <xdr:row>31</xdr:row>
      <xdr:rowOff>66263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19871" y="2882350"/>
          <a:ext cx="984408" cy="1035326"/>
        </a:xfrm>
        <a:prstGeom prst="rect">
          <a:avLst/>
        </a:prstGeom>
      </xdr:spPr>
    </xdr:pic>
    <xdr:clientData/>
  </xdr:twoCellAnchor>
  <xdr:twoCellAnchor editAs="oneCell">
    <xdr:from>
      <xdr:col>57</xdr:col>
      <xdr:colOff>24848</xdr:colOff>
      <xdr:row>23</xdr:row>
      <xdr:rowOff>8282</xdr:rowOff>
    </xdr:from>
    <xdr:to>
      <xdr:col>64</xdr:col>
      <xdr:colOff>60119</xdr:colOff>
      <xdr:row>32</xdr:row>
      <xdr:rowOff>3022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45696" y="2932043"/>
          <a:ext cx="977348" cy="1033517"/>
        </a:xfrm>
        <a:prstGeom prst="rect">
          <a:avLst/>
        </a:prstGeom>
      </xdr:spPr>
    </xdr:pic>
    <xdr:clientData/>
  </xdr:twoCellAnchor>
  <xdr:twoCellAnchor editAs="oneCell">
    <xdr:from>
      <xdr:col>1</xdr:col>
      <xdr:colOff>24846</xdr:colOff>
      <xdr:row>37</xdr:row>
      <xdr:rowOff>74543</xdr:rowOff>
    </xdr:from>
    <xdr:to>
      <xdr:col>9</xdr:col>
      <xdr:colOff>82925</xdr:colOff>
      <xdr:row>44</xdr:row>
      <xdr:rowOff>57977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411" y="4522304"/>
          <a:ext cx="1125501" cy="795130"/>
        </a:xfrm>
        <a:prstGeom prst="rect">
          <a:avLst/>
        </a:prstGeom>
      </xdr:spPr>
    </xdr:pic>
    <xdr:clientData/>
  </xdr:twoCellAnchor>
  <xdr:twoCellAnchor editAs="oneCell">
    <xdr:from>
      <xdr:col>12</xdr:col>
      <xdr:colOff>57978</xdr:colOff>
      <xdr:row>37</xdr:row>
      <xdr:rowOff>66260</xdr:rowOff>
    </xdr:from>
    <xdr:to>
      <xdr:col>20</xdr:col>
      <xdr:colOff>60947</xdr:colOff>
      <xdr:row>44</xdr:row>
      <xdr:rowOff>79301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0674" y="4514021"/>
          <a:ext cx="1159565" cy="824737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37</xdr:row>
      <xdr:rowOff>16565</xdr:rowOff>
    </xdr:from>
    <xdr:to>
      <xdr:col>31</xdr:col>
      <xdr:colOff>24504</xdr:colOff>
      <xdr:row>45</xdr:row>
      <xdr:rowOff>100967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83565" y="4464326"/>
          <a:ext cx="853110" cy="1012054"/>
        </a:xfrm>
        <a:prstGeom prst="rect">
          <a:avLst/>
        </a:prstGeom>
      </xdr:spPr>
    </xdr:pic>
    <xdr:clientData/>
  </xdr:twoCellAnchor>
  <xdr:twoCellAnchor editAs="oneCell">
    <xdr:from>
      <xdr:col>35</xdr:col>
      <xdr:colOff>66262</xdr:colOff>
      <xdr:row>37</xdr:row>
      <xdr:rowOff>74544</xdr:rowOff>
    </xdr:from>
    <xdr:to>
      <xdr:col>42</xdr:col>
      <xdr:colOff>59195</xdr:colOff>
      <xdr:row>45</xdr:row>
      <xdr:rowOff>74543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34849" y="4522305"/>
          <a:ext cx="804629" cy="927651"/>
        </a:xfrm>
        <a:prstGeom prst="rect">
          <a:avLst/>
        </a:prstGeom>
      </xdr:spPr>
    </xdr:pic>
    <xdr:clientData/>
  </xdr:twoCellAnchor>
  <xdr:twoCellAnchor editAs="oneCell">
    <xdr:from>
      <xdr:col>45</xdr:col>
      <xdr:colOff>49695</xdr:colOff>
      <xdr:row>38</xdr:row>
      <xdr:rowOff>33131</xdr:rowOff>
    </xdr:from>
    <xdr:to>
      <xdr:col>53</xdr:col>
      <xdr:colOff>28021</xdr:colOff>
      <xdr:row>45</xdr:row>
      <xdr:rowOff>45170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78456" y="4596848"/>
          <a:ext cx="1051891" cy="823735"/>
        </a:xfrm>
        <a:prstGeom prst="rect">
          <a:avLst/>
        </a:prstGeom>
      </xdr:spPr>
    </xdr:pic>
    <xdr:clientData/>
  </xdr:twoCellAnchor>
  <xdr:twoCellAnchor editAs="oneCell">
    <xdr:from>
      <xdr:col>56</xdr:col>
      <xdr:colOff>49698</xdr:colOff>
      <xdr:row>38</xdr:row>
      <xdr:rowOff>33131</xdr:rowOff>
    </xdr:from>
    <xdr:to>
      <xdr:col>64</xdr:col>
      <xdr:colOff>56111</xdr:colOff>
      <xdr:row>45</xdr:row>
      <xdr:rowOff>49697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54589" y="4596848"/>
          <a:ext cx="1064446" cy="828262"/>
        </a:xfrm>
        <a:prstGeom prst="rect">
          <a:avLst/>
        </a:prstGeom>
      </xdr:spPr>
    </xdr:pic>
    <xdr:clientData/>
  </xdr:twoCellAnchor>
  <xdr:twoCellAnchor editAs="oneCell">
    <xdr:from>
      <xdr:col>23</xdr:col>
      <xdr:colOff>99392</xdr:colOff>
      <xdr:row>51</xdr:row>
      <xdr:rowOff>49696</xdr:rowOff>
    </xdr:from>
    <xdr:to>
      <xdr:col>31</xdr:col>
      <xdr:colOff>65917</xdr:colOff>
      <xdr:row>59</xdr:row>
      <xdr:rowOff>65248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51044" y="6021457"/>
          <a:ext cx="1027044" cy="943204"/>
        </a:xfrm>
        <a:prstGeom prst="rect">
          <a:avLst/>
        </a:prstGeom>
      </xdr:spPr>
    </xdr:pic>
    <xdr:clientData/>
  </xdr:twoCellAnchor>
  <xdr:twoCellAnchor editAs="oneCell">
    <xdr:from>
      <xdr:col>35</xdr:col>
      <xdr:colOff>57979</xdr:colOff>
      <xdr:row>50</xdr:row>
      <xdr:rowOff>107675</xdr:rowOff>
    </xdr:from>
    <xdr:to>
      <xdr:col>43</xdr:col>
      <xdr:colOff>57979</xdr:colOff>
      <xdr:row>59</xdr:row>
      <xdr:rowOff>102865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26566" y="5963479"/>
          <a:ext cx="927652" cy="1038799"/>
        </a:xfrm>
        <a:prstGeom prst="rect">
          <a:avLst/>
        </a:prstGeom>
      </xdr:spPr>
    </xdr:pic>
    <xdr:clientData/>
  </xdr:twoCellAnchor>
  <xdr:twoCellAnchor editAs="oneCell">
    <xdr:from>
      <xdr:col>48</xdr:col>
      <xdr:colOff>7191</xdr:colOff>
      <xdr:row>51</xdr:row>
      <xdr:rowOff>4832</xdr:rowOff>
    </xdr:from>
    <xdr:to>
      <xdr:col>52</xdr:col>
      <xdr:colOff>28022</xdr:colOff>
      <xdr:row>60</xdr:row>
      <xdr:rowOff>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52316" y="5910332"/>
          <a:ext cx="612969" cy="995294"/>
        </a:xfrm>
        <a:prstGeom prst="rect">
          <a:avLst/>
        </a:prstGeom>
      </xdr:spPr>
    </xdr:pic>
    <xdr:clientData/>
  </xdr:twoCellAnchor>
  <xdr:twoCellAnchor editAs="oneCell">
    <xdr:from>
      <xdr:col>57</xdr:col>
      <xdr:colOff>94626</xdr:colOff>
      <xdr:row>51</xdr:row>
      <xdr:rowOff>25884</xdr:rowOff>
    </xdr:from>
    <xdr:to>
      <xdr:col>64</xdr:col>
      <xdr:colOff>82896</xdr:colOff>
      <xdr:row>59</xdr:row>
      <xdr:rowOff>95251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63689" y="5931384"/>
          <a:ext cx="905845" cy="958367"/>
        </a:xfrm>
        <a:prstGeom prst="rect">
          <a:avLst/>
        </a:prstGeom>
      </xdr:spPr>
    </xdr:pic>
    <xdr:clientData/>
  </xdr:twoCellAnchor>
  <xdr:twoCellAnchor editAs="oneCell">
    <xdr:from>
      <xdr:col>15</xdr:col>
      <xdr:colOff>5133</xdr:colOff>
      <xdr:row>64</xdr:row>
      <xdr:rowOff>16566</xdr:rowOff>
    </xdr:from>
    <xdr:to>
      <xdr:col>19</xdr:col>
      <xdr:colOff>82193</xdr:colOff>
      <xdr:row>73</xdr:row>
      <xdr:rowOff>24848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45698" y="7396370"/>
          <a:ext cx="696322" cy="1051891"/>
        </a:xfrm>
        <a:prstGeom prst="rect">
          <a:avLst/>
        </a:prstGeom>
      </xdr:spPr>
    </xdr:pic>
    <xdr:clientData/>
  </xdr:twoCellAnchor>
  <xdr:twoCellAnchor editAs="oneCell">
    <xdr:from>
      <xdr:col>46</xdr:col>
      <xdr:colOff>91110</xdr:colOff>
      <xdr:row>65</xdr:row>
      <xdr:rowOff>8283</xdr:rowOff>
    </xdr:from>
    <xdr:to>
      <xdr:col>52</xdr:col>
      <xdr:colOff>44588</xdr:colOff>
      <xdr:row>73</xdr:row>
      <xdr:rowOff>104107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5827" y="7504044"/>
          <a:ext cx="795130" cy="1023476"/>
        </a:xfrm>
        <a:prstGeom prst="rect">
          <a:avLst/>
        </a:prstGeom>
      </xdr:spPr>
    </xdr:pic>
    <xdr:clientData/>
  </xdr:twoCellAnchor>
  <xdr:twoCellAnchor editAs="oneCell">
    <xdr:from>
      <xdr:col>56</xdr:col>
      <xdr:colOff>82826</xdr:colOff>
      <xdr:row>65</xdr:row>
      <xdr:rowOff>82824</xdr:rowOff>
    </xdr:from>
    <xdr:to>
      <xdr:col>64</xdr:col>
      <xdr:colOff>50716</xdr:colOff>
      <xdr:row>72</xdr:row>
      <xdr:rowOff>41412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87717" y="7578585"/>
          <a:ext cx="1025923" cy="770284"/>
        </a:xfrm>
        <a:prstGeom prst="rect">
          <a:avLst/>
        </a:prstGeom>
      </xdr:spPr>
    </xdr:pic>
    <xdr:clientData/>
  </xdr:twoCellAnchor>
  <xdr:twoCellAnchor editAs="oneCell">
    <xdr:from>
      <xdr:col>1</xdr:col>
      <xdr:colOff>41279</xdr:colOff>
      <xdr:row>79</xdr:row>
      <xdr:rowOff>82826</xdr:rowOff>
    </xdr:from>
    <xdr:to>
      <xdr:col>9</xdr:col>
      <xdr:colOff>80768</xdr:colOff>
      <xdr:row>86</xdr:row>
      <xdr:rowOff>66261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44" y="9102587"/>
          <a:ext cx="1106911" cy="795131"/>
        </a:xfrm>
        <a:prstGeom prst="rect">
          <a:avLst/>
        </a:prstGeom>
      </xdr:spPr>
    </xdr:pic>
    <xdr:clientData/>
  </xdr:twoCellAnchor>
  <xdr:twoCellAnchor editAs="oneCell">
    <xdr:from>
      <xdr:col>34</xdr:col>
      <xdr:colOff>49697</xdr:colOff>
      <xdr:row>80</xdr:row>
      <xdr:rowOff>41413</xdr:rowOff>
    </xdr:from>
    <xdr:to>
      <xdr:col>43</xdr:col>
      <xdr:colOff>85528</xdr:colOff>
      <xdr:row>85</xdr:row>
      <xdr:rowOff>49695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15849" y="9177130"/>
          <a:ext cx="1228527" cy="588065"/>
        </a:xfrm>
        <a:prstGeom prst="rect">
          <a:avLst/>
        </a:prstGeom>
      </xdr:spPr>
    </xdr:pic>
    <xdr:clientData/>
  </xdr:twoCellAnchor>
  <xdr:twoCellAnchor editAs="oneCell">
    <xdr:from>
      <xdr:col>45</xdr:col>
      <xdr:colOff>82827</xdr:colOff>
      <xdr:row>80</xdr:row>
      <xdr:rowOff>82826</xdr:rowOff>
    </xdr:from>
    <xdr:to>
      <xdr:col>53</xdr:col>
      <xdr:colOff>61153</xdr:colOff>
      <xdr:row>84</xdr:row>
      <xdr:rowOff>57979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94577" y="9020451"/>
          <a:ext cx="1014964" cy="419653"/>
        </a:xfrm>
        <a:prstGeom prst="rect">
          <a:avLst/>
        </a:prstGeom>
      </xdr:spPr>
    </xdr:pic>
    <xdr:clientData/>
  </xdr:twoCellAnchor>
  <xdr:twoCellAnchor editAs="oneCell">
    <xdr:from>
      <xdr:col>34</xdr:col>
      <xdr:colOff>66261</xdr:colOff>
      <xdr:row>93</xdr:row>
      <xdr:rowOff>49696</xdr:rowOff>
    </xdr:from>
    <xdr:to>
      <xdr:col>43</xdr:col>
      <xdr:colOff>91109</xdr:colOff>
      <xdr:row>99</xdr:row>
      <xdr:rowOff>92036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32413" y="10593457"/>
          <a:ext cx="1217544" cy="738079"/>
        </a:xfrm>
        <a:prstGeom prst="rect">
          <a:avLst/>
        </a:prstGeom>
      </xdr:spPr>
    </xdr:pic>
    <xdr:clientData/>
  </xdr:twoCellAnchor>
  <xdr:twoCellAnchor editAs="oneCell">
    <xdr:from>
      <xdr:col>58</xdr:col>
      <xdr:colOff>24849</xdr:colOff>
      <xdr:row>79</xdr:row>
      <xdr:rowOff>41413</xdr:rowOff>
    </xdr:from>
    <xdr:to>
      <xdr:col>63</xdr:col>
      <xdr:colOff>161649</xdr:colOff>
      <xdr:row>86</xdr:row>
      <xdr:rowOff>90515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61653" y="9061174"/>
          <a:ext cx="803412" cy="860798"/>
        </a:xfrm>
        <a:prstGeom prst="rect">
          <a:avLst/>
        </a:prstGeom>
      </xdr:spPr>
    </xdr:pic>
    <xdr:clientData/>
  </xdr:twoCellAnchor>
  <xdr:twoCellAnchor editAs="oneCell">
    <xdr:from>
      <xdr:col>13</xdr:col>
      <xdr:colOff>66260</xdr:colOff>
      <xdr:row>80</xdr:row>
      <xdr:rowOff>57978</xdr:rowOff>
    </xdr:from>
    <xdr:to>
      <xdr:col>19</xdr:col>
      <xdr:colOff>149432</xdr:colOff>
      <xdr:row>86</xdr:row>
      <xdr:rowOff>72047</xdr:rowOff>
    </xdr:to>
    <xdr:pic>
      <xdr:nvPicPr>
        <xdr:cNvPr id="51" name="Рисунок 1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912" y="9193695"/>
          <a:ext cx="935935" cy="709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0</xdr:colOff>
      <xdr:row>79</xdr:row>
      <xdr:rowOff>0</xdr:rowOff>
    </xdr:from>
    <xdr:to>
      <xdr:col>31</xdr:col>
      <xdr:colOff>16220</xdr:colOff>
      <xdr:row>86</xdr:row>
      <xdr:rowOff>25214</xdr:rowOff>
    </xdr:to>
    <xdr:pic>
      <xdr:nvPicPr>
        <xdr:cNvPr id="77" name="Рисунок 2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833688" y="8826500"/>
          <a:ext cx="929032" cy="803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57978</xdr:colOff>
      <xdr:row>22</xdr:row>
      <xdr:rowOff>112847</xdr:rowOff>
    </xdr:from>
    <xdr:to>
      <xdr:col>20</xdr:col>
      <xdr:colOff>36099</xdr:colOff>
      <xdr:row>32</xdr:row>
      <xdr:rowOff>12163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326" y="2920651"/>
          <a:ext cx="1292087" cy="1058882"/>
        </a:xfrm>
        <a:prstGeom prst="rect">
          <a:avLst/>
        </a:prstGeom>
      </xdr:spPr>
    </xdr:pic>
    <xdr:clientData/>
  </xdr:twoCellAnchor>
  <xdr:twoCellAnchor editAs="oneCell">
    <xdr:from>
      <xdr:col>12</xdr:col>
      <xdr:colOff>115957</xdr:colOff>
      <xdr:row>52</xdr:row>
      <xdr:rowOff>8283</xdr:rowOff>
    </xdr:from>
    <xdr:to>
      <xdr:col>20</xdr:col>
      <xdr:colOff>60948</xdr:colOff>
      <xdr:row>59</xdr:row>
      <xdr:rowOff>82826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4305" y="6096000"/>
          <a:ext cx="1258957" cy="886239"/>
        </a:xfrm>
        <a:prstGeom prst="rect">
          <a:avLst/>
        </a:prstGeom>
      </xdr:spPr>
    </xdr:pic>
    <xdr:clientData/>
  </xdr:twoCellAnchor>
  <xdr:twoCellAnchor editAs="oneCell">
    <xdr:from>
      <xdr:col>1</xdr:col>
      <xdr:colOff>57978</xdr:colOff>
      <xdr:row>51</xdr:row>
      <xdr:rowOff>98690</xdr:rowOff>
    </xdr:from>
    <xdr:to>
      <xdr:col>9</xdr:col>
      <xdr:colOff>90901</xdr:colOff>
      <xdr:row>59</xdr:row>
      <xdr:rowOff>57978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3" y="6070451"/>
          <a:ext cx="1258957" cy="88694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26675</xdr:colOff>
      <xdr:row>65</xdr:row>
      <xdr:rowOff>36172</xdr:rowOff>
    </xdr:from>
    <xdr:to>
      <xdr:col>8</xdr:col>
      <xdr:colOff>95595</xdr:colOff>
      <xdr:row>73</xdr:row>
      <xdr:rowOff>68001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62" y="7531933"/>
          <a:ext cx="1041782" cy="959481"/>
        </a:xfrm>
        <a:prstGeom prst="rect">
          <a:avLst/>
        </a:prstGeom>
      </xdr:spPr>
    </xdr:pic>
    <xdr:clientData/>
  </xdr:twoCellAnchor>
  <xdr:twoCellAnchor editAs="oneCell">
    <xdr:from>
      <xdr:col>25</xdr:col>
      <xdr:colOff>33340</xdr:colOff>
      <xdr:row>64</xdr:row>
      <xdr:rowOff>57979</xdr:rowOff>
    </xdr:from>
    <xdr:to>
      <xdr:col>29</xdr:col>
      <xdr:colOff>137699</xdr:colOff>
      <xdr:row>74</xdr:row>
      <xdr:rowOff>9089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978153" y="7312854"/>
          <a:ext cx="620296" cy="1062360"/>
        </a:xfrm>
        <a:prstGeom prst="rect">
          <a:avLst/>
        </a:prstGeom>
      </xdr:spPr>
    </xdr:pic>
    <xdr:clientData/>
  </xdr:twoCellAnchor>
  <xdr:twoCellAnchor editAs="oneCell">
    <xdr:from>
      <xdr:col>36</xdr:col>
      <xdr:colOff>41224</xdr:colOff>
      <xdr:row>66</xdr:row>
      <xdr:rowOff>5086</xdr:rowOff>
    </xdr:from>
    <xdr:to>
      <xdr:col>41</xdr:col>
      <xdr:colOff>15875</xdr:colOff>
      <xdr:row>74</xdr:row>
      <xdr:rowOff>23814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248099" y="7482211"/>
          <a:ext cx="530276" cy="907728"/>
        </a:xfrm>
        <a:prstGeom prst="rect">
          <a:avLst/>
        </a:prstGeom>
      </xdr:spPr>
    </xdr:pic>
    <xdr:clientData/>
  </xdr:twoCellAnchor>
  <xdr:twoCellAnchor editAs="oneCell">
    <xdr:from>
      <xdr:col>1</xdr:col>
      <xdr:colOff>71438</xdr:colOff>
      <xdr:row>93</xdr:row>
      <xdr:rowOff>23813</xdr:rowOff>
    </xdr:from>
    <xdr:to>
      <xdr:col>10</xdr:col>
      <xdr:colOff>34925</xdr:colOff>
      <xdr:row>99</xdr:row>
      <xdr:rowOff>19329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313" y="10167938"/>
          <a:ext cx="1127125" cy="662266"/>
        </a:xfrm>
        <a:prstGeom prst="rect">
          <a:avLst/>
        </a:prstGeom>
      </xdr:spPr>
    </xdr:pic>
    <xdr:clientData/>
  </xdr:twoCellAnchor>
  <xdr:twoCellAnchor editAs="oneCell">
    <xdr:from>
      <xdr:col>13</xdr:col>
      <xdr:colOff>7938</xdr:colOff>
      <xdr:row>92</xdr:row>
      <xdr:rowOff>79374</xdr:rowOff>
    </xdr:from>
    <xdr:to>
      <xdr:col>21</xdr:col>
      <xdr:colOff>73025</xdr:colOff>
      <xdr:row>101</xdr:row>
      <xdr:rowOff>2750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689"/>
        <a:stretch/>
      </xdr:blipFill>
      <xdr:spPr>
        <a:xfrm>
          <a:off x="1397001" y="10112374"/>
          <a:ext cx="1262062" cy="923501"/>
        </a:xfrm>
        <a:prstGeom prst="rect">
          <a:avLst/>
        </a:prstGeom>
      </xdr:spPr>
    </xdr:pic>
    <xdr:clientData/>
  </xdr:twoCellAnchor>
  <xdr:twoCellAnchor editAs="oneCell">
    <xdr:from>
      <xdr:col>24</xdr:col>
      <xdr:colOff>31749</xdr:colOff>
      <xdr:row>92</xdr:row>
      <xdr:rowOff>95251</xdr:rowOff>
    </xdr:from>
    <xdr:to>
      <xdr:col>31</xdr:col>
      <xdr:colOff>130175</xdr:colOff>
      <xdr:row>99</xdr:row>
      <xdr:rowOff>18386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65437" y="10128251"/>
          <a:ext cx="1008063" cy="701010"/>
        </a:xfrm>
        <a:prstGeom prst="rect">
          <a:avLst/>
        </a:prstGeom>
      </xdr:spPr>
    </xdr:pic>
    <xdr:clientData/>
  </xdr:twoCellAnchor>
  <xdr:twoCellAnchor editAs="oneCell">
    <xdr:from>
      <xdr:col>45</xdr:col>
      <xdr:colOff>7938</xdr:colOff>
      <xdr:row>93</xdr:row>
      <xdr:rowOff>23813</xdr:rowOff>
    </xdr:from>
    <xdr:to>
      <xdr:col>54</xdr:col>
      <xdr:colOff>47625</xdr:colOff>
      <xdr:row>100</xdr:row>
      <xdr:rowOff>59624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19688" y="10167938"/>
          <a:ext cx="1206500" cy="813686"/>
        </a:xfrm>
        <a:prstGeom prst="rect">
          <a:avLst/>
        </a:prstGeom>
      </xdr:spPr>
    </xdr:pic>
    <xdr:clientData/>
  </xdr:twoCellAnchor>
  <xdr:twoCellAnchor editAs="oneCell">
    <xdr:from>
      <xdr:col>57</xdr:col>
      <xdr:colOff>39688</xdr:colOff>
      <xdr:row>93</xdr:row>
      <xdr:rowOff>0</xdr:rowOff>
    </xdr:from>
    <xdr:to>
      <xdr:col>64</xdr:col>
      <xdr:colOff>146049</xdr:colOff>
      <xdr:row>99</xdr:row>
      <xdr:rowOff>103713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018"/>
        <a:stretch/>
      </xdr:blipFill>
      <xdr:spPr>
        <a:xfrm>
          <a:off x="6508751" y="10144125"/>
          <a:ext cx="1023936" cy="770463"/>
        </a:xfrm>
        <a:prstGeom prst="rect">
          <a:avLst/>
        </a:prstGeom>
      </xdr:spPr>
    </xdr:pic>
    <xdr:clientData/>
  </xdr:twoCellAnchor>
  <xdr:twoCellAnchor editAs="oneCell">
    <xdr:from>
      <xdr:col>24</xdr:col>
      <xdr:colOff>71438</xdr:colOff>
      <xdr:row>8</xdr:row>
      <xdr:rowOff>47625</xdr:rowOff>
    </xdr:from>
    <xdr:to>
      <xdr:col>31</xdr:col>
      <xdr:colOff>122238</xdr:colOff>
      <xdr:row>16</xdr:row>
      <xdr:rowOff>21626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05126" y="1460500"/>
          <a:ext cx="960437" cy="863001"/>
        </a:xfrm>
        <a:prstGeom prst="rect">
          <a:avLst/>
        </a:prstGeom>
      </xdr:spPr>
    </xdr:pic>
    <xdr:clientData/>
  </xdr:twoCellAnchor>
  <xdr:twoCellAnchor editAs="oneCell">
    <xdr:from>
      <xdr:col>6</xdr:col>
      <xdr:colOff>119062</xdr:colOff>
      <xdr:row>0</xdr:row>
      <xdr:rowOff>63501</xdr:rowOff>
    </xdr:from>
    <xdr:to>
      <xdr:col>13</xdr:col>
      <xdr:colOff>112641</xdr:colOff>
      <xdr:row>3</xdr:row>
      <xdr:rowOff>190501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2" y="63501"/>
          <a:ext cx="836542" cy="8651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99392</xdr:colOff>
      <xdr:row>10</xdr:row>
      <xdr:rowOff>28407</xdr:rowOff>
    </xdr:from>
    <xdr:to>
      <xdr:col>26</xdr:col>
      <xdr:colOff>63745</xdr:colOff>
      <xdr:row>18</xdr:row>
      <xdr:rowOff>99393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706218" y="1212820"/>
          <a:ext cx="1287500" cy="998638"/>
        </a:xfrm>
        <a:prstGeom prst="rect">
          <a:avLst/>
        </a:prstGeom>
      </xdr:spPr>
    </xdr:pic>
    <xdr:clientData/>
  </xdr:twoCellAnchor>
  <xdr:twoCellAnchor editAs="oneCell">
    <xdr:from>
      <xdr:col>29</xdr:col>
      <xdr:colOff>66260</xdr:colOff>
      <xdr:row>11</xdr:row>
      <xdr:rowOff>8282</xdr:rowOff>
    </xdr:from>
    <xdr:to>
      <xdr:col>41</xdr:col>
      <xdr:colOff>5223</xdr:colOff>
      <xdr:row>18</xdr:row>
      <xdr:rowOff>74543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246782" y="1308652"/>
          <a:ext cx="1418237" cy="877956"/>
        </a:xfrm>
        <a:prstGeom prst="rect">
          <a:avLst/>
        </a:prstGeom>
      </xdr:spPr>
    </xdr:pic>
    <xdr:clientData/>
  </xdr:twoCellAnchor>
  <xdr:twoCellAnchor editAs="oneCell">
    <xdr:from>
      <xdr:col>1</xdr:col>
      <xdr:colOff>99394</xdr:colOff>
      <xdr:row>72</xdr:row>
      <xdr:rowOff>49696</xdr:rowOff>
    </xdr:from>
    <xdr:to>
      <xdr:col>11</xdr:col>
      <xdr:colOff>88627</xdr:colOff>
      <xdr:row>78</xdr:row>
      <xdr:rowOff>70828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9" y="8025848"/>
          <a:ext cx="1167848" cy="716871"/>
        </a:xfrm>
        <a:prstGeom prst="rect">
          <a:avLst/>
        </a:prstGeom>
      </xdr:spPr>
    </xdr:pic>
    <xdr:clientData/>
  </xdr:twoCellAnchor>
  <xdr:twoCellAnchor editAs="oneCell">
    <xdr:from>
      <xdr:col>6</xdr:col>
      <xdr:colOff>74543</xdr:colOff>
      <xdr:row>76</xdr:row>
      <xdr:rowOff>66261</xdr:rowOff>
    </xdr:from>
    <xdr:to>
      <xdr:col>12</xdr:col>
      <xdr:colOff>56253</xdr:colOff>
      <xdr:row>81</xdr:row>
      <xdr:rowOff>14024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91" y="8506239"/>
          <a:ext cx="696499" cy="527546"/>
        </a:xfrm>
        <a:prstGeom prst="rect">
          <a:avLst/>
        </a:prstGeom>
      </xdr:spPr>
    </xdr:pic>
    <xdr:clientData/>
  </xdr:twoCellAnchor>
  <xdr:twoCellAnchor editAs="oneCell">
    <xdr:from>
      <xdr:col>58</xdr:col>
      <xdr:colOff>63322</xdr:colOff>
      <xdr:row>71</xdr:row>
      <xdr:rowOff>107674</xdr:rowOff>
    </xdr:from>
    <xdr:to>
      <xdr:col>67</xdr:col>
      <xdr:colOff>20758</xdr:colOff>
      <xdr:row>81</xdr:row>
      <xdr:rowOff>82827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1844" y="7967870"/>
          <a:ext cx="1010570" cy="1134718"/>
        </a:xfrm>
        <a:prstGeom prst="rect">
          <a:avLst/>
        </a:prstGeom>
      </xdr:spPr>
    </xdr:pic>
    <xdr:clientData/>
  </xdr:twoCellAnchor>
  <xdr:twoCellAnchor editAs="oneCell">
    <xdr:from>
      <xdr:col>15</xdr:col>
      <xdr:colOff>106972</xdr:colOff>
      <xdr:row>86</xdr:row>
      <xdr:rowOff>70144</xdr:rowOff>
    </xdr:from>
    <xdr:to>
      <xdr:col>26</xdr:col>
      <xdr:colOff>69064</xdr:colOff>
      <xdr:row>93</xdr:row>
      <xdr:rowOff>107674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537" y="9570296"/>
          <a:ext cx="1281851" cy="849226"/>
        </a:xfrm>
        <a:prstGeom prst="rect">
          <a:avLst/>
        </a:prstGeom>
      </xdr:spPr>
    </xdr:pic>
    <xdr:clientData/>
  </xdr:twoCellAnchor>
  <xdr:twoCellAnchor editAs="oneCell">
    <xdr:from>
      <xdr:col>29</xdr:col>
      <xdr:colOff>56527</xdr:colOff>
      <xdr:row>86</xdr:row>
      <xdr:rowOff>49061</xdr:rowOff>
    </xdr:from>
    <xdr:to>
      <xdr:col>40</xdr:col>
      <xdr:colOff>66198</xdr:colOff>
      <xdr:row>94</xdr:row>
      <xdr:rowOff>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1092" y="9549213"/>
          <a:ext cx="1348140" cy="878591"/>
        </a:xfrm>
        <a:prstGeom prst="rect">
          <a:avLst/>
        </a:prstGeom>
      </xdr:spPr>
    </xdr:pic>
    <xdr:clientData/>
  </xdr:twoCellAnchor>
  <xdr:twoCellAnchor editAs="oneCell">
    <xdr:from>
      <xdr:col>44</xdr:col>
      <xdr:colOff>76834</xdr:colOff>
      <xdr:row>86</xdr:row>
      <xdr:rowOff>27270</xdr:rowOff>
    </xdr:from>
    <xdr:to>
      <xdr:col>54</xdr:col>
      <xdr:colOff>829</xdr:colOff>
      <xdr:row>93</xdr:row>
      <xdr:rowOff>82826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356" y="9527422"/>
          <a:ext cx="1140710" cy="867252"/>
        </a:xfrm>
        <a:prstGeom prst="rect">
          <a:avLst/>
        </a:prstGeom>
      </xdr:spPr>
    </xdr:pic>
    <xdr:clientData/>
  </xdr:twoCellAnchor>
  <xdr:twoCellAnchor editAs="oneCell">
    <xdr:from>
      <xdr:col>58</xdr:col>
      <xdr:colOff>49696</xdr:colOff>
      <xdr:row>26</xdr:row>
      <xdr:rowOff>57978</xdr:rowOff>
    </xdr:from>
    <xdr:to>
      <xdr:col>68</xdr:col>
      <xdr:colOff>36133</xdr:colOff>
      <xdr:row>37</xdr:row>
      <xdr:rowOff>99391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78218" y="2998304"/>
          <a:ext cx="1212677" cy="1316935"/>
        </a:xfrm>
        <a:prstGeom prst="rect">
          <a:avLst/>
        </a:prstGeom>
      </xdr:spPr>
    </xdr:pic>
    <xdr:clientData/>
  </xdr:twoCellAnchor>
  <xdr:twoCellAnchor editAs="oneCell">
    <xdr:from>
      <xdr:col>3</xdr:col>
      <xdr:colOff>8284</xdr:colOff>
      <xdr:row>42</xdr:row>
      <xdr:rowOff>24850</xdr:rowOff>
    </xdr:from>
    <xdr:to>
      <xdr:col>11</xdr:col>
      <xdr:colOff>80342</xdr:colOff>
      <xdr:row>53</xdr:row>
      <xdr:rowOff>22778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6762" y="4721089"/>
          <a:ext cx="1018760" cy="1273450"/>
        </a:xfrm>
        <a:prstGeom prst="rect">
          <a:avLst/>
        </a:prstGeom>
      </xdr:spPr>
    </xdr:pic>
    <xdr:clientData/>
  </xdr:twoCellAnchor>
  <xdr:twoCellAnchor editAs="oneCell">
    <xdr:from>
      <xdr:col>17</xdr:col>
      <xdr:colOff>57980</xdr:colOff>
      <xdr:row>42</xdr:row>
      <xdr:rowOff>33130</xdr:rowOff>
    </xdr:from>
    <xdr:to>
      <xdr:col>25</xdr:col>
      <xdr:colOff>97161</xdr:colOff>
      <xdr:row>53</xdr:row>
      <xdr:rowOff>8282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30458" y="4729369"/>
          <a:ext cx="966833" cy="1250674"/>
        </a:xfrm>
        <a:prstGeom prst="rect">
          <a:avLst/>
        </a:prstGeom>
      </xdr:spPr>
    </xdr:pic>
    <xdr:clientData/>
  </xdr:twoCellAnchor>
  <xdr:twoCellAnchor editAs="oneCell">
    <xdr:from>
      <xdr:col>31</xdr:col>
      <xdr:colOff>49696</xdr:colOff>
      <xdr:row>42</xdr:row>
      <xdr:rowOff>49696</xdr:rowOff>
    </xdr:from>
    <xdr:to>
      <xdr:col>40</xdr:col>
      <xdr:colOff>28161</xdr:colOff>
      <xdr:row>51</xdr:row>
      <xdr:rowOff>68409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46174" y="4745935"/>
          <a:ext cx="1085021" cy="1062322"/>
        </a:xfrm>
        <a:prstGeom prst="rect">
          <a:avLst/>
        </a:prstGeom>
      </xdr:spPr>
    </xdr:pic>
    <xdr:clientData/>
  </xdr:twoCellAnchor>
  <xdr:twoCellAnchor editAs="oneCell">
    <xdr:from>
      <xdr:col>44</xdr:col>
      <xdr:colOff>74544</xdr:colOff>
      <xdr:row>26</xdr:row>
      <xdr:rowOff>24848</xdr:rowOff>
    </xdr:from>
    <xdr:to>
      <xdr:col>53</xdr:col>
      <xdr:colOff>78406</xdr:colOff>
      <xdr:row>36</xdr:row>
      <xdr:rowOff>8283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79066" y="2965174"/>
          <a:ext cx="1106277" cy="1143000"/>
        </a:xfrm>
        <a:prstGeom prst="rect">
          <a:avLst/>
        </a:prstGeom>
      </xdr:spPr>
    </xdr:pic>
    <xdr:clientData/>
  </xdr:twoCellAnchor>
  <xdr:twoCellAnchor editAs="oneCell">
    <xdr:from>
      <xdr:col>43</xdr:col>
      <xdr:colOff>82827</xdr:colOff>
      <xdr:row>43</xdr:row>
      <xdr:rowOff>8283</xdr:rowOff>
    </xdr:from>
    <xdr:to>
      <xdr:col>54</xdr:col>
      <xdr:colOff>109226</xdr:colOff>
      <xdr:row>51</xdr:row>
      <xdr:rowOff>66261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71392" y="4820479"/>
          <a:ext cx="1360728" cy="985630"/>
        </a:xfrm>
        <a:prstGeom prst="rect">
          <a:avLst/>
        </a:prstGeom>
      </xdr:spPr>
    </xdr:pic>
    <xdr:clientData/>
  </xdr:twoCellAnchor>
  <xdr:twoCellAnchor editAs="oneCell">
    <xdr:from>
      <xdr:col>57</xdr:col>
      <xdr:colOff>66261</xdr:colOff>
      <xdr:row>42</xdr:row>
      <xdr:rowOff>66264</xdr:rowOff>
    </xdr:from>
    <xdr:to>
      <xdr:col>68</xdr:col>
      <xdr:colOff>112594</xdr:colOff>
      <xdr:row>51</xdr:row>
      <xdr:rowOff>82827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78826" y="4762503"/>
          <a:ext cx="1390187" cy="1060172"/>
        </a:xfrm>
        <a:prstGeom prst="rect">
          <a:avLst/>
        </a:prstGeom>
      </xdr:spPr>
    </xdr:pic>
    <xdr:clientData/>
  </xdr:twoCellAnchor>
  <xdr:twoCellAnchor editAs="oneCell">
    <xdr:from>
      <xdr:col>43</xdr:col>
      <xdr:colOff>74544</xdr:colOff>
      <xdr:row>58</xdr:row>
      <xdr:rowOff>74544</xdr:rowOff>
    </xdr:from>
    <xdr:to>
      <xdr:col>54</xdr:col>
      <xdr:colOff>115128</xdr:colOff>
      <xdr:row>66</xdr:row>
      <xdr:rowOff>89063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3109" y="6526696"/>
          <a:ext cx="1374913" cy="942171"/>
        </a:xfrm>
        <a:prstGeom prst="rect">
          <a:avLst/>
        </a:prstGeom>
      </xdr:spPr>
    </xdr:pic>
    <xdr:clientData/>
  </xdr:twoCellAnchor>
  <xdr:twoCellAnchor editAs="oneCell">
    <xdr:from>
      <xdr:col>4</xdr:col>
      <xdr:colOff>41412</xdr:colOff>
      <xdr:row>86</xdr:row>
      <xdr:rowOff>16565</xdr:rowOff>
    </xdr:from>
    <xdr:to>
      <xdr:col>10</xdr:col>
      <xdr:colOff>103532</xdr:colOff>
      <xdr:row>96</xdr:row>
      <xdr:rowOff>4359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5847" y="9516717"/>
          <a:ext cx="778565" cy="1147359"/>
        </a:xfrm>
        <a:prstGeom prst="rect">
          <a:avLst/>
        </a:prstGeom>
      </xdr:spPr>
    </xdr:pic>
    <xdr:clientData/>
  </xdr:twoCellAnchor>
  <xdr:twoCellAnchor editAs="oneCell">
    <xdr:from>
      <xdr:col>50</xdr:col>
      <xdr:colOff>74543</xdr:colOff>
      <xdr:row>15</xdr:row>
      <xdr:rowOff>66261</xdr:rowOff>
    </xdr:from>
    <xdr:to>
      <xdr:col>54</xdr:col>
      <xdr:colOff>171450</xdr:colOff>
      <xdr:row>18</xdr:row>
      <xdr:rowOff>74038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640456" y="1830457"/>
          <a:ext cx="621196" cy="355646"/>
        </a:xfrm>
        <a:prstGeom prst="rect">
          <a:avLst/>
        </a:prstGeom>
      </xdr:spPr>
    </xdr:pic>
    <xdr:clientData/>
  </xdr:twoCellAnchor>
  <xdr:twoCellAnchor editAs="oneCell">
    <xdr:from>
      <xdr:col>57</xdr:col>
      <xdr:colOff>107674</xdr:colOff>
      <xdr:row>58</xdr:row>
      <xdr:rowOff>57977</xdr:rowOff>
    </xdr:from>
    <xdr:to>
      <xdr:col>68</xdr:col>
      <xdr:colOff>50892</xdr:colOff>
      <xdr:row>67</xdr:row>
      <xdr:rowOff>8283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1631" y="6510129"/>
          <a:ext cx="1475500" cy="993915"/>
        </a:xfrm>
        <a:prstGeom prst="rect">
          <a:avLst/>
        </a:prstGeom>
      </xdr:spPr>
    </xdr:pic>
    <xdr:clientData/>
  </xdr:twoCellAnchor>
  <xdr:twoCellAnchor editAs="oneCell">
    <xdr:from>
      <xdr:col>30</xdr:col>
      <xdr:colOff>74543</xdr:colOff>
      <xdr:row>72</xdr:row>
      <xdr:rowOff>17476</xdr:rowOff>
    </xdr:from>
    <xdr:to>
      <xdr:col>39</xdr:col>
      <xdr:colOff>104775</xdr:colOff>
      <xdr:row>80</xdr:row>
      <xdr:rowOff>31753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5065" y="7993628"/>
          <a:ext cx="1109870" cy="941929"/>
        </a:xfrm>
        <a:prstGeom prst="rect">
          <a:avLst/>
        </a:prstGeom>
      </xdr:spPr>
    </xdr:pic>
    <xdr:clientData/>
  </xdr:twoCellAnchor>
  <xdr:twoCellAnchor editAs="oneCell">
    <xdr:from>
      <xdr:col>47</xdr:col>
      <xdr:colOff>1826</xdr:colOff>
      <xdr:row>72</xdr:row>
      <xdr:rowOff>26674</xdr:rowOff>
    </xdr:from>
    <xdr:to>
      <xdr:col>51</xdr:col>
      <xdr:colOff>41412</xdr:colOff>
      <xdr:row>79</xdr:row>
      <xdr:rowOff>65198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4217" y="8002826"/>
          <a:ext cx="503413" cy="850220"/>
        </a:xfrm>
        <a:prstGeom prst="rect">
          <a:avLst/>
        </a:prstGeom>
      </xdr:spPr>
    </xdr:pic>
    <xdr:clientData/>
  </xdr:twoCellAnchor>
  <xdr:twoCellAnchor editAs="oneCell">
    <xdr:from>
      <xdr:col>59</xdr:col>
      <xdr:colOff>41412</xdr:colOff>
      <xdr:row>85</xdr:row>
      <xdr:rowOff>38997</xdr:rowOff>
    </xdr:from>
    <xdr:to>
      <xdr:col>67</xdr:col>
      <xdr:colOff>15321</xdr:colOff>
      <xdr:row>95</xdr:row>
      <xdr:rowOff>99391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551542" y="9423193"/>
          <a:ext cx="911087" cy="1219959"/>
        </a:xfrm>
        <a:prstGeom prst="rect">
          <a:avLst/>
        </a:prstGeom>
      </xdr:spPr>
    </xdr:pic>
    <xdr:clientData/>
  </xdr:twoCellAnchor>
  <xdr:twoCellAnchor editAs="oneCell">
    <xdr:from>
      <xdr:col>15</xdr:col>
      <xdr:colOff>16563</xdr:colOff>
      <xdr:row>71</xdr:row>
      <xdr:rowOff>112042</xdr:rowOff>
    </xdr:from>
    <xdr:to>
      <xdr:col>22</xdr:col>
      <xdr:colOff>3313</xdr:colOff>
      <xdr:row>79</xdr:row>
      <xdr:rowOff>107870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1623389" y="7972238"/>
          <a:ext cx="795132" cy="923480"/>
        </a:xfrm>
        <a:prstGeom prst="rect">
          <a:avLst/>
        </a:prstGeom>
      </xdr:spPr>
    </xdr:pic>
    <xdr:clientData/>
  </xdr:twoCellAnchor>
  <xdr:twoCellAnchor editAs="oneCell">
    <xdr:from>
      <xdr:col>30</xdr:col>
      <xdr:colOff>8282</xdr:colOff>
      <xdr:row>58</xdr:row>
      <xdr:rowOff>66263</xdr:rowOff>
    </xdr:from>
    <xdr:to>
      <xdr:col>40</xdr:col>
      <xdr:colOff>94420</xdr:colOff>
      <xdr:row>66</xdr:row>
      <xdr:rowOff>86767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3304760" y="6518415"/>
          <a:ext cx="1308651" cy="948156"/>
        </a:xfrm>
        <a:prstGeom prst="rect">
          <a:avLst/>
        </a:prstGeom>
      </xdr:spPr>
    </xdr:pic>
    <xdr:clientData/>
  </xdr:twoCellAnchor>
  <xdr:twoCellAnchor editAs="oneCell">
    <xdr:from>
      <xdr:col>1</xdr:col>
      <xdr:colOff>74543</xdr:colOff>
      <xdr:row>10</xdr:row>
      <xdr:rowOff>58652</xdr:rowOff>
    </xdr:from>
    <xdr:to>
      <xdr:col>12</xdr:col>
      <xdr:colOff>88624</xdr:colOff>
      <xdr:row>18</xdr:row>
      <xdr:rowOff>45899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08" y="1243065"/>
          <a:ext cx="1308653" cy="914899"/>
        </a:xfrm>
        <a:prstGeom prst="rect">
          <a:avLst/>
        </a:prstGeom>
      </xdr:spPr>
    </xdr:pic>
    <xdr:clientData/>
  </xdr:twoCellAnchor>
  <xdr:twoCellAnchor editAs="oneCell">
    <xdr:from>
      <xdr:col>44</xdr:col>
      <xdr:colOff>8284</xdr:colOff>
      <xdr:row>10</xdr:row>
      <xdr:rowOff>42671</xdr:rowOff>
    </xdr:from>
    <xdr:to>
      <xdr:col>52</xdr:col>
      <xdr:colOff>17394</xdr:colOff>
      <xdr:row>16</xdr:row>
      <xdr:rowOff>23263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8458" y="1227084"/>
          <a:ext cx="993912" cy="676331"/>
        </a:xfrm>
        <a:prstGeom prst="rect">
          <a:avLst/>
        </a:prstGeom>
      </xdr:spPr>
    </xdr:pic>
    <xdr:clientData/>
  </xdr:twoCellAnchor>
  <xdr:twoCellAnchor editAs="oneCell">
    <xdr:from>
      <xdr:col>57</xdr:col>
      <xdr:colOff>41413</xdr:colOff>
      <xdr:row>11</xdr:row>
      <xdr:rowOff>16566</xdr:rowOff>
    </xdr:from>
    <xdr:to>
      <xdr:col>68</xdr:col>
      <xdr:colOff>89037</xdr:colOff>
      <xdr:row>18</xdr:row>
      <xdr:rowOff>91869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3978" y="1316936"/>
          <a:ext cx="1391478" cy="886998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26</xdr:row>
      <xdr:rowOff>91109</xdr:rowOff>
    </xdr:from>
    <xdr:to>
      <xdr:col>13</xdr:col>
      <xdr:colOff>19347</xdr:colOff>
      <xdr:row>36</xdr:row>
      <xdr:rowOff>49696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9" y="3031435"/>
          <a:ext cx="1464247" cy="1118152"/>
        </a:xfrm>
        <a:prstGeom prst="rect">
          <a:avLst/>
        </a:prstGeom>
      </xdr:spPr>
    </xdr:pic>
    <xdr:clientData/>
  </xdr:twoCellAnchor>
  <xdr:twoCellAnchor editAs="oneCell">
    <xdr:from>
      <xdr:col>15</xdr:col>
      <xdr:colOff>74544</xdr:colOff>
      <xdr:row>26</xdr:row>
      <xdr:rowOff>16938</xdr:rowOff>
    </xdr:from>
    <xdr:to>
      <xdr:col>26</xdr:col>
      <xdr:colOff>115046</xdr:colOff>
      <xdr:row>36</xdr:row>
      <xdr:rowOff>16567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109" y="2957264"/>
          <a:ext cx="1367376" cy="1159194"/>
        </a:xfrm>
        <a:prstGeom prst="rect">
          <a:avLst/>
        </a:prstGeom>
      </xdr:spPr>
    </xdr:pic>
    <xdr:clientData/>
  </xdr:twoCellAnchor>
  <xdr:twoCellAnchor editAs="oneCell">
    <xdr:from>
      <xdr:col>31</xdr:col>
      <xdr:colOff>91110</xdr:colOff>
      <xdr:row>26</xdr:row>
      <xdr:rowOff>5762</xdr:rowOff>
    </xdr:from>
    <xdr:to>
      <xdr:col>39</xdr:col>
      <xdr:colOff>19880</xdr:colOff>
      <xdr:row>35</xdr:row>
      <xdr:rowOff>95439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588" y="2946088"/>
          <a:ext cx="894522" cy="1133286"/>
        </a:xfrm>
        <a:prstGeom prst="rect">
          <a:avLst/>
        </a:prstGeom>
      </xdr:spPr>
    </xdr:pic>
    <xdr:clientData/>
  </xdr:twoCellAnchor>
  <xdr:twoCellAnchor editAs="oneCell">
    <xdr:from>
      <xdr:col>22</xdr:col>
      <xdr:colOff>57978</xdr:colOff>
      <xdr:row>71</xdr:row>
      <xdr:rowOff>107674</xdr:rowOff>
    </xdr:from>
    <xdr:to>
      <xdr:col>26</xdr:col>
      <xdr:colOff>51876</xdr:colOff>
      <xdr:row>79</xdr:row>
      <xdr:rowOff>41413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10239" y="7967870"/>
          <a:ext cx="505349" cy="861391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0</xdr:row>
      <xdr:rowOff>66675</xdr:rowOff>
    </xdr:from>
    <xdr:to>
      <xdr:col>13</xdr:col>
      <xdr:colOff>112642</xdr:colOff>
      <xdr:row>3</xdr:row>
      <xdr:rowOff>209550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6675"/>
          <a:ext cx="836542" cy="885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65943</xdr:colOff>
      <xdr:row>68</xdr:row>
      <xdr:rowOff>58615</xdr:rowOff>
    </xdr:from>
    <xdr:to>
      <xdr:col>21</xdr:col>
      <xdr:colOff>1974</xdr:colOff>
      <xdr:row>76</xdr:row>
      <xdr:rowOff>95250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443" y="7407519"/>
          <a:ext cx="873877" cy="974481"/>
        </a:xfrm>
        <a:prstGeom prst="rect">
          <a:avLst/>
        </a:prstGeom>
      </xdr:spPr>
    </xdr:pic>
    <xdr:clientData/>
  </xdr:twoCellAnchor>
  <xdr:twoCellAnchor editAs="oneCell">
    <xdr:from>
      <xdr:col>23</xdr:col>
      <xdr:colOff>113366</xdr:colOff>
      <xdr:row>67</xdr:row>
      <xdr:rowOff>106039</xdr:rowOff>
    </xdr:from>
    <xdr:to>
      <xdr:col>31</xdr:col>
      <xdr:colOff>58616</xdr:colOff>
      <xdr:row>76</xdr:row>
      <xdr:rowOff>1514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3924" y="7337712"/>
          <a:ext cx="883096" cy="944995"/>
        </a:xfrm>
        <a:prstGeom prst="rect">
          <a:avLst/>
        </a:prstGeom>
      </xdr:spPr>
    </xdr:pic>
    <xdr:clientData/>
  </xdr:twoCellAnchor>
  <xdr:twoCellAnchor editAs="oneCell">
    <xdr:from>
      <xdr:col>35</xdr:col>
      <xdr:colOff>8282</xdr:colOff>
      <xdr:row>24</xdr:row>
      <xdr:rowOff>33131</xdr:rowOff>
    </xdr:from>
    <xdr:to>
      <xdr:col>43</xdr:col>
      <xdr:colOff>57039</xdr:colOff>
      <xdr:row>34</xdr:row>
      <xdr:rowOff>16564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9195" y="3296479"/>
          <a:ext cx="976409" cy="1142999"/>
        </a:xfrm>
        <a:prstGeom prst="rect">
          <a:avLst/>
        </a:prstGeom>
      </xdr:spPr>
    </xdr:pic>
    <xdr:clientData/>
  </xdr:twoCellAnchor>
  <xdr:twoCellAnchor editAs="oneCell">
    <xdr:from>
      <xdr:col>34</xdr:col>
      <xdr:colOff>99391</xdr:colOff>
      <xdr:row>10</xdr:row>
      <xdr:rowOff>24849</xdr:rowOff>
    </xdr:from>
    <xdr:to>
      <xdr:col>43</xdr:col>
      <xdr:colOff>33131</xdr:colOff>
      <xdr:row>20</xdr:row>
      <xdr:rowOff>28791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44348" y="1764197"/>
          <a:ext cx="977348" cy="1163508"/>
        </a:xfrm>
        <a:prstGeom prst="rect">
          <a:avLst/>
        </a:prstGeom>
      </xdr:spPr>
    </xdr:pic>
    <xdr:clientData/>
  </xdr:twoCellAnchor>
  <xdr:twoCellAnchor editAs="oneCell">
    <xdr:from>
      <xdr:col>35</xdr:col>
      <xdr:colOff>66262</xdr:colOff>
      <xdr:row>40</xdr:row>
      <xdr:rowOff>33131</xdr:rowOff>
    </xdr:from>
    <xdr:to>
      <xdr:col>43</xdr:col>
      <xdr:colOff>16566</xdr:colOff>
      <xdr:row>49</xdr:row>
      <xdr:rowOff>25153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27175" y="5218044"/>
          <a:ext cx="877956" cy="1035630"/>
        </a:xfrm>
        <a:prstGeom prst="rect">
          <a:avLst/>
        </a:prstGeom>
      </xdr:spPr>
    </xdr:pic>
    <xdr:clientData/>
  </xdr:twoCellAnchor>
  <xdr:twoCellAnchor editAs="oneCell">
    <xdr:from>
      <xdr:col>35</xdr:col>
      <xdr:colOff>57980</xdr:colOff>
      <xdr:row>54</xdr:row>
      <xdr:rowOff>16566</xdr:rowOff>
    </xdr:from>
    <xdr:to>
      <xdr:col>42</xdr:col>
      <xdr:colOff>60751</xdr:colOff>
      <xdr:row>62</xdr:row>
      <xdr:rowOff>57978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18893" y="6725479"/>
          <a:ext cx="814467" cy="969064"/>
        </a:xfrm>
        <a:prstGeom prst="rect">
          <a:avLst/>
        </a:prstGeom>
      </xdr:spPr>
    </xdr:pic>
    <xdr:clientData/>
  </xdr:twoCellAnchor>
  <xdr:twoCellAnchor editAs="oneCell">
    <xdr:from>
      <xdr:col>3</xdr:col>
      <xdr:colOff>99392</xdr:colOff>
      <xdr:row>10</xdr:row>
      <xdr:rowOff>24848</xdr:rowOff>
    </xdr:from>
    <xdr:to>
      <xdr:col>7</xdr:col>
      <xdr:colOff>41784</xdr:colOff>
      <xdr:row>20</xdr:row>
      <xdr:rowOff>24848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7870" y="1764196"/>
          <a:ext cx="406218" cy="1159566"/>
        </a:xfrm>
        <a:prstGeom prst="rect">
          <a:avLst/>
        </a:prstGeom>
      </xdr:spPr>
    </xdr:pic>
    <xdr:clientData/>
  </xdr:twoCellAnchor>
  <xdr:twoCellAnchor editAs="oneCell">
    <xdr:from>
      <xdr:col>14</xdr:col>
      <xdr:colOff>66261</xdr:colOff>
      <xdr:row>10</xdr:row>
      <xdr:rowOff>16566</xdr:rowOff>
    </xdr:from>
    <xdr:to>
      <xdr:col>19</xdr:col>
      <xdr:colOff>99393</xdr:colOff>
      <xdr:row>20</xdr:row>
      <xdr:rowOff>25622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0" y="1755914"/>
          <a:ext cx="612914" cy="1168622"/>
        </a:xfrm>
        <a:prstGeom prst="rect">
          <a:avLst/>
        </a:prstGeom>
      </xdr:spPr>
    </xdr:pic>
    <xdr:clientData/>
  </xdr:twoCellAnchor>
  <xdr:twoCellAnchor editAs="oneCell">
    <xdr:from>
      <xdr:col>24</xdr:col>
      <xdr:colOff>49696</xdr:colOff>
      <xdr:row>10</xdr:row>
      <xdr:rowOff>49695</xdr:rowOff>
    </xdr:from>
    <xdr:to>
      <xdr:col>30</xdr:col>
      <xdr:colOff>114128</xdr:colOff>
      <xdr:row>20</xdr:row>
      <xdr:rowOff>16564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34479" y="1789043"/>
          <a:ext cx="760171" cy="1126435"/>
        </a:xfrm>
        <a:prstGeom prst="rect">
          <a:avLst/>
        </a:prstGeom>
      </xdr:spPr>
    </xdr:pic>
    <xdr:clientData/>
  </xdr:twoCellAnchor>
  <xdr:twoCellAnchor editAs="oneCell">
    <xdr:from>
      <xdr:col>45</xdr:col>
      <xdr:colOff>82827</xdr:colOff>
      <xdr:row>10</xdr:row>
      <xdr:rowOff>33129</xdr:rowOff>
    </xdr:from>
    <xdr:to>
      <xdr:col>54</xdr:col>
      <xdr:colOff>74958</xdr:colOff>
      <xdr:row>20</xdr:row>
      <xdr:rowOff>47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03914" y="1772477"/>
          <a:ext cx="1109869" cy="1126484"/>
        </a:xfrm>
        <a:prstGeom prst="rect">
          <a:avLst/>
        </a:prstGeom>
      </xdr:spPr>
    </xdr:pic>
    <xdr:clientData/>
  </xdr:twoCellAnchor>
  <xdr:twoCellAnchor editAs="oneCell">
    <xdr:from>
      <xdr:col>57</xdr:col>
      <xdr:colOff>49695</xdr:colOff>
      <xdr:row>10</xdr:row>
      <xdr:rowOff>41413</xdr:rowOff>
    </xdr:from>
    <xdr:to>
      <xdr:col>68</xdr:col>
      <xdr:colOff>33130</xdr:colOff>
      <xdr:row>19</xdr:row>
      <xdr:rowOff>60409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87717" y="1780761"/>
          <a:ext cx="1258956" cy="1062605"/>
        </a:xfrm>
        <a:prstGeom prst="rect">
          <a:avLst/>
        </a:prstGeom>
      </xdr:spPr>
    </xdr:pic>
    <xdr:clientData/>
  </xdr:twoCellAnchor>
  <xdr:twoCellAnchor editAs="oneCell">
    <xdr:from>
      <xdr:col>3</xdr:col>
      <xdr:colOff>107674</xdr:colOff>
      <xdr:row>24</xdr:row>
      <xdr:rowOff>16565</xdr:rowOff>
    </xdr:from>
    <xdr:to>
      <xdr:col>7</xdr:col>
      <xdr:colOff>21159</xdr:colOff>
      <xdr:row>34</xdr:row>
      <xdr:rowOff>8281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6152" y="3279913"/>
          <a:ext cx="377311" cy="1151282"/>
        </a:xfrm>
        <a:prstGeom prst="rect">
          <a:avLst/>
        </a:prstGeom>
      </xdr:spPr>
    </xdr:pic>
    <xdr:clientData/>
  </xdr:twoCellAnchor>
  <xdr:twoCellAnchor editAs="oneCell">
    <xdr:from>
      <xdr:col>14</xdr:col>
      <xdr:colOff>33131</xdr:colOff>
      <xdr:row>24</xdr:row>
      <xdr:rowOff>24847</xdr:rowOff>
    </xdr:from>
    <xdr:to>
      <xdr:col>19</xdr:col>
      <xdr:colOff>35094</xdr:colOff>
      <xdr:row>33</xdr:row>
      <xdr:rowOff>107673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57740" y="3288195"/>
          <a:ext cx="581745" cy="1126435"/>
        </a:xfrm>
        <a:prstGeom prst="rect">
          <a:avLst/>
        </a:prstGeom>
      </xdr:spPr>
    </xdr:pic>
    <xdr:clientData/>
  </xdr:twoCellAnchor>
  <xdr:twoCellAnchor editAs="oneCell">
    <xdr:from>
      <xdr:col>24</xdr:col>
      <xdr:colOff>66260</xdr:colOff>
      <xdr:row>24</xdr:row>
      <xdr:rowOff>41415</xdr:rowOff>
    </xdr:from>
    <xdr:to>
      <xdr:col>30</xdr:col>
      <xdr:colOff>111162</xdr:colOff>
      <xdr:row>34</xdr:row>
      <xdr:rowOff>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51043" y="3304763"/>
          <a:ext cx="740641" cy="1118152"/>
        </a:xfrm>
        <a:prstGeom prst="rect">
          <a:avLst/>
        </a:prstGeom>
      </xdr:spPr>
    </xdr:pic>
    <xdr:clientData/>
  </xdr:twoCellAnchor>
  <xdr:twoCellAnchor editAs="oneCell">
    <xdr:from>
      <xdr:col>45</xdr:col>
      <xdr:colOff>107674</xdr:colOff>
      <xdr:row>24</xdr:row>
      <xdr:rowOff>16565</xdr:rowOff>
    </xdr:from>
    <xdr:to>
      <xdr:col>55</xdr:col>
      <xdr:colOff>16679</xdr:colOff>
      <xdr:row>34</xdr:row>
      <xdr:rowOff>16565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28761" y="3279913"/>
          <a:ext cx="1141043" cy="1159566"/>
        </a:xfrm>
        <a:prstGeom prst="rect">
          <a:avLst/>
        </a:prstGeom>
      </xdr:spPr>
    </xdr:pic>
    <xdr:clientData/>
  </xdr:twoCellAnchor>
  <xdr:twoCellAnchor editAs="oneCell">
    <xdr:from>
      <xdr:col>57</xdr:col>
      <xdr:colOff>33131</xdr:colOff>
      <xdr:row>24</xdr:row>
      <xdr:rowOff>24849</xdr:rowOff>
    </xdr:from>
    <xdr:to>
      <xdr:col>68</xdr:col>
      <xdr:colOff>82827</xdr:colOff>
      <xdr:row>34</xdr:row>
      <xdr:rowOff>1025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24261" y="3288197"/>
          <a:ext cx="1507436" cy="1134085"/>
        </a:xfrm>
        <a:prstGeom prst="rect">
          <a:avLst/>
        </a:prstGeom>
      </xdr:spPr>
    </xdr:pic>
    <xdr:clientData/>
  </xdr:twoCellAnchor>
  <xdr:twoCellAnchor editAs="oneCell">
    <xdr:from>
      <xdr:col>4</xdr:col>
      <xdr:colOff>16565</xdr:colOff>
      <xdr:row>40</xdr:row>
      <xdr:rowOff>16563</xdr:rowOff>
    </xdr:from>
    <xdr:to>
      <xdr:col>7</xdr:col>
      <xdr:colOff>8284</xdr:colOff>
      <xdr:row>49</xdr:row>
      <xdr:rowOff>25678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0" y="5201476"/>
          <a:ext cx="339588" cy="1052723"/>
        </a:xfrm>
        <a:prstGeom prst="rect">
          <a:avLst/>
        </a:prstGeom>
      </xdr:spPr>
    </xdr:pic>
    <xdr:clientData/>
  </xdr:twoCellAnchor>
  <xdr:twoCellAnchor editAs="oneCell">
    <xdr:from>
      <xdr:col>14</xdr:col>
      <xdr:colOff>74545</xdr:colOff>
      <xdr:row>40</xdr:row>
      <xdr:rowOff>16565</xdr:rowOff>
    </xdr:from>
    <xdr:to>
      <xdr:col>19</xdr:col>
      <xdr:colOff>24849</xdr:colOff>
      <xdr:row>48</xdr:row>
      <xdr:rowOff>107780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9154" y="5201478"/>
          <a:ext cx="530086" cy="1018867"/>
        </a:xfrm>
        <a:prstGeom prst="rect">
          <a:avLst/>
        </a:prstGeom>
      </xdr:spPr>
    </xdr:pic>
    <xdr:clientData/>
  </xdr:twoCellAnchor>
  <xdr:twoCellAnchor editAs="oneCell">
    <xdr:from>
      <xdr:col>24</xdr:col>
      <xdr:colOff>99391</xdr:colOff>
      <xdr:row>40</xdr:row>
      <xdr:rowOff>24849</xdr:rowOff>
    </xdr:from>
    <xdr:to>
      <xdr:col>30</xdr:col>
      <xdr:colOff>101372</xdr:colOff>
      <xdr:row>49</xdr:row>
      <xdr:rowOff>16567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84174" y="5209762"/>
          <a:ext cx="697720" cy="1035326"/>
        </a:xfrm>
        <a:prstGeom prst="rect">
          <a:avLst/>
        </a:prstGeom>
      </xdr:spPr>
    </xdr:pic>
    <xdr:clientData/>
  </xdr:twoCellAnchor>
  <xdr:twoCellAnchor editAs="oneCell">
    <xdr:from>
      <xdr:col>46</xdr:col>
      <xdr:colOff>8283</xdr:colOff>
      <xdr:row>40</xdr:row>
      <xdr:rowOff>41415</xdr:rowOff>
    </xdr:from>
    <xdr:to>
      <xdr:col>54</xdr:col>
      <xdr:colOff>37168</xdr:colOff>
      <xdr:row>49</xdr:row>
      <xdr:rowOff>2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45326" y="5226328"/>
          <a:ext cx="1029010" cy="1002195"/>
        </a:xfrm>
        <a:prstGeom prst="rect">
          <a:avLst/>
        </a:prstGeom>
      </xdr:spPr>
    </xdr:pic>
    <xdr:clientData/>
  </xdr:twoCellAnchor>
  <xdr:twoCellAnchor editAs="oneCell">
    <xdr:from>
      <xdr:col>57</xdr:col>
      <xdr:colOff>57978</xdr:colOff>
      <xdr:row>40</xdr:row>
      <xdr:rowOff>49696</xdr:rowOff>
    </xdr:from>
    <xdr:to>
      <xdr:col>67</xdr:col>
      <xdr:colOff>107674</xdr:colOff>
      <xdr:row>49</xdr:row>
      <xdr:rowOff>20435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0" y="5234609"/>
          <a:ext cx="1209261" cy="1014347"/>
        </a:xfrm>
        <a:prstGeom prst="rect">
          <a:avLst/>
        </a:prstGeom>
      </xdr:spPr>
    </xdr:pic>
    <xdr:clientData/>
  </xdr:twoCellAnchor>
  <xdr:twoCellAnchor editAs="oneCell">
    <xdr:from>
      <xdr:col>45</xdr:col>
      <xdr:colOff>91109</xdr:colOff>
      <xdr:row>54</xdr:row>
      <xdr:rowOff>16566</xdr:rowOff>
    </xdr:from>
    <xdr:to>
      <xdr:col>54</xdr:col>
      <xdr:colOff>51767</xdr:colOff>
      <xdr:row>63</xdr:row>
      <xdr:rowOff>14510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12196" y="6725479"/>
          <a:ext cx="1076739" cy="10415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</xdr:row>
      <xdr:rowOff>16567</xdr:rowOff>
    </xdr:from>
    <xdr:to>
      <xdr:col>7</xdr:col>
      <xdr:colOff>24849</xdr:colOff>
      <xdr:row>63</xdr:row>
      <xdr:rowOff>15121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4435" y="6725480"/>
          <a:ext cx="372718" cy="1042162"/>
        </a:xfrm>
        <a:prstGeom prst="rect">
          <a:avLst/>
        </a:prstGeom>
      </xdr:spPr>
    </xdr:pic>
    <xdr:clientData/>
  </xdr:twoCellAnchor>
  <xdr:twoCellAnchor editAs="oneCell">
    <xdr:from>
      <xdr:col>14</xdr:col>
      <xdr:colOff>66259</xdr:colOff>
      <xdr:row>54</xdr:row>
      <xdr:rowOff>24846</xdr:rowOff>
    </xdr:from>
    <xdr:to>
      <xdr:col>19</xdr:col>
      <xdr:colOff>16565</xdr:colOff>
      <xdr:row>63</xdr:row>
      <xdr:rowOff>13515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68" y="6733759"/>
          <a:ext cx="530088" cy="1032277"/>
        </a:xfrm>
        <a:prstGeom prst="rect">
          <a:avLst/>
        </a:prstGeom>
      </xdr:spPr>
    </xdr:pic>
    <xdr:clientData/>
  </xdr:twoCellAnchor>
  <xdr:twoCellAnchor editAs="oneCell">
    <xdr:from>
      <xdr:col>24</xdr:col>
      <xdr:colOff>107673</xdr:colOff>
      <xdr:row>54</xdr:row>
      <xdr:rowOff>16565</xdr:rowOff>
    </xdr:from>
    <xdr:to>
      <xdr:col>31</xdr:col>
      <xdr:colOff>8283</xdr:colOff>
      <xdr:row>63</xdr:row>
      <xdr:rowOff>21324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92456" y="6725478"/>
          <a:ext cx="712305" cy="1048367"/>
        </a:xfrm>
        <a:prstGeom prst="rect">
          <a:avLst/>
        </a:prstGeom>
      </xdr:spPr>
    </xdr:pic>
    <xdr:clientData/>
  </xdr:twoCellAnchor>
  <xdr:twoCellAnchor editAs="oneCell">
    <xdr:from>
      <xdr:col>57</xdr:col>
      <xdr:colOff>74544</xdr:colOff>
      <xdr:row>54</xdr:row>
      <xdr:rowOff>16566</xdr:rowOff>
    </xdr:from>
    <xdr:to>
      <xdr:col>68</xdr:col>
      <xdr:colOff>10479</xdr:colOff>
      <xdr:row>62</xdr:row>
      <xdr:rowOff>99391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12566" y="6725479"/>
          <a:ext cx="1211456" cy="1010477"/>
        </a:xfrm>
        <a:prstGeom prst="rect">
          <a:avLst/>
        </a:prstGeom>
      </xdr:spPr>
    </xdr:pic>
    <xdr:clientData/>
  </xdr:twoCellAnchor>
  <xdr:twoCellAnchor editAs="oneCell">
    <xdr:from>
      <xdr:col>3</xdr:col>
      <xdr:colOff>49699</xdr:colOff>
      <xdr:row>68</xdr:row>
      <xdr:rowOff>24849</xdr:rowOff>
    </xdr:from>
    <xdr:to>
      <xdr:col>9</xdr:col>
      <xdr:colOff>87311</xdr:colOff>
      <xdr:row>72</xdr:row>
      <xdr:rowOff>91109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8177" y="8257762"/>
          <a:ext cx="733351" cy="530086"/>
        </a:xfrm>
        <a:prstGeom prst="rect">
          <a:avLst/>
        </a:prstGeom>
      </xdr:spPr>
    </xdr:pic>
    <xdr:clientData/>
  </xdr:twoCellAnchor>
  <xdr:twoCellAnchor editAs="oneCell">
    <xdr:from>
      <xdr:col>4</xdr:col>
      <xdr:colOff>16565</xdr:colOff>
      <xdr:row>73</xdr:row>
      <xdr:rowOff>33132</xdr:rowOff>
    </xdr:from>
    <xdr:to>
      <xdr:col>10</xdr:col>
      <xdr:colOff>74543</xdr:colOff>
      <xdr:row>78</xdr:row>
      <xdr:rowOff>342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0" y="8845828"/>
          <a:ext cx="753717" cy="545336"/>
        </a:xfrm>
        <a:prstGeom prst="rect">
          <a:avLst/>
        </a:prstGeom>
      </xdr:spPr>
    </xdr:pic>
    <xdr:clientData/>
  </xdr:twoCellAnchor>
  <xdr:twoCellAnchor editAs="oneCell">
    <xdr:from>
      <xdr:col>37</xdr:col>
      <xdr:colOff>49697</xdr:colOff>
      <xdr:row>67</xdr:row>
      <xdr:rowOff>66260</xdr:rowOff>
    </xdr:from>
    <xdr:to>
      <xdr:col>43</xdr:col>
      <xdr:colOff>19052</xdr:colOff>
      <xdr:row>78</xdr:row>
      <xdr:rowOff>1656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42523" y="8183217"/>
          <a:ext cx="665094" cy="1209261"/>
        </a:xfrm>
        <a:prstGeom prst="rect">
          <a:avLst/>
        </a:prstGeom>
      </xdr:spPr>
    </xdr:pic>
    <xdr:clientData/>
  </xdr:twoCellAnchor>
  <xdr:twoCellAnchor editAs="oneCell">
    <xdr:from>
      <xdr:col>48</xdr:col>
      <xdr:colOff>49695</xdr:colOff>
      <xdr:row>67</xdr:row>
      <xdr:rowOff>91107</xdr:rowOff>
    </xdr:from>
    <xdr:to>
      <xdr:col>53</xdr:col>
      <xdr:colOff>78367</xdr:colOff>
      <xdr:row>77</xdr:row>
      <xdr:rowOff>107674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18652" y="8208064"/>
          <a:ext cx="633302" cy="1176132"/>
        </a:xfrm>
        <a:prstGeom prst="rect">
          <a:avLst/>
        </a:prstGeom>
      </xdr:spPr>
    </xdr:pic>
    <xdr:clientData/>
  </xdr:twoCellAnchor>
  <xdr:twoCellAnchor editAs="oneCell">
    <xdr:from>
      <xdr:col>58</xdr:col>
      <xdr:colOff>49697</xdr:colOff>
      <xdr:row>68</xdr:row>
      <xdr:rowOff>24850</xdr:rowOff>
    </xdr:from>
    <xdr:to>
      <xdr:col>67</xdr:col>
      <xdr:colOff>85408</xdr:colOff>
      <xdr:row>77</xdr:row>
      <xdr:rowOff>107675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03675" y="8257763"/>
          <a:ext cx="1079320" cy="1126433"/>
        </a:xfrm>
        <a:prstGeom prst="rect">
          <a:avLst/>
        </a:prstGeom>
      </xdr:spPr>
    </xdr:pic>
    <xdr:clientData/>
  </xdr:twoCellAnchor>
  <xdr:twoCellAnchor editAs="oneCell">
    <xdr:from>
      <xdr:col>1</xdr:col>
      <xdr:colOff>74544</xdr:colOff>
      <xdr:row>82</xdr:row>
      <xdr:rowOff>57978</xdr:rowOff>
    </xdr:from>
    <xdr:to>
      <xdr:col>10</xdr:col>
      <xdr:colOff>99391</xdr:colOff>
      <xdr:row>89</xdr:row>
      <xdr:rowOff>76857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109" y="9814891"/>
          <a:ext cx="1068456" cy="830574"/>
        </a:xfrm>
        <a:prstGeom prst="rect">
          <a:avLst/>
        </a:prstGeom>
      </xdr:spPr>
    </xdr:pic>
    <xdr:clientData/>
  </xdr:twoCellAnchor>
  <xdr:twoCellAnchor editAs="oneCell">
    <xdr:from>
      <xdr:col>12</xdr:col>
      <xdr:colOff>41413</xdr:colOff>
      <xdr:row>83</xdr:row>
      <xdr:rowOff>107674</xdr:rowOff>
    </xdr:from>
    <xdr:to>
      <xdr:col>21</xdr:col>
      <xdr:colOff>107753</xdr:colOff>
      <xdr:row>89</xdr:row>
      <xdr:rowOff>8282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34109" y="9980544"/>
          <a:ext cx="1109948" cy="596347"/>
        </a:xfrm>
        <a:prstGeom prst="rect">
          <a:avLst/>
        </a:prstGeom>
      </xdr:spPr>
    </xdr:pic>
    <xdr:clientData/>
  </xdr:twoCellAnchor>
  <xdr:twoCellAnchor editAs="oneCell">
    <xdr:from>
      <xdr:col>23</xdr:col>
      <xdr:colOff>24849</xdr:colOff>
      <xdr:row>83</xdr:row>
      <xdr:rowOff>74544</xdr:rowOff>
    </xdr:from>
    <xdr:to>
      <xdr:col>32</xdr:col>
      <xdr:colOff>74022</xdr:colOff>
      <xdr:row>88</xdr:row>
      <xdr:rowOff>74542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93675" y="9947414"/>
          <a:ext cx="1092782" cy="579781"/>
        </a:xfrm>
        <a:prstGeom prst="rect">
          <a:avLst/>
        </a:prstGeom>
      </xdr:spPr>
    </xdr:pic>
    <xdr:clientData/>
  </xdr:twoCellAnchor>
  <xdr:twoCellAnchor editAs="oneCell">
    <xdr:from>
      <xdr:col>36</xdr:col>
      <xdr:colOff>74543</xdr:colOff>
      <xdr:row>82</xdr:row>
      <xdr:rowOff>8285</xdr:rowOff>
    </xdr:from>
    <xdr:to>
      <xdr:col>41</xdr:col>
      <xdr:colOff>42600</xdr:colOff>
      <xdr:row>92</xdr:row>
      <xdr:rowOff>33131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51413" y="9765198"/>
          <a:ext cx="547839" cy="1184411"/>
        </a:xfrm>
        <a:prstGeom prst="rect">
          <a:avLst/>
        </a:prstGeom>
      </xdr:spPr>
    </xdr:pic>
    <xdr:clientData/>
  </xdr:twoCellAnchor>
  <xdr:twoCellAnchor editAs="oneCell">
    <xdr:from>
      <xdr:col>46</xdr:col>
      <xdr:colOff>8282</xdr:colOff>
      <xdr:row>82</xdr:row>
      <xdr:rowOff>33130</xdr:rowOff>
    </xdr:from>
    <xdr:to>
      <xdr:col>54</xdr:col>
      <xdr:colOff>60049</xdr:colOff>
      <xdr:row>92</xdr:row>
      <xdr:rowOff>5687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45325" y="9790043"/>
          <a:ext cx="1051892" cy="1132122"/>
        </a:xfrm>
        <a:prstGeom prst="rect">
          <a:avLst/>
        </a:prstGeom>
      </xdr:spPr>
    </xdr:pic>
    <xdr:clientData/>
  </xdr:twoCellAnchor>
  <xdr:twoCellAnchor editAs="oneCell">
    <xdr:from>
      <xdr:col>58</xdr:col>
      <xdr:colOff>24848</xdr:colOff>
      <xdr:row>82</xdr:row>
      <xdr:rowOff>16566</xdr:rowOff>
    </xdr:from>
    <xdr:to>
      <xdr:col>68</xdr:col>
      <xdr:colOff>33130</xdr:colOff>
      <xdr:row>92</xdr:row>
      <xdr:rowOff>10607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78826" y="9773479"/>
          <a:ext cx="1167847" cy="1153606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0</xdr:row>
      <xdr:rowOff>76200</xdr:rowOff>
    </xdr:from>
    <xdr:to>
      <xdr:col>14</xdr:col>
      <xdr:colOff>55492</xdr:colOff>
      <xdr:row>3</xdr:row>
      <xdr:rowOff>190500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76200"/>
          <a:ext cx="836542" cy="857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49697</xdr:colOff>
      <xdr:row>10</xdr:row>
      <xdr:rowOff>33132</xdr:rowOff>
    </xdr:from>
    <xdr:to>
      <xdr:col>9</xdr:col>
      <xdr:colOff>66261</xdr:colOff>
      <xdr:row>16</xdr:row>
      <xdr:rowOff>54742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262" y="1548849"/>
          <a:ext cx="960782" cy="717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41414</xdr:colOff>
      <xdr:row>10</xdr:row>
      <xdr:rowOff>0</xdr:rowOff>
    </xdr:from>
    <xdr:to>
      <xdr:col>19</xdr:col>
      <xdr:colOff>16566</xdr:colOff>
      <xdr:row>16</xdr:row>
      <xdr:rowOff>55466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18153" y="1515717"/>
          <a:ext cx="977348" cy="751206"/>
        </a:xfrm>
        <a:prstGeom prst="rect">
          <a:avLst/>
        </a:prstGeom>
      </xdr:spPr>
    </xdr:pic>
    <xdr:clientData/>
  </xdr:twoCellAnchor>
  <xdr:twoCellAnchor editAs="oneCell">
    <xdr:from>
      <xdr:col>21</xdr:col>
      <xdr:colOff>41412</xdr:colOff>
      <xdr:row>10</xdr:row>
      <xdr:rowOff>8283</xdr:rowOff>
    </xdr:from>
    <xdr:to>
      <xdr:col>28</xdr:col>
      <xdr:colOff>155900</xdr:colOff>
      <xdr:row>16</xdr:row>
      <xdr:rowOff>74543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78325" y="1524000"/>
          <a:ext cx="992444" cy="762000"/>
        </a:xfrm>
        <a:prstGeom prst="rect">
          <a:avLst/>
        </a:prstGeom>
      </xdr:spPr>
    </xdr:pic>
    <xdr:clientData/>
  </xdr:twoCellAnchor>
  <xdr:twoCellAnchor editAs="oneCell">
    <xdr:from>
      <xdr:col>31</xdr:col>
      <xdr:colOff>49697</xdr:colOff>
      <xdr:row>10</xdr:row>
      <xdr:rowOff>41414</xdr:rowOff>
    </xdr:from>
    <xdr:to>
      <xdr:col>39</xdr:col>
      <xdr:colOff>77327</xdr:colOff>
      <xdr:row>16</xdr:row>
      <xdr:rowOff>107674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46784" y="1557131"/>
          <a:ext cx="980130" cy="762000"/>
        </a:xfrm>
        <a:prstGeom prst="rect">
          <a:avLst/>
        </a:prstGeom>
      </xdr:spPr>
    </xdr:pic>
    <xdr:clientData/>
  </xdr:twoCellAnchor>
  <xdr:twoCellAnchor editAs="oneCell">
    <xdr:from>
      <xdr:col>41</xdr:col>
      <xdr:colOff>41415</xdr:colOff>
      <xdr:row>10</xdr:row>
      <xdr:rowOff>91109</xdr:rowOff>
    </xdr:from>
    <xdr:to>
      <xdr:col>49</xdr:col>
      <xdr:colOff>58332</xdr:colOff>
      <xdr:row>16</xdr:row>
      <xdr:rowOff>66260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8676" y="1606826"/>
          <a:ext cx="961135" cy="670891"/>
        </a:xfrm>
        <a:prstGeom prst="rect">
          <a:avLst/>
        </a:prstGeom>
      </xdr:spPr>
    </xdr:pic>
    <xdr:clientData/>
  </xdr:twoCellAnchor>
  <xdr:twoCellAnchor editAs="oneCell">
    <xdr:from>
      <xdr:col>51</xdr:col>
      <xdr:colOff>33131</xdr:colOff>
      <xdr:row>10</xdr:row>
      <xdr:rowOff>66262</xdr:rowOff>
    </xdr:from>
    <xdr:to>
      <xdr:col>59</xdr:col>
      <xdr:colOff>16565</xdr:colOff>
      <xdr:row>16</xdr:row>
      <xdr:rowOff>88266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0566" y="1581979"/>
          <a:ext cx="944217" cy="717744"/>
        </a:xfrm>
        <a:prstGeom prst="rect">
          <a:avLst/>
        </a:prstGeom>
      </xdr:spPr>
    </xdr:pic>
    <xdr:clientData/>
  </xdr:twoCellAnchor>
  <xdr:twoCellAnchor editAs="oneCell">
    <xdr:from>
      <xdr:col>61</xdr:col>
      <xdr:colOff>33129</xdr:colOff>
      <xdr:row>10</xdr:row>
      <xdr:rowOff>82827</xdr:rowOff>
    </xdr:from>
    <xdr:to>
      <xdr:col>69</xdr:col>
      <xdr:colOff>43033</xdr:colOff>
      <xdr:row>16</xdr:row>
      <xdr:rowOff>66261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10738" y="1598544"/>
          <a:ext cx="962404" cy="679174"/>
        </a:xfrm>
        <a:prstGeom prst="rect">
          <a:avLst/>
        </a:prstGeom>
      </xdr:spPr>
    </xdr:pic>
    <xdr:clientData/>
  </xdr:twoCellAnchor>
  <xdr:twoCellAnchor editAs="oneCell">
    <xdr:from>
      <xdr:col>1</xdr:col>
      <xdr:colOff>41412</xdr:colOff>
      <xdr:row>26</xdr:row>
      <xdr:rowOff>33129</xdr:rowOff>
    </xdr:from>
    <xdr:to>
      <xdr:col>9</xdr:col>
      <xdr:colOff>74543</xdr:colOff>
      <xdr:row>32</xdr:row>
      <xdr:rowOff>53883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977" y="3313042"/>
          <a:ext cx="977349" cy="741341"/>
        </a:xfrm>
        <a:prstGeom prst="rect">
          <a:avLst/>
        </a:prstGeom>
      </xdr:spPr>
    </xdr:pic>
    <xdr:clientData/>
  </xdr:twoCellAnchor>
  <xdr:twoCellAnchor editAs="oneCell">
    <xdr:from>
      <xdr:col>11</xdr:col>
      <xdr:colOff>24849</xdr:colOff>
      <xdr:row>26</xdr:row>
      <xdr:rowOff>49697</xdr:rowOff>
    </xdr:from>
    <xdr:to>
      <xdr:col>19</xdr:col>
      <xdr:colOff>11751</xdr:colOff>
      <xdr:row>31</xdr:row>
      <xdr:rowOff>91110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1588" y="3329610"/>
          <a:ext cx="989098" cy="646043"/>
        </a:xfrm>
        <a:prstGeom prst="rect">
          <a:avLst/>
        </a:prstGeom>
      </xdr:spPr>
    </xdr:pic>
    <xdr:clientData/>
  </xdr:twoCellAnchor>
  <xdr:twoCellAnchor editAs="oneCell">
    <xdr:from>
      <xdr:col>21</xdr:col>
      <xdr:colOff>49698</xdr:colOff>
      <xdr:row>26</xdr:row>
      <xdr:rowOff>66262</xdr:rowOff>
    </xdr:from>
    <xdr:to>
      <xdr:col>28</xdr:col>
      <xdr:colOff>146828</xdr:colOff>
      <xdr:row>31</xdr:row>
      <xdr:rowOff>99391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86611" y="3346175"/>
          <a:ext cx="975086" cy="637759"/>
        </a:xfrm>
        <a:prstGeom prst="rect">
          <a:avLst/>
        </a:prstGeom>
      </xdr:spPr>
    </xdr:pic>
    <xdr:clientData/>
  </xdr:twoCellAnchor>
  <xdr:twoCellAnchor editAs="oneCell">
    <xdr:from>
      <xdr:col>31</xdr:col>
      <xdr:colOff>49696</xdr:colOff>
      <xdr:row>26</xdr:row>
      <xdr:rowOff>107675</xdr:rowOff>
    </xdr:from>
    <xdr:to>
      <xdr:col>39</xdr:col>
      <xdr:colOff>75439</xdr:colOff>
      <xdr:row>32</xdr:row>
      <xdr:rowOff>16566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46783" y="3387588"/>
          <a:ext cx="978243" cy="629478"/>
        </a:xfrm>
        <a:prstGeom prst="rect">
          <a:avLst/>
        </a:prstGeom>
      </xdr:spPr>
    </xdr:pic>
    <xdr:clientData/>
  </xdr:twoCellAnchor>
  <xdr:twoCellAnchor editAs="oneCell">
    <xdr:from>
      <xdr:col>41</xdr:col>
      <xdr:colOff>33131</xdr:colOff>
      <xdr:row>26</xdr:row>
      <xdr:rowOff>91110</xdr:rowOff>
    </xdr:from>
    <xdr:to>
      <xdr:col>49</xdr:col>
      <xdr:colOff>68922</xdr:colOff>
      <xdr:row>32</xdr:row>
      <xdr:rowOff>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0392" y="3371023"/>
          <a:ext cx="980009" cy="629477"/>
        </a:xfrm>
        <a:prstGeom prst="rect">
          <a:avLst/>
        </a:prstGeom>
      </xdr:spPr>
    </xdr:pic>
    <xdr:clientData/>
  </xdr:twoCellAnchor>
  <xdr:twoCellAnchor editAs="oneCell">
    <xdr:from>
      <xdr:col>50</xdr:col>
      <xdr:colOff>16564</xdr:colOff>
      <xdr:row>26</xdr:row>
      <xdr:rowOff>107674</xdr:rowOff>
    </xdr:from>
    <xdr:to>
      <xdr:col>59</xdr:col>
      <xdr:colOff>74543</xdr:colOff>
      <xdr:row>32</xdr:row>
      <xdr:rowOff>21125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17434" y="3387587"/>
          <a:ext cx="1035327" cy="634038"/>
        </a:xfrm>
        <a:prstGeom prst="rect">
          <a:avLst/>
        </a:prstGeom>
      </xdr:spPr>
    </xdr:pic>
    <xdr:clientData/>
  </xdr:twoCellAnchor>
  <xdr:twoCellAnchor editAs="oneCell">
    <xdr:from>
      <xdr:col>61</xdr:col>
      <xdr:colOff>33131</xdr:colOff>
      <xdr:row>26</xdr:row>
      <xdr:rowOff>49696</xdr:rowOff>
    </xdr:from>
    <xdr:to>
      <xdr:col>69</xdr:col>
      <xdr:colOff>49695</xdr:colOff>
      <xdr:row>32</xdr:row>
      <xdr:rowOff>7454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10740" y="3329609"/>
          <a:ext cx="969064" cy="678345"/>
        </a:xfrm>
        <a:prstGeom prst="rect">
          <a:avLst/>
        </a:prstGeom>
      </xdr:spPr>
    </xdr:pic>
    <xdr:clientData/>
  </xdr:twoCellAnchor>
  <xdr:twoCellAnchor editAs="oneCell">
    <xdr:from>
      <xdr:col>1</xdr:col>
      <xdr:colOff>8284</xdr:colOff>
      <xdr:row>41</xdr:row>
      <xdr:rowOff>2</xdr:rowOff>
    </xdr:from>
    <xdr:to>
      <xdr:col>9</xdr:col>
      <xdr:colOff>76737</xdr:colOff>
      <xdr:row>46</xdr:row>
      <xdr:rowOff>107673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849" y="4944719"/>
          <a:ext cx="1012671" cy="712302"/>
        </a:xfrm>
        <a:prstGeom prst="rect">
          <a:avLst/>
        </a:prstGeom>
      </xdr:spPr>
    </xdr:pic>
    <xdr:clientData/>
  </xdr:twoCellAnchor>
  <xdr:twoCellAnchor editAs="oneCell">
    <xdr:from>
      <xdr:col>11</xdr:col>
      <xdr:colOff>33130</xdr:colOff>
      <xdr:row>40</xdr:row>
      <xdr:rowOff>82825</xdr:rowOff>
    </xdr:from>
    <xdr:to>
      <xdr:col>19</xdr:col>
      <xdr:colOff>19978</xdr:colOff>
      <xdr:row>47</xdr:row>
      <xdr:rowOff>16565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9869" y="4911586"/>
          <a:ext cx="989044" cy="770283"/>
        </a:xfrm>
        <a:prstGeom prst="rect">
          <a:avLst/>
        </a:prstGeom>
      </xdr:spPr>
    </xdr:pic>
    <xdr:clientData/>
  </xdr:twoCellAnchor>
  <xdr:twoCellAnchor editAs="oneCell">
    <xdr:from>
      <xdr:col>21</xdr:col>
      <xdr:colOff>49696</xdr:colOff>
      <xdr:row>40</xdr:row>
      <xdr:rowOff>107675</xdr:rowOff>
    </xdr:from>
    <xdr:to>
      <xdr:col>28</xdr:col>
      <xdr:colOff>131714</xdr:colOff>
      <xdr:row>47</xdr:row>
      <xdr:rowOff>1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86609" y="4936436"/>
          <a:ext cx="959974" cy="728869"/>
        </a:xfrm>
        <a:prstGeom prst="rect">
          <a:avLst/>
        </a:prstGeom>
      </xdr:spPr>
    </xdr:pic>
    <xdr:clientData/>
  </xdr:twoCellAnchor>
  <xdr:twoCellAnchor editAs="oneCell">
    <xdr:from>
      <xdr:col>31</xdr:col>
      <xdr:colOff>57979</xdr:colOff>
      <xdr:row>41</xdr:row>
      <xdr:rowOff>33132</xdr:rowOff>
    </xdr:from>
    <xdr:to>
      <xdr:col>39</xdr:col>
      <xdr:colOff>70159</xdr:colOff>
      <xdr:row>47</xdr:row>
      <xdr:rowOff>57979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55066" y="4977849"/>
          <a:ext cx="964680" cy="745434"/>
        </a:xfrm>
        <a:prstGeom prst="rect">
          <a:avLst/>
        </a:prstGeom>
      </xdr:spPr>
    </xdr:pic>
    <xdr:clientData/>
  </xdr:twoCellAnchor>
  <xdr:twoCellAnchor editAs="oneCell">
    <xdr:from>
      <xdr:col>41</xdr:col>
      <xdr:colOff>41414</xdr:colOff>
      <xdr:row>41</xdr:row>
      <xdr:rowOff>49696</xdr:rowOff>
    </xdr:from>
    <xdr:to>
      <xdr:col>49</xdr:col>
      <xdr:colOff>74544</xdr:colOff>
      <xdr:row>47</xdr:row>
      <xdr:rowOff>75848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8675" y="4994413"/>
          <a:ext cx="977348" cy="746739"/>
        </a:xfrm>
        <a:prstGeom prst="rect">
          <a:avLst/>
        </a:prstGeom>
      </xdr:spPr>
    </xdr:pic>
    <xdr:clientData/>
  </xdr:twoCellAnchor>
  <xdr:twoCellAnchor editAs="oneCell">
    <xdr:from>
      <xdr:col>51</xdr:col>
      <xdr:colOff>33130</xdr:colOff>
      <xdr:row>41</xdr:row>
      <xdr:rowOff>49697</xdr:rowOff>
    </xdr:from>
    <xdr:to>
      <xdr:col>59</xdr:col>
      <xdr:colOff>66468</xdr:colOff>
      <xdr:row>47</xdr:row>
      <xdr:rowOff>33131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0565" y="4994414"/>
          <a:ext cx="994121" cy="704021"/>
        </a:xfrm>
        <a:prstGeom prst="rect">
          <a:avLst/>
        </a:prstGeom>
      </xdr:spPr>
    </xdr:pic>
    <xdr:clientData/>
  </xdr:twoCellAnchor>
  <xdr:twoCellAnchor editAs="oneCell">
    <xdr:from>
      <xdr:col>61</xdr:col>
      <xdr:colOff>24848</xdr:colOff>
      <xdr:row>41</xdr:row>
      <xdr:rowOff>33131</xdr:rowOff>
    </xdr:from>
    <xdr:to>
      <xdr:col>69</xdr:col>
      <xdr:colOff>65087</xdr:colOff>
      <xdr:row>47</xdr:row>
      <xdr:rowOff>24848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02457" y="4977848"/>
          <a:ext cx="992739" cy="71230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55</xdr:row>
      <xdr:rowOff>99391</xdr:rowOff>
    </xdr:from>
    <xdr:to>
      <xdr:col>9</xdr:col>
      <xdr:colOff>99392</xdr:colOff>
      <xdr:row>61</xdr:row>
      <xdr:rowOff>17333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696" y="6592956"/>
          <a:ext cx="1010479" cy="613681"/>
        </a:xfrm>
        <a:prstGeom prst="rect">
          <a:avLst/>
        </a:prstGeom>
      </xdr:spPr>
    </xdr:pic>
    <xdr:clientData/>
  </xdr:twoCellAnchor>
  <xdr:twoCellAnchor editAs="oneCell">
    <xdr:from>
      <xdr:col>33</xdr:col>
      <xdr:colOff>8282</xdr:colOff>
      <xdr:row>55</xdr:row>
      <xdr:rowOff>107675</xdr:rowOff>
    </xdr:from>
    <xdr:to>
      <xdr:col>38</xdr:col>
      <xdr:colOff>66260</xdr:colOff>
      <xdr:row>62</xdr:row>
      <xdr:rowOff>41413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7282" y="6601240"/>
          <a:ext cx="662608" cy="745434"/>
        </a:xfrm>
        <a:prstGeom prst="rect">
          <a:avLst/>
        </a:prstGeom>
      </xdr:spPr>
    </xdr:pic>
    <xdr:clientData/>
  </xdr:twoCellAnchor>
  <xdr:twoCellAnchor editAs="oneCell">
    <xdr:from>
      <xdr:col>42</xdr:col>
      <xdr:colOff>99393</xdr:colOff>
      <xdr:row>56</xdr:row>
      <xdr:rowOff>1</xdr:rowOff>
    </xdr:from>
    <xdr:to>
      <xdr:col>48</xdr:col>
      <xdr:colOff>41414</xdr:colOff>
      <xdr:row>62</xdr:row>
      <xdr:rowOff>24407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72610" y="6609523"/>
          <a:ext cx="654325" cy="720145"/>
        </a:xfrm>
        <a:prstGeom prst="rect">
          <a:avLst/>
        </a:prstGeom>
      </xdr:spPr>
    </xdr:pic>
    <xdr:clientData/>
  </xdr:twoCellAnchor>
  <xdr:twoCellAnchor editAs="oneCell">
    <xdr:from>
      <xdr:col>51</xdr:col>
      <xdr:colOff>107674</xdr:colOff>
      <xdr:row>56</xdr:row>
      <xdr:rowOff>8284</xdr:rowOff>
    </xdr:from>
    <xdr:to>
      <xdr:col>58</xdr:col>
      <xdr:colOff>99390</xdr:colOff>
      <xdr:row>62</xdr:row>
      <xdr:rowOff>76027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25109" y="6617806"/>
          <a:ext cx="836543" cy="763482"/>
        </a:xfrm>
        <a:prstGeom prst="rect">
          <a:avLst/>
        </a:prstGeom>
      </xdr:spPr>
    </xdr:pic>
    <xdr:clientData/>
  </xdr:twoCellAnchor>
  <xdr:twoCellAnchor editAs="oneCell">
    <xdr:from>
      <xdr:col>61</xdr:col>
      <xdr:colOff>99391</xdr:colOff>
      <xdr:row>56</xdr:row>
      <xdr:rowOff>49694</xdr:rowOff>
    </xdr:from>
    <xdr:to>
      <xdr:col>69</xdr:col>
      <xdr:colOff>49695</xdr:colOff>
      <xdr:row>62</xdr:row>
      <xdr:rowOff>83882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77000" y="6659216"/>
          <a:ext cx="902804" cy="729927"/>
        </a:xfrm>
        <a:prstGeom prst="rect">
          <a:avLst/>
        </a:prstGeom>
      </xdr:spPr>
    </xdr:pic>
    <xdr:clientData/>
  </xdr:twoCellAnchor>
  <xdr:twoCellAnchor editAs="oneCell">
    <xdr:from>
      <xdr:col>1</xdr:col>
      <xdr:colOff>66262</xdr:colOff>
      <xdr:row>70</xdr:row>
      <xdr:rowOff>91109</xdr:rowOff>
    </xdr:from>
    <xdr:to>
      <xdr:col>9</xdr:col>
      <xdr:colOff>46292</xdr:colOff>
      <xdr:row>77</xdr:row>
      <xdr:rowOff>57979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827" y="8224631"/>
          <a:ext cx="924248" cy="778565"/>
        </a:xfrm>
        <a:prstGeom prst="rect">
          <a:avLst/>
        </a:prstGeom>
      </xdr:spPr>
    </xdr:pic>
    <xdr:clientData/>
  </xdr:twoCellAnchor>
  <xdr:twoCellAnchor editAs="oneCell">
    <xdr:from>
      <xdr:col>11</xdr:col>
      <xdr:colOff>66262</xdr:colOff>
      <xdr:row>70</xdr:row>
      <xdr:rowOff>82827</xdr:rowOff>
    </xdr:from>
    <xdr:to>
      <xdr:col>19</xdr:col>
      <xdr:colOff>20705</xdr:colOff>
      <xdr:row>77</xdr:row>
      <xdr:rowOff>82826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3001" y="8216349"/>
          <a:ext cx="956639" cy="811694"/>
        </a:xfrm>
        <a:prstGeom prst="rect">
          <a:avLst/>
        </a:prstGeom>
      </xdr:spPr>
    </xdr:pic>
    <xdr:clientData/>
  </xdr:twoCellAnchor>
  <xdr:twoCellAnchor editAs="oneCell">
    <xdr:from>
      <xdr:col>21</xdr:col>
      <xdr:colOff>16564</xdr:colOff>
      <xdr:row>71</xdr:row>
      <xdr:rowOff>24851</xdr:rowOff>
    </xdr:from>
    <xdr:to>
      <xdr:col>28</xdr:col>
      <xdr:colOff>139995</xdr:colOff>
      <xdr:row>77</xdr:row>
      <xdr:rowOff>33132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53477" y="8274329"/>
          <a:ext cx="1001387" cy="704020"/>
        </a:xfrm>
        <a:prstGeom prst="rect">
          <a:avLst/>
        </a:prstGeom>
      </xdr:spPr>
    </xdr:pic>
    <xdr:clientData/>
  </xdr:twoCellAnchor>
  <xdr:twoCellAnchor editAs="oneCell">
    <xdr:from>
      <xdr:col>31</xdr:col>
      <xdr:colOff>41413</xdr:colOff>
      <xdr:row>71</xdr:row>
      <xdr:rowOff>82826</xdr:rowOff>
    </xdr:from>
    <xdr:to>
      <xdr:col>39</xdr:col>
      <xdr:colOff>55264</xdr:colOff>
      <xdr:row>78</xdr:row>
      <xdr:rowOff>8283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38500" y="8332304"/>
          <a:ext cx="966351" cy="737153"/>
        </a:xfrm>
        <a:prstGeom prst="rect">
          <a:avLst/>
        </a:prstGeom>
      </xdr:spPr>
    </xdr:pic>
    <xdr:clientData/>
  </xdr:twoCellAnchor>
  <xdr:twoCellAnchor editAs="oneCell">
    <xdr:from>
      <xdr:col>41</xdr:col>
      <xdr:colOff>33130</xdr:colOff>
      <xdr:row>71</xdr:row>
      <xdr:rowOff>66262</xdr:rowOff>
    </xdr:from>
    <xdr:to>
      <xdr:col>49</xdr:col>
      <xdr:colOff>82825</xdr:colOff>
      <xdr:row>77</xdr:row>
      <xdr:rowOff>75701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0391" y="8315740"/>
          <a:ext cx="993913" cy="705178"/>
        </a:xfrm>
        <a:prstGeom prst="rect">
          <a:avLst/>
        </a:prstGeom>
      </xdr:spPr>
    </xdr:pic>
    <xdr:clientData/>
  </xdr:twoCellAnchor>
  <xdr:twoCellAnchor editAs="oneCell">
    <xdr:from>
      <xdr:col>51</xdr:col>
      <xdr:colOff>66261</xdr:colOff>
      <xdr:row>71</xdr:row>
      <xdr:rowOff>107674</xdr:rowOff>
    </xdr:from>
    <xdr:to>
      <xdr:col>59</xdr:col>
      <xdr:colOff>49696</xdr:colOff>
      <xdr:row>74</xdr:row>
      <xdr:rowOff>89091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83696" y="8357152"/>
          <a:ext cx="944218" cy="329287"/>
        </a:xfrm>
        <a:prstGeom prst="rect">
          <a:avLst/>
        </a:prstGeom>
      </xdr:spPr>
    </xdr:pic>
    <xdr:clientData/>
  </xdr:twoCellAnchor>
  <xdr:twoCellAnchor editAs="oneCell">
    <xdr:from>
      <xdr:col>61</xdr:col>
      <xdr:colOff>91108</xdr:colOff>
      <xdr:row>72</xdr:row>
      <xdr:rowOff>33130</xdr:rowOff>
    </xdr:from>
    <xdr:to>
      <xdr:col>69</xdr:col>
      <xdr:colOff>33130</xdr:colOff>
      <xdr:row>75</xdr:row>
      <xdr:rowOff>48182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68717" y="8398565"/>
          <a:ext cx="894522" cy="362921"/>
        </a:xfrm>
        <a:prstGeom prst="rect">
          <a:avLst/>
        </a:prstGeom>
      </xdr:spPr>
    </xdr:pic>
    <xdr:clientData/>
  </xdr:twoCellAnchor>
  <xdr:twoCellAnchor editAs="oneCell">
    <xdr:from>
      <xdr:col>1</xdr:col>
      <xdr:colOff>57979</xdr:colOff>
      <xdr:row>85</xdr:row>
      <xdr:rowOff>99392</xdr:rowOff>
    </xdr:from>
    <xdr:to>
      <xdr:col>9</xdr:col>
      <xdr:colOff>83206</xdr:colOff>
      <xdr:row>92</xdr:row>
      <xdr:rowOff>41414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544" y="9864588"/>
          <a:ext cx="969445" cy="753717"/>
        </a:xfrm>
        <a:prstGeom prst="rect">
          <a:avLst/>
        </a:prstGeom>
      </xdr:spPr>
    </xdr:pic>
    <xdr:clientData/>
  </xdr:twoCellAnchor>
  <xdr:twoCellAnchor editAs="oneCell">
    <xdr:from>
      <xdr:col>11</xdr:col>
      <xdr:colOff>49697</xdr:colOff>
      <xdr:row>86</xdr:row>
      <xdr:rowOff>8283</xdr:rowOff>
    </xdr:from>
    <xdr:to>
      <xdr:col>19</xdr:col>
      <xdr:colOff>24848</xdr:colOff>
      <xdr:row>90</xdr:row>
      <xdr:rowOff>87112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6436" y="9889435"/>
          <a:ext cx="977347" cy="542655"/>
        </a:xfrm>
        <a:prstGeom prst="rect">
          <a:avLst/>
        </a:prstGeom>
      </xdr:spPr>
    </xdr:pic>
    <xdr:clientData/>
  </xdr:twoCellAnchor>
  <xdr:twoCellAnchor editAs="oneCell">
    <xdr:from>
      <xdr:col>21</xdr:col>
      <xdr:colOff>41414</xdr:colOff>
      <xdr:row>86</xdr:row>
      <xdr:rowOff>49695</xdr:rowOff>
    </xdr:from>
    <xdr:to>
      <xdr:col>28</xdr:col>
      <xdr:colOff>124240</xdr:colOff>
      <xdr:row>91</xdr:row>
      <xdr:rowOff>8887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78327" y="9930847"/>
          <a:ext cx="960782" cy="538975"/>
        </a:xfrm>
        <a:prstGeom prst="rect">
          <a:avLst/>
        </a:prstGeom>
      </xdr:spPr>
    </xdr:pic>
    <xdr:clientData/>
  </xdr:twoCellAnchor>
  <xdr:twoCellAnchor editAs="oneCell">
    <xdr:from>
      <xdr:col>31</xdr:col>
      <xdr:colOff>57978</xdr:colOff>
      <xdr:row>85</xdr:row>
      <xdr:rowOff>57979</xdr:rowOff>
    </xdr:from>
    <xdr:to>
      <xdr:col>39</xdr:col>
      <xdr:colOff>50040</xdr:colOff>
      <xdr:row>92</xdr:row>
      <xdr:rowOff>91109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55065" y="9823175"/>
          <a:ext cx="944562" cy="844825"/>
        </a:xfrm>
        <a:prstGeom prst="rect">
          <a:avLst/>
        </a:prstGeom>
      </xdr:spPr>
    </xdr:pic>
    <xdr:clientData/>
  </xdr:twoCellAnchor>
  <xdr:twoCellAnchor editAs="oneCell">
    <xdr:from>
      <xdr:col>41</xdr:col>
      <xdr:colOff>74543</xdr:colOff>
      <xdr:row>85</xdr:row>
      <xdr:rowOff>24849</xdr:rowOff>
    </xdr:from>
    <xdr:to>
      <xdr:col>49</xdr:col>
      <xdr:colOff>93151</xdr:colOff>
      <xdr:row>91</xdr:row>
      <xdr:rowOff>57978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31804" y="9790045"/>
          <a:ext cx="962826" cy="728868"/>
        </a:xfrm>
        <a:prstGeom prst="rect">
          <a:avLst/>
        </a:prstGeom>
      </xdr:spPr>
    </xdr:pic>
    <xdr:clientData/>
  </xdr:twoCellAnchor>
  <xdr:twoCellAnchor editAs="oneCell">
    <xdr:from>
      <xdr:col>51</xdr:col>
      <xdr:colOff>41413</xdr:colOff>
      <xdr:row>87</xdr:row>
      <xdr:rowOff>8283</xdr:rowOff>
    </xdr:from>
    <xdr:to>
      <xdr:col>59</xdr:col>
      <xdr:colOff>77857</xdr:colOff>
      <xdr:row>90</xdr:row>
      <xdr:rowOff>8284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8848" y="10005392"/>
          <a:ext cx="997227" cy="347870"/>
        </a:xfrm>
        <a:prstGeom prst="rect">
          <a:avLst/>
        </a:prstGeom>
      </xdr:spPr>
    </xdr:pic>
    <xdr:clientData/>
  </xdr:twoCellAnchor>
  <xdr:twoCellAnchor editAs="oneCell">
    <xdr:from>
      <xdr:col>62</xdr:col>
      <xdr:colOff>16566</xdr:colOff>
      <xdr:row>84</xdr:row>
      <xdr:rowOff>57979</xdr:rowOff>
    </xdr:from>
    <xdr:to>
      <xdr:col>69</xdr:col>
      <xdr:colOff>24848</xdr:colOff>
      <xdr:row>87</xdr:row>
      <xdr:rowOff>98477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10131" y="9707218"/>
          <a:ext cx="844826" cy="388368"/>
        </a:xfrm>
        <a:prstGeom prst="rect">
          <a:avLst/>
        </a:prstGeom>
      </xdr:spPr>
    </xdr:pic>
    <xdr:clientData/>
  </xdr:twoCellAnchor>
  <xdr:twoCellAnchor editAs="oneCell">
    <xdr:from>
      <xdr:col>62</xdr:col>
      <xdr:colOff>41413</xdr:colOff>
      <xdr:row>91</xdr:row>
      <xdr:rowOff>0</xdr:rowOff>
    </xdr:from>
    <xdr:to>
      <xdr:col>68</xdr:col>
      <xdr:colOff>33130</xdr:colOff>
      <xdr:row>94</xdr:row>
      <xdr:rowOff>98448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34978" y="10460935"/>
          <a:ext cx="712304" cy="446317"/>
        </a:xfrm>
        <a:prstGeom prst="rect">
          <a:avLst/>
        </a:prstGeom>
      </xdr:spPr>
    </xdr:pic>
    <xdr:clientData/>
  </xdr:twoCellAnchor>
  <xdr:twoCellAnchor editAs="oneCell">
    <xdr:from>
      <xdr:col>11</xdr:col>
      <xdr:colOff>41413</xdr:colOff>
      <xdr:row>55</xdr:row>
      <xdr:rowOff>107674</xdr:rowOff>
    </xdr:from>
    <xdr:to>
      <xdr:col>19</xdr:col>
      <xdr:colOff>74544</xdr:colOff>
      <xdr:row>61</xdr:row>
      <xdr:rowOff>66585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sharpenSoften amount="8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8152" y="6601239"/>
          <a:ext cx="1035327" cy="654650"/>
        </a:xfrm>
        <a:prstGeom prst="rect">
          <a:avLst/>
        </a:prstGeom>
      </xdr:spPr>
    </xdr:pic>
    <xdr:clientData/>
  </xdr:twoCellAnchor>
  <xdr:twoCellAnchor editAs="oneCell">
    <xdr:from>
      <xdr:col>6</xdr:col>
      <xdr:colOff>107675</xdr:colOff>
      <xdr:row>0</xdr:row>
      <xdr:rowOff>66260</xdr:rowOff>
    </xdr:from>
    <xdr:to>
      <xdr:col>15</xdr:col>
      <xdr:colOff>0</xdr:colOff>
      <xdr:row>3</xdr:row>
      <xdr:rowOff>190499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588" y="66260"/>
          <a:ext cx="836542" cy="8696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49697</xdr:colOff>
      <xdr:row>8</xdr:row>
      <xdr:rowOff>16567</xdr:rowOff>
    </xdr:from>
    <xdr:to>
      <xdr:col>9</xdr:col>
      <xdr:colOff>51899</xdr:colOff>
      <xdr:row>16</xdr:row>
      <xdr:rowOff>49696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262" y="1300371"/>
          <a:ext cx="929854" cy="969064"/>
        </a:xfrm>
        <a:prstGeom prst="rect">
          <a:avLst/>
        </a:prstGeom>
      </xdr:spPr>
    </xdr:pic>
    <xdr:clientData/>
  </xdr:twoCellAnchor>
  <xdr:twoCellAnchor editAs="oneCell">
    <xdr:from>
      <xdr:col>11</xdr:col>
      <xdr:colOff>66262</xdr:colOff>
      <xdr:row>8</xdr:row>
      <xdr:rowOff>24847</xdr:rowOff>
    </xdr:from>
    <xdr:to>
      <xdr:col>19</xdr:col>
      <xdr:colOff>83473</xdr:colOff>
      <xdr:row>16</xdr:row>
      <xdr:rowOff>99391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3001" y="1308651"/>
          <a:ext cx="944863" cy="1010479"/>
        </a:xfrm>
        <a:prstGeom prst="rect">
          <a:avLst/>
        </a:prstGeom>
      </xdr:spPr>
    </xdr:pic>
    <xdr:clientData/>
  </xdr:twoCellAnchor>
  <xdr:twoCellAnchor editAs="oneCell">
    <xdr:from>
      <xdr:col>21</xdr:col>
      <xdr:colOff>115956</xdr:colOff>
      <xdr:row>8</xdr:row>
      <xdr:rowOff>8284</xdr:rowOff>
    </xdr:from>
    <xdr:to>
      <xdr:col>29</xdr:col>
      <xdr:colOff>66487</xdr:colOff>
      <xdr:row>17</xdr:row>
      <xdr:rowOff>24848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52869" y="1292088"/>
          <a:ext cx="878183" cy="1068456"/>
        </a:xfrm>
        <a:prstGeom prst="rect">
          <a:avLst/>
        </a:prstGeom>
      </xdr:spPr>
    </xdr:pic>
    <xdr:clientData/>
  </xdr:twoCellAnchor>
  <xdr:twoCellAnchor editAs="oneCell">
    <xdr:from>
      <xdr:col>32</xdr:col>
      <xdr:colOff>1</xdr:colOff>
      <xdr:row>8</xdr:row>
      <xdr:rowOff>33132</xdr:rowOff>
    </xdr:from>
    <xdr:to>
      <xdr:col>39</xdr:col>
      <xdr:colOff>69752</xdr:colOff>
      <xdr:row>17</xdr:row>
      <xdr:rowOff>41413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13044" y="1316936"/>
          <a:ext cx="881447" cy="1060173"/>
        </a:xfrm>
        <a:prstGeom prst="rect">
          <a:avLst/>
        </a:prstGeom>
      </xdr:spPr>
    </xdr:pic>
    <xdr:clientData/>
  </xdr:twoCellAnchor>
  <xdr:twoCellAnchor editAs="oneCell">
    <xdr:from>
      <xdr:col>41</xdr:col>
      <xdr:colOff>57978</xdr:colOff>
      <xdr:row>8</xdr:row>
      <xdr:rowOff>49697</xdr:rowOff>
    </xdr:from>
    <xdr:to>
      <xdr:col>49</xdr:col>
      <xdr:colOff>80679</xdr:colOff>
      <xdr:row>16</xdr:row>
      <xdr:rowOff>107674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5239" y="1333501"/>
          <a:ext cx="950353" cy="993912"/>
        </a:xfrm>
        <a:prstGeom prst="rect">
          <a:avLst/>
        </a:prstGeom>
      </xdr:spPr>
    </xdr:pic>
    <xdr:clientData/>
  </xdr:twoCellAnchor>
  <xdr:twoCellAnchor editAs="oneCell">
    <xdr:from>
      <xdr:col>51</xdr:col>
      <xdr:colOff>49695</xdr:colOff>
      <xdr:row>8</xdr:row>
      <xdr:rowOff>91110</xdr:rowOff>
    </xdr:from>
    <xdr:to>
      <xdr:col>59</xdr:col>
      <xdr:colOff>82826</xdr:colOff>
      <xdr:row>17</xdr:row>
      <xdr:rowOff>44573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67130" y="1374914"/>
          <a:ext cx="960783" cy="1005355"/>
        </a:xfrm>
        <a:prstGeom prst="rect">
          <a:avLst/>
        </a:prstGeom>
      </xdr:spPr>
    </xdr:pic>
    <xdr:clientData/>
  </xdr:twoCellAnchor>
  <xdr:twoCellAnchor editAs="oneCell">
    <xdr:from>
      <xdr:col>61</xdr:col>
      <xdr:colOff>49695</xdr:colOff>
      <xdr:row>8</xdr:row>
      <xdr:rowOff>99392</xdr:rowOff>
    </xdr:from>
    <xdr:to>
      <xdr:col>69</xdr:col>
      <xdr:colOff>76515</xdr:colOff>
      <xdr:row>17</xdr:row>
      <xdr:rowOff>49695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27304" y="1383196"/>
          <a:ext cx="954472" cy="1002195"/>
        </a:xfrm>
        <a:prstGeom prst="rect">
          <a:avLst/>
        </a:prstGeom>
      </xdr:spPr>
    </xdr:pic>
    <xdr:clientData/>
  </xdr:twoCellAnchor>
  <xdr:twoCellAnchor editAs="oneCell">
    <xdr:from>
      <xdr:col>2</xdr:col>
      <xdr:colOff>41414</xdr:colOff>
      <xdr:row>22</xdr:row>
      <xdr:rowOff>8282</xdr:rowOff>
    </xdr:from>
    <xdr:to>
      <xdr:col>9</xdr:col>
      <xdr:colOff>14114</xdr:colOff>
      <xdr:row>30</xdr:row>
      <xdr:rowOff>49695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3936" y="2824369"/>
          <a:ext cx="784395" cy="977348"/>
        </a:xfrm>
        <a:prstGeom prst="rect">
          <a:avLst/>
        </a:prstGeom>
      </xdr:spPr>
    </xdr:pic>
    <xdr:clientData/>
  </xdr:twoCellAnchor>
  <xdr:twoCellAnchor editAs="oneCell">
    <xdr:from>
      <xdr:col>11</xdr:col>
      <xdr:colOff>99393</xdr:colOff>
      <xdr:row>22</xdr:row>
      <xdr:rowOff>8284</xdr:rowOff>
    </xdr:from>
    <xdr:to>
      <xdr:col>18</xdr:col>
      <xdr:colOff>90922</xdr:colOff>
      <xdr:row>30</xdr:row>
      <xdr:rowOff>57979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76132" y="2824371"/>
          <a:ext cx="803225" cy="985630"/>
        </a:xfrm>
        <a:prstGeom prst="rect">
          <a:avLst/>
        </a:prstGeom>
      </xdr:spPr>
    </xdr:pic>
    <xdr:clientData/>
  </xdr:twoCellAnchor>
  <xdr:twoCellAnchor editAs="oneCell">
    <xdr:from>
      <xdr:col>21</xdr:col>
      <xdr:colOff>99391</xdr:colOff>
      <xdr:row>22</xdr:row>
      <xdr:rowOff>16565</xdr:rowOff>
    </xdr:from>
    <xdr:to>
      <xdr:col>29</xdr:col>
      <xdr:colOff>16566</xdr:colOff>
      <xdr:row>30</xdr:row>
      <xdr:rowOff>106192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36304" y="2832652"/>
          <a:ext cx="844827" cy="1025562"/>
        </a:xfrm>
        <a:prstGeom prst="rect">
          <a:avLst/>
        </a:prstGeom>
      </xdr:spPr>
    </xdr:pic>
    <xdr:clientData/>
  </xdr:twoCellAnchor>
  <xdr:twoCellAnchor editAs="oneCell">
    <xdr:from>
      <xdr:col>32</xdr:col>
      <xdr:colOff>57980</xdr:colOff>
      <xdr:row>22</xdr:row>
      <xdr:rowOff>1</xdr:rowOff>
    </xdr:from>
    <xdr:to>
      <xdr:col>38</xdr:col>
      <xdr:colOff>70442</xdr:colOff>
      <xdr:row>30</xdr:row>
      <xdr:rowOff>99391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71023" y="2816088"/>
          <a:ext cx="708202" cy="1035325"/>
        </a:xfrm>
        <a:prstGeom prst="rect">
          <a:avLst/>
        </a:prstGeom>
      </xdr:spPr>
    </xdr:pic>
    <xdr:clientData/>
  </xdr:twoCellAnchor>
  <xdr:twoCellAnchor editAs="oneCell">
    <xdr:from>
      <xdr:col>42</xdr:col>
      <xdr:colOff>49696</xdr:colOff>
      <xdr:row>22</xdr:row>
      <xdr:rowOff>8284</xdr:rowOff>
    </xdr:from>
    <xdr:to>
      <xdr:col>48</xdr:col>
      <xdr:colOff>78765</xdr:colOff>
      <xdr:row>30</xdr:row>
      <xdr:rowOff>91108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22913" y="2824371"/>
          <a:ext cx="724809" cy="1018759"/>
        </a:xfrm>
        <a:prstGeom prst="rect">
          <a:avLst/>
        </a:prstGeom>
      </xdr:spPr>
    </xdr:pic>
    <xdr:clientData/>
  </xdr:twoCellAnchor>
  <xdr:twoCellAnchor editAs="oneCell">
    <xdr:from>
      <xdr:col>52</xdr:col>
      <xdr:colOff>74544</xdr:colOff>
      <xdr:row>21</xdr:row>
      <xdr:rowOff>107677</xdr:rowOff>
    </xdr:from>
    <xdr:to>
      <xdr:col>58</xdr:col>
      <xdr:colOff>80048</xdr:colOff>
      <xdr:row>30</xdr:row>
      <xdr:rowOff>82827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07935" y="2807807"/>
          <a:ext cx="701243" cy="1027042"/>
        </a:xfrm>
        <a:prstGeom prst="rect">
          <a:avLst/>
        </a:prstGeom>
      </xdr:spPr>
    </xdr:pic>
    <xdr:clientData/>
  </xdr:twoCellAnchor>
  <xdr:twoCellAnchor editAs="oneCell">
    <xdr:from>
      <xdr:col>62</xdr:col>
      <xdr:colOff>66262</xdr:colOff>
      <xdr:row>22</xdr:row>
      <xdr:rowOff>1</xdr:rowOff>
    </xdr:from>
    <xdr:to>
      <xdr:col>68</xdr:col>
      <xdr:colOff>65867</xdr:colOff>
      <xdr:row>30</xdr:row>
      <xdr:rowOff>82826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59827" y="2816088"/>
          <a:ext cx="695344" cy="1018760"/>
        </a:xfrm>
        <a:prstGeom prst="rect">
          <a:avLst/>
        </a:prstGeom>
      </xdr:spPr>
    </xdr:pic>
    <xdr:clientData/>
  </xdr:twoCellAnchor>
  <xdr:twoCellAnchor editAs="oneCell">
    <xdr:from>
      <xdr:col>2</xdr:col>
      <xdr:colOff>8283</xdr:colOff>
      <xdr:row>36</xdr:row>
      <xdr:rowOff>2</xdr:rowOff>
    </xdr:from>
    <xdr:to>
      <xdr:col>8</xdr:col>
      <xdr:colOff>16565</xdr:colOff>
      <xdr:row>44</xdr:row>
      <xdr:rowOff>70380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0805" y="4348372"/>
          <a:ext cx="704021" cy="1006312"/>
        </a:xfrm>
        <a:prstGeom prst="rect">
          <a:avLst/>
        </a:prstGeom>
      </xdr:spPr>
    </xdr:pic>
    <xdr:clientData/>
  </xdr:twoCellAnchor>
  <xdr:twoCellAnchor editAs="oneCell">
    <xdr:from>
      <xdr:col>12</xdr:col>
      <xdr:colOff>41411</xdr:colOff>
      <xdr:row>35</xdr:row>
      <xdr:rowOff>107676</xdr:rowOff>
    </xdr:from>
    <xdr:to>
      <xdr:col>18</xdr:col>
      <xdr:colOff>49695</xdr:colOff>
      <xdr:row>44</xdr:row>
      <xdr:rowOff>75041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34107" y="4340089"/>
          <a:ext cx="704023" cy="1019256"/>
        </a:xfrm>
        <a:prstGeom prst="rect">
          <a:avLst/>
        </a:prstGeom>
      </xdr:spPr>
    </xdr:pic>
    <xdr:clientData/>
  </xdr:twoCellAnchor>
  <xdr:twoCellAnchor editAs="oneCell">
    <xdr:from>
      <xdr:col>21</xdr:col>
      <xdr:colOff>82828</xdr:colOff>
      <xdr:row>36</xdr:row>
      <xdr:rowOff>16565</xdr:rowOff>
    </xdr:from>
    <xdr:to>
      <xdr:col>29</xdr:col>
      <xdr:colOff>88484</xdr:colOff>
      <xdr:row>43</xdr:row>
      <xdr:rowOff>107673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19741" y="4364935"/>
          <a:ext cx="933308" cy="911086"/>
        </a:xfrm>
        <a:prstGeom prst="rect">
          <a:avLst/>
        </a:prstGeom>
      </xdr:spPr>
    </xdr:pic>
    <xdr:clientData/>
  </xdr:twoCellAnchor>
  <xdr:twoCellAnchor editAs="oneCell">
    <xdr:from>
      <xdr:col>31</xdr:col>
      <xdr:colOff>57980</xdr:colOff>
      <xdr:row>36</xdr:row>
      <xdr:rowOff>8281</xdr:rowOff>
    </xdr:from>
    <xdr:to>
      <xdr:col>39</xdr:col>
      <xdr:colOff>74544</xdr:colOff>
      <xdr:row>43</xdr:row>
      <xdr:rowOff>107888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55067" y="4356651"/>
          <a:ext cx="944216" cy="919585"/>
        </a:xfrm>
        <a:prstGeom prst="rect">
          <a:avLst/>
        </a:prstGeom>
      </xdr:spPr>
    </xdr:pic>
    <xdr:clientData/>
  </xdr:twoCellAnchor>
  <xdr:twoCellAnchor editAs="oneCell">
    <xdr:from>
      <xdr:col>41</xdr:col>
      <xdr:colOff>33132</xdr:colOff>
      <xdr:row>36</xdr:row>
      <xdr:rowOff>16566</xdr:rowOff>
    </xdr:from>
    <xdr:to>
      <xdr:col>49</xdr:col>
      <xdr:colOff>95186</xdr:colOff>
      <xdr:row>44</xdr:row>
      <xdr:rowOff>33132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90393" y="4364936"/>
          <a:ext cx="989706" cy="952500"/>
        </a:xfrm>
        <a:prstGeom prst="rect">
          <a:avLst/>
        </a:prstGeom>
      </xdr:spPr>
    </xdr:pic>
    <xdr:clientData/>
  </xdr:twoCellAnchor>
  <xdr:twoCellAnchor editAs="oneCell">
    <xdr:from>
      <xdr:col>51</xdr:col>
      <xdr:colOff>41414</xdr:colOff>
      <xdr:row>36</xdr:row>
      <xdr:rowOff>74543</xdr:rowOff>
    </xdr:from>
    <xdr:to>
      <xdr:col>59</xdr:col>
      <xdr:colOff>115956</xdr:colOff>
      <xdr:row>43</xdr:row>
      <xdr:rowOff>88249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8849" y="4422913"/>
          <a:ext cx="1002194" cy="833684"/>
        </a:xfrm>
        <a:prstGeom prst="rect">
          <a:avLst/>
        </a:prstGeom>
      </xdr:spPr>
    </xdr:pic>
    <xdr:clientData/>
  </xdr:twoCellAnchor>
  <xdr:twoCellAnchor editAs="oneCell">
    <xdr:from>
      <xdr:col>61</xdr:col>
      <xdr:colOff>33130</xdr:colOff>
      <xdr:row>36</xdr:row>
      <xdr:rowOff>24847</xdr:rowOff>
    </xdr:from>
    <xdr:to>
      <xdr:col>69</xdr:col>
      <xdr:colOff>92203</xdr:colOff>
      <xdr:row>44</xdr:row>
      <xdr:rowOff>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10739" y="4373217"/>
          <a:ext cx="986725" cy="911088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50</xdr:row>
      <xdr:rowOff>16565</xdr:rowOff>
    </xdr:from>
    <xdr:to>
      <xdr:col>9</xdr:col>
      <xdr:colOff>95251</xdr:colOff>
      <xdr:row>58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696" y="5897217"/>
          <a:ext cx="989772" cy="911087"/>
        </a:xfrm>
        <a:prstGeom prst="rect">
          <a:avLst/>
        </a:prstGeom>
      </xdr:spPr>
    </xdr:pic>
    <xdr:clientData/>
  </xdr:twoCellAnchor>
  <xdr:twoCellAnchor editAs="oneCell">
    <xdr:from>
      <xdr:col>11</xdr:col>
      <xdr:colOff>57979</xdr:colOff>
      <xdr:row>50</xdr:row>
      <xdr:rowOff>49698</xdr:rowOff>
    </xdr:from>
    <xdr:to>
      <xdr:col>19</xdr:col>
      <xdr:colOff>62727</xdr:colOff>
      <xdr:row>57</xdr:row>
      <xdr:rowOff>99391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34718" y="5930350"/>
          <a:ext cx="932400" cy="861389"/>
        </a:xfrm>
        <a:prstGeom prst="rect">
          <a:avLst/>
        </a:prstGeom>
      </xdr:spPr>
    </xdr:pic>
    <xdr:clientData/>
  </xdr:twoCellAnchor>
  <xdr:twoCellAnchor editAs="oneCell">
    <xdr:from>
      <xdr:col>21</xdr:col>
      <xdr:colOff>33130</xdr:colOff>
      <xdr:row>50</xdr:row>
      <xdr:rowOff>33131</xdr:rowOff>
    </xdr:from>
    <xdr:to>
      <xdr:col>29</xdr:col>
      <xdr:colOff>58696</xdr:colOff>
      <xdr:row>58</xdr:row>
      <xdr:rowOff>66262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70043" y="5913783"/>
          <a:ext cx="953218" cy="960783"/>
        </a:xfrm>
        <a:prstGeom prst="rect">
          <a:avLst/>
        </a:prstGeom>
      </xdr:spPr>
    </xdr:pic>
    <xdr:clientData/>
  </xdr:twoCellAnchor>
  <xdr:twoCellAnchor editAs="oneCell">
    <xdr:from>
      <xdr:col>31</xdr:col>
      <xdr:colOff>57978</xdr:colOff>
      <xdr:row>50</xdr:row>
      <xdr:rowOff>49696</xdr:rowOff>
    </xdr:from>
    <xdr:to>
      <xdr:col>39</xdr:col>
      <xdr:colOff>91556</xdr:colOff>
      <xdr:row>58</xdr:row>
      <xdr:rowOff>57978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55065" y="5930348"/>
          <a:ext cx="961230" cy="935934"/>
        </a:xfrm>
        <a:prstGeom prst="rect">
          <a:avLst/>
        </a:prstGeom>
      </xdr:spPr>
    </xdr:pic>
    <xdr:clientData/>
  </xdr:twoCellAnchor>
  <xdr:twoCellAnchor editAs="oneCell">
    <xdr:from>
      <xdr:col>41</xdr:col>
      <xdr:colOff>49696</xdr:colOff>
      <xdr:row>50</xdr:row>
      <xdr:rowOff>16567</xdr:rowOff>
    </xdr:from>
    <xdr:to>
      <xdr:col>49</xdr:col>
      <xdr:colOff>82827</xdr:colOff>
      <xdr:row>58</xdr:row>
      <xdr:rowOff>49697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06957" y="5897219"/>
          <a:ext cx="960783" cy="960782"/>
        </a:xfrm>
        <a:prstGeom prst="rect">
          <a:avLst/>
        </a:prstGeom>
      </xdr:spPr>
    </xdr:pic>
    <xdr:clientData/>
  </xdr:twoCellAnchor>
  <xdr:twoCellAnchor editAs="oneCell">
    <xdr:from>
      <xdr:col>51</xdr:col>
      <xdr:colOff>66262</xdr:colOff>
      <xdr:row>51</xdr:row>
      <xdr:rowOff>74544</xdr:rowOff>
    </xdr:from>
    <xdr:to>
      <xdr:col>59</xdr:col>
      <xdr:colOff>108188</xdr:colOff>
      <xdr:row>56</xdr:row>
      <xdr:rowOff>107674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83697" y="6071153"/>
          <a:ext cx="969578" cy="612912"/>
        </a:xfrm>
        <a:prstGeom prst="rect">
          <a:avLst/>
        </a:prstGeom>
      </xdr:spPr>
    </xdr:pic>
    <xdr:clientData/>
  </xdr:twoCellAnchor>
  <xdr:twoCellAnchor editAs="oneCell">
    <xdr:from>
      <xdr:col>61</xdr:col>
      <xdr:colOff>49696</xdr:colOff>
      <xdr:row>51</xdr:row>
      <xdr:rowOff>57979</xdr:rowOff>
    </xdr:from>
    <xdr:to>
      <xdr:col>69</xdr:col>
      <xdr:colOff>82083</xdr:colOff>
      <xdr:row>57</xdr:row>
      <xdr:rowOff>91108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27305" y="6054588"/>
          <a:ext cx="960039" cy="728868"/>
        </a:xfrm>
        <a:prstGeom prst="rect">
          <a:avLst/>
        </a:prstGeom>
      </xdr:spPr>
    </xdr:pic>
    <xdr:clientData/>
  </xdr:twoCellAnchor>
  <xdr:twoCellAnchor editAs="oneCell">
    <xdr:from>
      <xdr:col>1</xdr:col>
      <xdr:colOff>57978</xdr:colOff>
      <xdr:row>65</xdr:row>
      <xdr:rowOff>16566</xdr:rowOff>
    </xdr:from>
    <xdr:to>
      <xdr:col>9</xdr:col>
      <xdr:colOff>81648</xdr:colOff>
      <xdr:row>72</xdr:row>
      <xdr:rowOff>8284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543" y="7537175"/>
          <a:ext cx="951322" cy="803413"/>
        </a:xfrm>
        <a:prstGeom prst="rect">
          <a:avLst/>
        </a:prstGeom>
      </xdr:spPr>
    </xdr:pic>
    <xdr:clientData/>
  </xdr:twoCellAnchor>
  <xdr:twoCellAnchor editAs="oneCell">
    <xdr:from>
      <xdr:col>11</xdr:col>
      <xdr:colOff>24848</xdr:colOff>
      <xdr:row>65</xdr:row>
      <xdr:rowOff>24849</xdr:rowOff>
    </xdr:from>
    <xdr:to>
      <xdr:col>19</xdr:col>
      <xdr:colOff>88423</xdr:colOff>
      <xdr:row>71</xdr:row>
      <xdr:rowOff>8284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01587" y="7545458"/>
          <a:ext cx="991227" cy="679174"/>
        </a:xfrm>
        <a:prstGeom prst="rect">
          <a:avLst/>
        </a:prstGeom>
      </xdr:spPr>
    </xdr:pic>
    <xdr:clientData/>
  </xdr:twoCellAnchor>
  <xdr:twoCellAnchor editAs="oneCell">
    <xdr:from>
      <xdr:col>21</xdr:col>
      <xdr:colOff>49695</xdr:colOff>
      <xdr:row>65</xdr:row>
      <xdr:rowOff>16565</xdr:rowOff>
    </xdr:from>
    <xdr:to>
      <xdr:col>29</xdr:col>
      <xdr:colOff>78685</xdr:colOff>
      <xdr:row>72</xdr:row>
      <xdr:rowOff>24849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86608" y="7537174"/>
          <a:ext cx="956642" cy="819979"/>
        </a:xfrm>
        <a:prstGeom prst="rect">
          <a:avLst/>
        </a:prstGeom>
      </xdr:spPr>
    </xdr:pic>
    <xdr:clientData/>
  </xdr:twoCellAnchor>
  <xdr:twoCellAnchor editAs="oneCell">
    <xdr:from>
      <xdr:col>35</xdr:col>
      <xdr:colOff>49696</xdr:colOff>
      <xdr:row>68</xdr:row>
      <xdr:rowOff>24849</xdr:rowOff>
    </xdr:from>
    <xdr:to>
      <xdr:col>39</xdr:col>
      <xdr:colOff>27919</xdr:colOff>
      <xdr:row>72</xdr:row>
      <xdr:rowOff>24848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10609" y="7893327"/>
          <a:ext cx="442049" cy="463825"/>
        </a:xfrm>
        <a:prstGeom prst="rect">
          <a:avLst/>
        </a:prstGeom>
      </xdr:spPr>
    </xdr:pic>
    <xdr:clientData/>
  </xdr:twoCellAnchor>
  <xdr:twoCellAnchor editAs="oneCell">
    <xdr:from>
      <xdr:col>31</xdr:col>
      <xdr:colOff>49697</xdr:colOff>
      <xdr:row>64</xdr:row>
      <xdr:rowOff>8283</xdr:rowOff>
    </xdr:from>
    <xdr:to>
      <xdr:col>37</xdr:col>
      <xdr:colOff>33132</xdr:colOff>
      <xdr:row>68</xdr:row>
      <xdr:rowOff>46582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46784" y="7412935"/>
          <a:ext cx="679174" cy="502125"/>
        </a:xfrm>
        <a:prstGeom prst="rect">
          <a:avLst/>
        </a:prstGeom>
      </xdr:spPr>
    </xdr:pic>
    <xdr:clientData/>
  </xdr:twoCellAnchor>
  <xdr:twoCellAnchor editAs="oneCell">
    <xdr:from>
      <xdr:col>41</xdr:col>
      <xdr:colOff>16566</xdr:colOff>
      <xdr:row>68</xdr:row>
      <xdr:rowOff>57978</xdr:rowOff>
    </xdr:from>
    <xdr:to>
      <xdr:col>49</xdr:col>
      <xdr:colOff>91110</xdr:colOff>
      <xdr:row>72</xdr:row>
      <xdr:rowOff>15013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73827" y="7926456"/>
          <a:ext cx="1002196" cy="420861"/>
        </a:xfrm>
        <a:prstGeom prst="rect">
          <a:avLst/>
        </a:prstGeom>
      </xdr:spPr>
    </xdr:pic>
    <xdr:clientData/>
  </xdr:twoCellAnchor>
  <xdr:twoCellAnchor editAs="oneCell">
    <xdr:from>
      <xdr:col>41</xdr:col>
      <xdr:colOff>66262</xdr:colOff>
      <xdr:row>64</xdr:row>
      <xdr:rowOff>24848</xdr:rowOff>
    </xdr:from>
    <xdr:to>
      <xdr:col>48</xdr:col>
      <xdr:colOff>33132</xdr:colOff>
      <xdr:row>67</xdr:row>
      <xdr:rowOff>84917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23523" y="7429500"/>
          <a:ext cx="778566" cy="407939"/>
        </a:xfrm>
        <a:prstGeom prst="rect">
          <a:avLst/>
        </a:prstGeom>
      </xdr:spPr>
    </xdr:pic>
    <xdr:clientData/>
  </xdr:twoCellAnchor>
  <xdr:twoCellAnchor editAs="oneCell">
    <xdr:from>
      <xdr:col>52</xdr:col>
      <xdr:colOff>99392</xdr:colOff>
      <xdr:row>69</xdr:row>
      <xdr:rowOff>1</xdr:rowOff>
    </xdr:from>
    <xdr:to>
      <xdr:col>58</xdr:col>
      <xdr:colOff>41413</xdr:colOff>
      <xdr:row>71</xdr:row>
      <xdr:rowOff>101954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32783" y="7984436"/>
          <a:ext cx="637760" cy="333866"/>
        </a:xfrm>
        <a:prstGeom prst="rect">
          <a:avLst/>
        </a:prstGeom>
      </xdr:spPr>
    </xdr:pic>
    <xdr:clientData/>
  </xdr:twoCellAnchor>
  <xdr:twoCellAnchor editAs="oneCell">
    <xdr:from>
      <xdr:col>51</xdr:col>
      <xdr:colOff>66261</xdr:colOff>
      <xdr:row>64</xdr:row>
      <xdr:rowOff>57978</xdr:rowOff>
    </xdr:from>
    <xdr:to>
      <xdr:col>59</xdr:col>
      <xdr:colOff>57979</xdr:colOff>
      <xdr:row>67</xdr:row>
      <xdr:rowOff>107513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83696" y="7462630"/>
          <a:ext cx="919370" cy="397405"/>
        </a:xfrm>
        <a:prstGeom prst="rect">
          <a:avLst/>
        </a:prstGeom>
      </xdr:spPr>
    </xdr:pic>
    <xdr:clientData/>
  </xdr:twoCellAnchor>
  <xdr:twoCellAnchor editAs="oneCell">
    <xdr:from>
      <xdr:col>62</xdr:col>
      <xdr:colOff>24848</xdr:colOff>
      <xdr:row>63</xdr:row>
      <xdr:rowOff>49695</xdr:rowOff>
    </xdr:from>
    <xdr:to>
      <xdr:col>68</xdr:col>
      <xdr:colOff>8283</xdr:colOff>
      <xdr:row>67</xdr:row>
      <xdr:rowOff>74600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18413" y="7338391"/>
          <a:ext cx="679174" cy="488731"/>
        </a:xfrm>
        <a:prstGeom prst="rect">
          <a:avLst/>
        </a:prstGeom>
      </xdr:spPr>
    </xdr:pic>
    <xdr:clientData/>
  </xdr:twoCellAnchor>
  <xdr:twoCellAnchor editAs="oneCell">
    <xdr:from>
      <xdr:col>63</xdr:col>
      <xdr:colOff>66261</xdr:colOff>
      <xdr:row>67</xdr:row>
      <xdr:rowOff>66261</xdr:rowOff>
    </xdr:from>
    <xdr:to>
      <xdr:col>68</xdr:col>
      <xdr:colOff>33131</xdr:colOff>
      <xdr:row>71</xdr:row>
      <xdr:rowOff>71913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75783" y="7818783"/>
          <a:ext cx="546652" cy="469478"/>
        </a:xfrm>
        <a:prstGeom prst="rect">
          <a:avLst/>
        </a:prstGeom>
      </xdr:spPr>
    </xdr:pic>
    <xdr:clientData/>
  </xdr:twoCellAnchor>
  <xdr:twoCellAnchor editAs="oneCell">
    <xdr:from>
      <xdr:col>2</xdr:col>
      <xdr:colOff>82826</xdr:colOff>
      <xdr:row>77</xdr:row>
      <xdr:rowOff>107674</xdr:rowOff>
    </xdr:from>
    <xdr:to>
      <xdr:col>8</xdr:col>
      <xdr:colOff>33705</xdr:colOff>
      <xdr:row>89</xdr:row>
      <xdr:rowOff>91108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215348" y="8912087"/>
          <a:ext cx="646618" cy="1374912"/>
        </a:xfrm>
        <a:prstGeom prst="rect">
          <a:avLst/>
        </a:prstGeom>
      </xdr:spPr>
    </xdr:pic>
    <xdr:clientData/>
  </xdr:twoCellAnchor>
  <xdr:twoCellAnchor editAs="oneCell">
    <xdr:from>
      <xdr:col>13</xdr:col>
      <xdr:colOff>57978</xdr:colOff>
      <xdr:row>77</xdr:row>
      <xdr:rowOff>91110</xdr:rowOff>
    </xdr:from>
    <xdr:to>
      <xdr:col>17</xdr:col>
      <xdr:colOff>82826</xdr:colOff>
      <xdr:row>90</xdr:row>
      <xdr:rowOff>54181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flipH="1">
          <a:off x="1366630" y="8895523"/>
          <a:ext cx="488674" cy="1470506"/>
        </a:xfrm>
        <a:prstGeom prst="rect">
          <a:avLst/>
        </a:prstGeom>
      </xdr:spPr>
    </xdr:pic>
    <xdr:clientData/>
  </xdr:twoCellAnchor>
  <xdr:twoCellAnchor editAs="oneCell">
    <xdr:from>
      <xdr:col>22</xdr:col>
      <xdr:colOff>107674</xdr:colOff>
      <xdr:row>78</xdr:row>
      <xdr:rowOff>16566</xdr:rowOff>
    </xdr:from>
    <xdr:to>
      <xdr:col>28</xdr:col>
      <xdr:colOff>66261</xdr:colOff>
      <xdr:row>90</xdr:row>
      <xdr:rowOff>38815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60544" y="8936936"/>
          <a:ext cx="654326" cy="1413727"/>
        </a:xfrm>
        <a:prstGeom prst="rect">
          <a:avLst/>
        </a:prstGeom>
      </xdr:spPr>
    </xdr:pic>
    <xdr:clientData/>
  </xdr:twoCellAnchor>
  <xdr:twoCellAnchor editAs="oneCell">
    <xdr:from>
      <xdr:col>32</xdr:col>
      <xdr:colOff>99392</xdr:colOff>
      <xdr:row>78</xdr:row>
      <xdr:rowOff>24848</xdr:rowOff>
    </xdr:from>
    <xdr:to>
      <xdr:col>39</xdr:col>
      <xdr:colOff>33239</xdr:colOff>
      <xdr:row>90</xdr:row>
      <xdr:rowOff>82826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12435" y="8945218"/>
          <a:ext cx="745543" cy="1449456"/>
        </a:xfrm>
        <a:prstGeom prst="rect">
          <a:avLst/>
        </a:prstGeom>
      </xdr:spPr>
    </xdr:pic>
    <xdr:clientData/>
  </xdr:twoCellAnchor>
  <xdr:twoCellAnchor editAs="oneCell">
    <xdr:from>
      <xdr:col>42</xdr:col>
      <xdr:colOff>99392</xdr:colOff>
      <xdr:row>77</xdr:row>
      <xdr:rowOff>107673</xdr:rowOff>
    </xdr:from>
    <xdr:to>
      <xdr:col>48</xdr:col>
      <xdr:colOff>99391</xdr:colOff>
      <xdr:row>90</xdr:row>
      <xdr:rowOff>75205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72609" y="8912086"/>
          <a:ext cx="695739" cy="1474967"/>
        </a:xfrm>
        <a:prstGeom prst="rect">
          <a:avLst/>
        </a:prstGeom>
      </xdr:spPr>
    </xdr:pic>
    <xdr:clientData/>
  </xdr:twoCellAnchor>
  <xdr:twoCellAnchor editAs="oneCell">
    <xdr:from>
      <xdr:col>52</xdr:col>
      <xdr:colOff>33131</xdr:colOff>
      <xdr:row>78</xdr:row>
      <xdr:rowOff>82826</xdr:rowOff>
    </xdr:from>
    <xdr:to>
      <xdr:col>58</xdr:col>
      <xdr:colOff>109606</xdr:colOff>
      <xdr:row>90</xdr:row>
      <xdr:rowOff>16566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66522" y="9003196"/>
          <a:ext cx="772214" cy="1325218"/>
        </a:xfrm>
        <a:prstGeom prst="rect">
          <a:avLst/>
        </a:prstGeom>
      </xdr:spPr>
    </xdr:pic>
    <xdr:clientData/>
  </xdr:twoCellAnchor>
  <xdr:twoCellAnchor editAs="oneCell">
    <xdr:from>
      <xdr:col>62</xdr:col>
      <xdr:colOff>57980</xdr:colOff>
      <xdr:row>79</xdr:row>
      <xdr:rowOff>8284</xdr:rowOff>
    </xdr:from>
    <xdr:to>
      <xdr:col>68</xdr:col>
      <xdr:colOff>57979</xdr:colOff>
      <xdr:row>90</xdr:row>
      <xdr:rowOff>76105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51545" y="9044610"/>
          <a:ext cx="695738" cy="1343343"/>
        </a:xfrm>
        <a:prstGeom prst="rect">
          <a:avLst/>
        </a:prstGeom>
      </xdr:spPr>
    </xdr:pic>
    <xdr:clientData/>
  </xdr:twoCellAnchor>
  <xdr:twoCellAnchor editAs="oneCell">
    <xdr:from>
      <xdr:col>6</xdr:col>
      <xdr:colOff>49696</xdr:colOff>
      <xdr:row>0</xdr:row>
      <xdr:rowOff>82829</xdr:rowOff>
    </xdr:from>
    <xdr:to>
      <xdr:col>14</xdr:col>
      <xdr:colOff>57977</xdr:colOff>
      <xdr:row>3</xdr:row>
      <xdr:rowOff>190503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044" y="82829"/>
          <a:ext cx="836542" cy="8531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42</xdr:col>
      <xdr:colOff>99391</xdr:colOff>
      <xdr:row>82</xdr:row>
      <xdr:rowOff>16564</xdr:rowOff>
    </xdr:from>
    <xdr:to>
      <xdr:col>48</xdr:col>
      <xdr:colOff>66261</xdr:colOff>
      <xdr:row>92</xdr:row>
      <xdr:rowOff>87558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89174" y="9417325"/>
          <a:ext cx="662609" cy="1230559"/>
        </a:xfrm>
        <a:prstGeom prst="rect">
          <a:avLst/>
        </a:prstGeom>
      </xdr:spPr>
    </xdr:pic>
    <xdr:clientData/>
  </xdr:twoCellAnchor>
  <xdr:twoCellAnchor editAs="oneCell">
    <xdr:from>
      <xdr:col>52</xdr:col>
      <xdr:colOff>82825</xdr:colOff>
      <xdr:row>82</xdr:row>
      <xdr:rowOff>2</xdr:rowOff>
    </xdr:from>
    <xdr:to>
      <xdr:col>58</xdr:col>
      <xdr:colOff>107672</xdr:colOff>
      <xdr:row>92</xdr:row>
      <xdr:rowOff>98541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49347" y="9400763"/>
          <a:ext cx="720587" cy="1258104"/>
        </a:xfrm>
        <a:prstGeom prst="rect">
          <a:avLst/>
        </a:prstGeom>
      </xdr:spPr>
    </xdr:pic>
    <xdr:clientData/>
  </xdr:twoCellAnchor>
  <xdr:twoCellAnchor editAs="oneCell">
    <xdr:from>
      <xdr:col>62</xdr:col>
      <xdr:colOff>99392</xdr:colOff>
      <xdr:row>81</xdr:row>
      <xdr:rowOff>107675</xdr:rowOff>
    </xdr:from>
    <xdr:to>
      <xdr:col>68</xdr:col>
      <xdr:colOff>57980</xdr:colOff>
      <xdr:row>92</xdr:row>
      <xdr:rowOff>80637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42653" y="9392479"/>
          <a:ext cx="654326" cy="1248484"/>
        </a:xfrm>
        <a:prstGeom prst="rect">
          <a:avLst/>
        </a:prstGeom>
      </xdr:spPr>
    </xdr:pic>
    <xdr:clientData/>
  </xdr:twoCellAnchor>
  <xdr:twoCellAnchor editAs="oneCell">
    <xdr:from>
      <xdr:col>3</xdr:col>
      <xdr:colOff>33131</xdr:colOff>
      <xdr:row>7</xdr:row>
      <xdr:rowOff>82826</xdr:rowOff>
    </xdr:from>
    <xdr:to>
      <xdr:col>7</xdr:col>
      <xdr:colOff>5228</xdr:colOff>
      <xdr:row>16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1609" y="1250674"/>
          <a:ext cx="435923" cy="969065"/>
        </a:xfrm>
        <a:prstGeom prst="rect">
          <a:avLst/>
        </a:prstGeom>
      </xdr:spPr>
    </xdr:pic>
    <xdr:clientData/>
  </xdr:twoCellAnchor>
  <xdr:twoCellAnchor editAs="oneCell">
    <xdr:from>
      <xdr:col>13</xdr:col>
      <xdr:colOff>74543</xdr:colOff>
      <xdr:row>7</xdr:row>
      <xdr:rowOff>82827</xdr:rowOff>
    </xdr:from>
    <xdr:to>
      <xdr:col>17</xdr:col>
      <xdr:colOff>91109</xdr:colOff>
      <xdr:row>16</xdr:row>
      <xdr:rowOff>61251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3195" y="1250675"/>
          <a:ext cx="480392" cy="1030315"/>
        </a:xfrm>
        <a:prstGeom prst="rect">
          <a:avLst/>
        </a:prstGeom>
      </xdr:spPr>
    </xdr:pic>
    <xdr:clientData/>
  </xdr:twoCellAnchor>
  <xdr:twoCellAnchor editAs="oneCell">
    <xdr:from>
      <xdr:col>23</xdr:col>
      <xdr:colOff>57979</xdr:colOff>
      <xdr:row>7</xdr:row>
      <xdr:rowOff>74542</xdr:rowOff>
    </xdr:from>
    <xdr:to>
      <xdr:col>27</xdr:col>
      <xdr:colOff>72243</xdr:colOff>
      <xdr:row>16</xdr:row>
      <xdr:rowOff>91109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26805" y="1242390"/>
          <a:ext cx="478090" cy="1068458"/>
        </a:xfrm>
        <a:prstGeom prst="rect">
          <a:avLst/>
        </a:prstGeom>
      </xdr:spPr>
    </xdr:pic>
    <xdr:clientData/>
  </xdr:twoCellAnchor>
  <xdr:twoCellAnchor editAs="oneCell">
    <xdr:from>
      <xdr:col>34</xdr:col>
      <xdr:colOff>49695</xdr:colOff>
      <xdr:row>7</xdr:row>
      <xdr:rowOff>74542</xdr:rowOff>
    </xdr:from>
    <xdr:to>
      <xdr:col>37</xdr:col>
      <xdr:colOff>107674</xdr:colOff>
      <xdr:row>16</xdr:row>
      <xdr:rowOff>50224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4652" y="1242390"/>
          <a:ext cx="405848" cy="1027573"/>
        </a:xfrm>
        <a:prstGeom prst="rect">
          <a:avLst/>
        </a:prstGeom>
      </xdr:spPr>
    </xdr:pic>
    <xdr:clientData/>
  </xdr:twoCellAnchor>
  <xdr:twoCellAnchor editAs="oneCell">
    <xdr:from>
      <xdr:col>44</xdr:col>
      <xdr:colOff>33130</xdr:colOff>
      <xdr:row>7</xdr:row>
      <xdr:rowOff>57979</xdr:rowOff>
    </xdr:from>
    <xdr:to>
      <xdr:col>48</xdr:col>
      <xdr:colOff>54537</xdr:colOff>
      <xdr:row>16</xdr:row>
      <xdr:rowOff>66261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54826" y="1225827"/>
          <a:ext cx="485233" cy="1060173"/>
        </a:xfrm>
        <a:prstGeom prst="rect">
          <a:avLst/>
        </a:prstGeom>
      </xdr:spPr>
    </xdr:pic>
    <xdr:clientData/>
  </xdr:twoCellAnchor>
  <xdr:twoCellAnchor editAs="oneCell">
    <xdr:from>
      <xdr:col>53</xdr:col>
      <xdr:colOff>49696</xdr:colOff>
      <xdr:row>7</xdr:row>
      <xdr:rowOff>41413</xdr:rowOff>
    </xdr:from>
    <xdr:to>
      <xdr:col>57</xdr:col>
      <xdr:colOff>101803</xdr:colOff>
      <xdr:row>16</xdr:row>
      <xdr:rowOff>91109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32174" y="1209261"/>
          <a:ext cx="515933" cy="1101587"/>
        </a:xfrm>
        <a:prstGeom prst="rect">
          <a:avLst/>
        </a:prstGeom>
      </xdr:spPr>
    </xdr:pic>
    <xdr:clientData/>
  </xdr:twoCellAnchor>
  <xdr:twoCellAnchor editAs="oneCell">
    <xdr:from>
      <xdr:col>63</xdr:col>
      <xdr:colOff>74544</xdr:colOff>
      <xdr:row>7</xdr:row>
      <xdr:rowOff>33132</xdr:rowOff>
    </xdr:from>
    <xdr:to>
      <xdr:col>67</xdr:col>
      <xdr:colOff>91109</xdr:colOff>
      <xdr:row>16</xdr:row>
      <xdr:rowOff>55801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33761" y="1200980"/>
          <a:ext cx="480391" cy="107456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107674</xdr:colOff>
      <xdr:row>21</xdr:row>
      <xdr:rowOff>41413</xdr:rowOff>
    </xdr:from>
    <xdr:to>
      <xdr:col>8</xdr:col>
      <xdr:colOff>82826</xdr:colOff>
      <xdr:row>29</xdr:row>
      <xdr:rowOff>49582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0196" y="2741543"/>
          <a:ext cx="670891" cy="944104"/>
        </a:xfrm>
        <a:prstGeom prst="rect">
          <a:avLst/>
        </a:prstGeom>
      </xdr:spPr>
    </xdr:pic>
    <xdr:clientData/>
  </xdr:twoCellAnchor>
  <xdr:twoCellAnchor editAs="oneCell">
    <xdr:from>
      <xdr:col>12</xdr:col>
      <xdr:colOff>91109</xdr:colOff>
      <xdr:row>21</xdr:row>
      <xdr:rowOff>33131</xdr:rowOff>
    </xdr:from>
    <xdr:to>
      <xdr:col>18</xdr:col>
      <xdr:colOff>74543</xdr:colOff>
      <xdr:row>29</xdr:row>
      <xdr:rowOff>80477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83805" y="2733261"/>
          <a:ext cx="679173" cy="983281"/>
        </a:xfrm>
        <a:prstGeom prst="rect">
          <a:avLst/>
        </a:prstGeom>
      </xdr:spPr>
    </xdr:pic>
    <xdr:clientData/>
  </xdr:twoCellAnchor>
  <xdr:twoCellAnchor editAs="oneCell">
    <xdr:from>
      <xdr:col>23</xdr:col>
      <xdr:colOff>8283</xdr:colOff>
      <xdr:row>21</xdr:row>
      <xdr:rowOff>49697</xdr:rowOff>
    </xdr:from>
    <xdr:to>
      <xdr:col>28</xdr:col>
      <xdr:colOff>91213</xdr:colOff>
      <xdr:row>29</xdr:row>
      <xdr:rowOff>49696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77109" y="2749827"/>
          <a:ext cx="672238" cy="935934"/>
        </a:xfrm>
        <a:prstGeom prst="rect">
          <a:avLst/>
        </a:prstGeom>
      </xdr:spPr>
    </xdr:pic>
    <xdr:clientData/>
  </xdr:twoCellAnchor>
  <xdr:twoCellAnchor editAs="oneCell">
    <xdr:from>
      <xdr:col>32</xdr:col>
      <xdr:colOff>99392</xdr:colOff>
      <xdr:row>21</xdr:row>
      <xdr:rowOff>33132</xdr:rowOff>
    </xdr:from>
    <xdr:to>
      <xdr:col>38</xdr:col>
      <xdr:colOff>115134</xdr:colOff>
      <xdr:row>29</xdr:row>
      <xdr:rowOff>99393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12435" y="2733262"/>
          <a:ext cx="711482" cy="1002196"/>
        </a:xfrm>
        <a:prstGeom prst="rect">
          <a:avLst/>
        </a:prstGeom>
      </xdr:spPr>
    </xdr:pic>
    <xdr:clientData/>
  </xdr:twoCellAnchor>
  <xdr:twoCellAnchor editAs="oneCell">
    <xdr:from>
      <xdr:col>42</xdr:col>
      <xdr:colOff>99392</xdr:colOff>
      <xdr:row>21</xdr:row>
      <xdr:rowOff>8284</xdr:rowOff>
    </xdr:from>
    <xdr:to>
      <xdr:col>48</xdr:col>
      <xdr:colOff>99391</xdr:colOff>
      <xdr:row>29</xdr:row>
      <xdr:rowOff>62711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89175" y="2708414"/>
          <a:ext cx="695738" cy="990362"/>
        </a:xfrm>
        <a:prstGeom prst="rect">
          <a:avLst/>
        </a:prstGeom>
      </xdr:spPr>
    </xdr:pic>
    <xdr:clientData/>
  </xdr:twoCellAnchor>
  <xdr:twoCellAnchor editAs="oneCell">
    <xdr:from>
      <xdr:col>52</xdr:col>
      <xdr:colOff>74542</xdr:colOff>
      <xdr:row>21</xdr:row>
      <xdr:rowOff>8282</xdr:rowOff>
    </xdr:from>
    <xdr:to>
      <xdr:col>58</xdr:col>
      <xdr:colOff>91108</xdr:colOff>
      <xdr:row>29</xdr:row>
      <xdr:rowOff>78238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41064" y="2708412"/>
          <a:ext cx="712306" cy="1005891"/>
        </a:xfrm>
        <a:prstGeom prst="rect">
          <a:avLst/>
        </a:prstGeom>
      </xdr:spPr>
    </xdr:pic>
    <xdr:clientData/>
  </xdr:twoCellAnchor>
  <xdr:twoCellAnchor editAs="oneCell">
    <xdr:from>
      <xdr:col>62</xdr:col>
      <xdr:colOff>66259</xdr:colOff>
      <xdr:row>21</xdr:row>
      <xdr:rowOff>8283</xdr:rowOff>
    </xdr:from>
    <xdr:to>
      <xdr:col>68</xdr:col>
      <xdr:colOff>74544</xdr:colOff>
      <xdr:row>29</xdr:row>
      <xdr:rowOff>68607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09520" y="2708413"/>
          <a:ext cx="704023" cy="996259"/>
        </a:xfrm>
        <a:prstGeom prst="rect">
          <a:avLst/>
        </a:prstGeom>
      </xdr:spPr>
    </xdr:pic>
    <xdr:clientData/>
  </xdr:twoCellAnchor>
  <xdr:twoCellAnchor editAs="oneCell">
    <xdr:from>
      <xdr:col>3</xdr:col>
      <xdr:colOff>99392</xdr:colOff>
      <xdr:row>33</xdr:row>
      <xdr:rowOff>99390</xdr:rowOff>
    </xdr:from>
    <xdr:to>
      <xdr:col>7</xdr:col>
      <xdr:colOff>73118</xdr:colOff>
      <xdr:row>44</xdr:row>
      <xdr:rowOff>82825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7870" y="4099890"/>
          <a:ext cx="437552" cy="1283805"/>
        </a:xfrm>
        <a:prstGeom prst="rect">
          <a:avLst/>
        </a:prstGeom>
      </xdr:spPr>
    </xdr:pic>
    <xdr:clientData/>
  </xdr:twoCellAnchor>
  <xdr:twoCellAnchor editAs="oneCell">
    <xdr:from>
      <xdr:col>14</xdr:col>
      <xdr:colOff>8282</xdr:colOff>
      <xdr:row>33</xdr:row>
      <xdr:rowOff>57979</xdr:rowOff>
    </xdr:from>
    <xdr:to>
      <xdr:col>18</xdr:col>
      <xdr:colOff>653</xdr:colOff>
      <xdr:row>44</xdr:row>
      <xdr:rowOff>91109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32891" y="4058479"/>
          <a:ext cx="456197" cy="1333500"/>
        </a:xfrm>
        <a:prstGeom prst="rect">
          <a:avLst/>
        </a:prstGeom>
      </xdr:spPr>
    </xdr:pic>
    <xdr:clientData/>
  </xdr:twoCellAnchor>
  <xdr:twoCellAnchor editAs="oneCell">
    <xdr:from>
      <xdr:col>23</xdr:col>
      <xdr:colOff>99392</xdr:colOff>
      <xdr:row>33</xdr:row>
      <xdr:rowOff>66261</xdr:rowOff>
    </xdr:from>
    <xdr:to>
      <xdr:col>27</xdr:col>
      <xdr:colOff>78806</xdr:colOff>
      <xdr:row>44</xdr:row>
      <xdr:rowOff>82826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68218" y="4066761"/>
          <a:ext cx="443240" cy="1316935"/>
        </a:xfrm>
        <a:prstGeom prst="rect">
          <a:avLst/>
        </a:prstGeom>
      </xdr:spPr>
    </xdr:pic>
    <xdr:clientData/>
  </xdr:twoCellAnchor>
  <xdr:twoCellAnchor editAs="oneCell">
    <xdr:from>
      <xdr:col>34</xdr:col>
      <xdr:colOff>33129</xdr:colOff>
      <xdr:row>33</xdr:row>
      <xdr:rowOff>41414</xdr:rowOff>
    </xdr:from>
    <xdr:to>
      <xdr:col>38</xdr:col>
      <xdr:colOff>760</xdr:colOff>
      <xdr:row>44</xdr:row>
      <xdr:rowOff>82826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78086" y="4041914"/>
          <a:ext cx="431457" cy="1341782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33</xdr:row>
      <xdr:rowOff>33130</xdr:rowOff>
    </xdr:from>
    <xdr:to>
      <xdr:col>47</xdr:col>
      <xdr:colOff>103832</xdr:colOff>
      <xdr:row>44</xdr:row>
      <xdr:rowOff>107673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21696" y="4033630"/>
          <a:ext cx="451700" cy="1374913"/>
        </a:xfrm>
        <a:prstGeom prst="rect">
          <a:avLst/>
        </a:prstGeom>
      </xdr:spPr>
    </xdr:pic>
    <xdr:clientData/>
  </xdr:twoCellAnchor>
  <xdr:twoCellAnchor editAs="oneCell">
    <xdr:from>
      <xdr:col>54</xdr:col>
      <xdr:colOff>16563</xdr:colOff>
      <xdr:row>33</xdr:row>
      <xdr:rowOff>24849</xdr:rowOff>
    </xdr:from>
    <xdr:to>
      <xdr:col>58</xdr:col>
      <xdr:colOff>8282</xdr:colOff>
      <xdr:row>44</xdr:row>
      <xdr:rowOff>108977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14998" y="4025349"/>
          <a:ext cx="455545" cy="1384498"/>
        </a:xfrm>
        <a:prstGeom prst="rect">
          <a:avLst/>
        </a:prstGeom>
      </xdr:spPr>
    </xdr:pic>
    <xdr:clientData/>
  </xdr:twoCellAnchor>
  <xdr:twoCellAnchor editAs="oneCell">
    <xdr:from>
      <xdr:col>64</xdr:col>
      <xdr:colOff>24848</xdr:colOff>
      <xdr:row>33</xdr:row>
      <xdr:rowOff>8282</xdr:rowOff>
    </xdr:from>
    <xdr:to>
      <xdr:col>68</xdr:col>
      <xdr:colOff>6122</xdr:colOff>
      <xdr:row>44</xdr:row>
      <xdr:rowOff>99390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00022" y="4008782"/>
          <a:ext cx="445100" cy="1391478"/>
        </a:xfrm>
        <a:prstGeom prst="rect">
          <a:avLst/>
        </a:prstGeom>
      </xdr:spPr>
    </xdr:pic>
    <xdr:clientData/>
  </xdr:twoCellAnchor>
  <xdr:twoCellAnchor editAs="oneCell">
    <xdr:from>
      <xdr:col>2</xdr:col>
      <xdr:colOff>91109</xdr:colOff>
      <xdr:row>50</xdr:row>
      <xdr:rowOff>8285</xdr:rowOff>
    </xdr:from>
    <xdr:to>
      <xdr:col>8</xdr:col>
      <xdr:colOff>33131</xdr:colOff>
      <xdr:row>60</xdr:row>
      <xdr:rowOff>60464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3631" y="5905502"/>
          <a:ext cx="637761" cy="1211745"/>
        </a:xfrm>
        <a:prstGeom prst="rect">
          <a:avLst/>
        </a:prstGeom>
      </xdr:spPr>
    </xdr:pic>
    <xdr:clientData/>
  </xdr:twoCellAnchor>
  <xdr:twoCellAnchor editAs="oneCell">
    <xdr:from>
      <xdr:col>13</xdr:col>
      <xdr:colOff>8283</xdr:colOff>
      <xdr:row>50</xdr:row>
      <xdr:rowOff>2</xdr:rowOff>
    </xdr:from>
    <xdr:to>
      <xdr:col>18</xdr:col>
      <xdr:colOff>81602</xdr:colOff>
      <xdr:row>60</xdr:row>
      <xdr:rowOff>74544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16935" y="5897219"/>
          <a:ext cx="653102" cy="1234108"/>
        </a:xfrm>
        <a:prstGeom prst="rect">
          <a:avLst/>
        </a:prstGeom>
      </xdr:spPr>
    </xdr:pic>
    <xdr:clientData/>
  </xdr:twoCellAnchor>
  <xdr:twoCellAnchor editAs="oneCell">
    <xdr:from>
      <xdr:col>22</xdr:col>
      <xdr:colOff>82825</xdr:colOff>
      <xdr:row>50</xdr:row>
      <xdr:rowOff>0</xdr:rowOff>
    </xdr:from>
    <xdr:to>
      <xdr:col>28</xdr:col>
      <xdr:colOff>49695</xdr:colOff>
      <xdr:row>60</xdr:row>
      <xdr:rowOff>82247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35695" y="5897217"/>
          <a:ext cx="662609" cy="1241813"/>
        </a:xfrm>
        <a:prstGeom prst="rect">
          <a:avLst/>
        </a:prstGeom>
      </xdr:spPr>
    </xdr:pic>
    <xdr:clientData/>
  </xdr:twoCellAnchor>
  <xdr:twoCellAnchor editAs="oneCell">
    <xdr:from>
      <xdr:col>33</xdr:col>
      <xdr:colOff>24848</xdr:colOff>
      <xdr:row>49</xdr:row>
      <xdr:rowOff>107674</xdr:rowOff>
    </xdr:from>
    <xdr:to>
      <xdr:col>38</xdr:col>
      <xdr:colOff>98322</xdr:colOff>
      <xdr:row>60</xdr:row>
      <xdr:rowOff>74543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53848" y="5888935"/>
          <a:ext cx="653257" cy="1242391"/>
        </a:xfrm>
        <a:prstGeom prst="rect">
          <a:avLst/>
        </a:prstGeom>
      </xdr:spPr>
    </xdr:pic>
    <xdr:clientData/>
  </xdr:twoCellAnchor>
  <xdr:twoCellAnchor editAs="oneCell">
    <xdr:from>
      <xdr:col>42</xdr:col>
      <xdr:colOff>74543</xdr:colOff>
      <xdr:row>49</xdr:row>
      <xdr:rowOff>99392</xdr:rowOff>
    </xdr:from>
    <xdr:to>
      <xdr:col>48</xdr:col>
      <xdr:colOff>44104</xdr:colOff>
      <xdr:row>60</xdr:row>
      <xdr:rowOff>91108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64326" y="5880653"/>
          <a:ext cx="665300" cy="1267238"/>
        </a:xfrm>
        <a:prstGeom prst="rect">
          <a:avLst/>
        </a:prstGeom>
      </xdr:spPr>
    </xdr:pic>
    <xdr:clientData/>
  </xdr:twoCellAnchor>
  <xdr:twoCellAnchor editAs="oneCell">
    <xdr:from>
      <xdr:col>53</xdr:col>
      <xdr:colOff>24848</xdr:colOff>
      <xdr:row>50</xdr:row>
      <xdr:rowOff>16566</xdr:rowOff>
    </xdr:from>
    <xdr:to>
      <xdr:col>58</xdr:col>
      <xdr:colOff>85730</xdr:colOff>
      <xdr:row>60</xdr:row>
      <xdr:rowOff>66260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07326" y="5913783"/>
          <a:ext cx="640667" cy="1209260"/>
        </a:xfrm>
        <a:prstGeom prst="rect">
          <a:avLst/>
        </a:prstGeom>
      </xdr:spPr>
    </xdr:pic>
    <xdr:clientData/>
  </xdr:twoCellAnchor>
  <xdr:twoCellAnchor editAs="oneCell">
    <xdr:from>
      <xdr:col>63</xdr:col>
      <xdr:colOff>8283</xdr:colOff>
      <xdr:row>49</xdr:row>
      <xdr:rowOff>107674</xdr:rowOff>
    </xdr:from>
    <xdr:to>
      <xdr:col>68</xdr:col>
      <xdr:colOff>33131</xdr:colOff>
      <xdr:row>60</xdr:row>
      <xdr:rowOff>114805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00" y="5888935"/>
          <a:ext cx="604630" cy="1282653"/>
        </a:xfrm>
        <a:prstGeom prst="rect">
          <a:avLst/>
        </a:prstGeom>
      </xdr:spPr>
    </xdr:pic>
    <xdr:clientData/>
  </xdr:twoCellAnchor>
  <xdr:twoCellAnchor editAs="oneCell">
    <xdr:from>
      <xdr:col>3</xdr:col>
      <xdr:colOff>8284</xdr:colOff>
      <xdr:row>65</xdr:row>
      <xdr:rowOff>99391</xdr:rowOff>
    </xdr:from>
    <xdr:to>
      <xdr:col>8</xdr:col>
      <xdr:colOff>23723</xdr:colOff>
      <xdr:row>76</xdr:row>
      <xdr:rowOff>82826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6762" y="7636565"/>
          <a:ext cx="595222" cy="1258957"/>
        </a:xfrm>
        <a:prstGeom prst="rect">
          <a:avLst/>
        </a:prstGeom>
      </xdr:spPr>
    </xdr:pic>
    <xdr:clientData/>
  </xdr:twoCellAnchor>
  <xdr:twoCellAnchor editAs="oneCell">
    <xdr:from>
      <xdr:col>12</xdr:col>
      <xdr:colOff>57977</xdr:colOff>
      <xdr:row>66</xdr:row>
      <xdr:rowOff>8282</xdr:rowOff>
    </xdr:from>
    <xdr:to>
      <xdr:col>18</xdr:col>
      <xdr:colOff>66260</xdr:colOff>
      <xdr:row>76</xdr:row>
      <xdr:rowOff>90595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0673" y="7661412"/>
          <a:ext cx="704022" cy="1241879"/>
        </a:xfrm>
        <a:prstGeom prst="rect">
          <a:avLst/>
        </a:prstGeom>
      </xdr:spPr>
    </xdr:pic>
    <xdr:clientData/>
  </xdr:twoCellAnchor>
  <xdr:twoCellAnchor editAs="oneCell">
    <xdr:from>
      <xdr:col>23</xdr:col>
      <xdr:colOff>57980</xdr:colOff>
      <xdr:row>66</xdr:row>
      <xdr:rowOff>8284</xdr:rowOff>
    </xdr:from>
    <xdr:to>
      <xdr:col>28</xdr:col>
      <xdr:colOff>8647</xdr:colOff>
      <xdr:row>76</xdr:row>
      <xdr:rowOff>66260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26806" y="7661414"/>
          <a:ext cx="530450" cy="1217542"/>
        </a:xfrm>
        <a:prstGeom prst="rect">
          <a:avLst/>
        </a:prstGeom>
      </xdr:spPr>
    </xdr:pic>
    <xdr:clientData/>
  </xdr:twoCellAnchor>
  <xdr:twoCellAnchor editAs="oneCell">
    <xdr:from>
      <xdr:col>32</xdr:col>
      <xdr:colOff>74546</xdr:colOff>
      <xdr:row>66</xdr:row>
      <xdr:rowOff>8284</xdr:rowOff>
    </xdr:from>
    <xdr:to>
      <xdr:col>38</xdr:col>
      <xdr:colOff>115959</xdr:colOff>
      <xdr:row>76</xdr:row>
      <xdr:rowOff>92662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87589" y="7661414"/>
          <a:ext cx="737152" cy="1243944"/>
        </a:xfrm>
        <a:prstGeom prst="rect">
          <a:avLst/>
        </a:prstGeom>
      </xdr:spPr>
    </xdr:pic>
    <xdr:clientData/>
  </xdr:twoCellAnchor>
  <xdr:twoCellAnchor editAs="oneCell">
    <xdr:from>
      <xdr:col>42</xdr:col>
      <xdr:colOff>74543</xdr:colOff>
      <xdr:row>66</xdr:row>
      <xdr:rowOff>8284</xdr:rowOff>
    </xdr:from>
    <xdr:to>
      <xdr:col>48</xdr:col>
      <xdr:colOff>150621</xdr:colOff>
      <xdr:row>76</xdr:row>
      <xdr:rowOff>74543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64326" y="7661414"/>
          <a:ext cx="771816" cy="1225825"/>
        </a:xfrm>
        <a:prstGeom prst="rect">
          <a:avLst/>
        </a:prstGeom>
      </xdr:spPr>
    </xdr:pic>
    <xdr:clientData/>
  </xdr:twoCellAnchor>
  <xdr:twoCellAnchor editAs="oneCell">
    <xdr:from>
      <xdr:col>52</xdr:col>
      <xdr:colOff>74543</xdr:colOff>
      <xdr:row>66</xdr:row>
      <xdr:rowOff>8284</xdr:rowOff>
    </xdr:from>
    <xdr:to>
      <xdr:col>58</xdr:col>
      <xdr:colOff>107865</xdr:colOff>
      <xdr:row>76</xdr:row>
      <xdr:rowOff>74543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41065" y="7661414"/>
          <a:ext cx="729062" cy="1225825"/>
        </a:xfrm>
        <a:prstGeom prst="rect">
          <a:avLst/>
        </a:prstGeom>
      </xdr:spPr>
    </xdr:pic>
    <xdr:clientData/>
  </xdr:twoCellAnchor>
  <xdr:twoCellAnchor editAs="oneCell">
    <xdr:from>
      <xdr:col>63</xdr:col>
      <xdr:colOff>91109</xdr:colOff>
      <xdr:row>65</xdr:row>
      <xdr:rowOff>107673</xdr:rowOff>
    </xdr:from>
    <xdr:to>
      <xdr:col>68</xdr:col>
      <xdr:colOff>16566</xdr:colOff>
      <xdr:row>76</xdr:row>
      <xdr:rowOff>80871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50326" y="7644847"/>
          <a:ext cx="505239" cy="1248720"/>
        </a:xfrm>
        <a:prstGeom prst="rect">
          <a:avLst/>
        </a:prstGeom>
      </xdr:spPr>
    </xdr:pic>
    <xdr:clientData/>
  </xdr:twoCellAnchor>
  <xdr:twoCellAnchor editAs="oneCell">
    <xdr:from>
      <xdr:col>3</xdr:col>
      <xdr:colOff>33131</xdr:colOff>
      <xdr:row>81</xdr:row>
      <xdr:rowOff>99391</xdr:rowOff>
    </xdr:from>
    <xdr:to>
      <xdr:col>8</xdr:col>
      <xdr:colOff>3482</xdr:colOff>
      <xdr:row>93</xdr:row>
      <xdr:rowOff>91108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1609" y="9384195"/>
          <a:ext cx="550134" cy="1383196"/>
        </a:xfrm>
        <a:prstGeom prst="rect">
          <a:avLst/>
        </a:prstGeom>
      </xdr:spPr>
    </xdr:pic>
    <xdr:clientData/>
  </xdr:twoCellAnchor>
  <xdr:twoCellAnchor editAs="oneCell">
    <xdr:from>
      <xdr:col>13</xdr:col>
      <xdr:colOff>41414</xdr:colOff>
      <xdr:row>81</xdr:row>
      <xdr:rowOff>107675</xdr:rowOff>
    </xdr:from>
    <xdr:to>
      <xdr:col>17</xdr:col>
      <xdr:colOff>92536</xdr:colOff>
      <xdr:row>93</xdr:row>
      <xdr:rowOff>91108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A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50066" y="9392479"/>
          <a:ext cx="514948" cy="1374912"/>
        </a:xfrm>
        <a:prstGeom prst="rect">
          <a:avLst/>
        </a:prstGeom>
      </xdr:spPr>
    </xdr:pic>
    <xdr:clientData/>
  </xdr:twoCellAnchor>
  <xdr:twoCellAnchor editAs="oneCell">
    <xdr:from>
      <xdr:col>23</xdr:col>
      <xdr:colOff>82825</xdr:colOff>
      <xdr:row>81</xdr:row>
      <xdr:rowOff>99393</xdr:rowOff>
    </xdr:from>
    <xdr:to>
      <xdr:col>27</xdr:col>
      <xdr:colOff>74948</xdr:colOff>
      <xdr:row>93</xdr:row>
      <xdr:rowOff>66260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51651" y="9384197"/>
          <a:ext cx="455949" cy="1358346"/>
        </a:xfrm>
        <a:prstGeom prst="rect">
          <a:avLst/>
        </a:prstGeom>
      </xdr:spPr>
    </xdr:pic>
    <xdr:clientData/>
  </xdr:twoCellAnchor>
  <xdr:twoCellAnchor editAs="oneCell">
    <xdr:from>
      <xdr:col>32</xdr:col>
      <xdr:colOff>57978</xdr:colOff>
      <xdr:row>82</xdr:row>
      <xdr:rowOff>8284</xdr:rowOff>
    </xdr:from>
    <xdr:to>
      <xdr:col>38</xdr:col>
      <xdr:colOff>49696</xdr:colOff>
      <xdr:row>92</xdr:row>
      <xdr:rowOff>99396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71021" y="9409045"/>
          <a:ext cx="687458" cy="1250677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0</xdr:row>
      <xdr:rowOff>66264</xdr:rowOff>
    </xdr:from>
    <xdr:to>
      <xdr:col>15</xdr:col>
      <xdr:colOff>8282</xdr:colOff>
      <xdr:row>3</xdr:row>
      <xdr:rowOff>190503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305" y="66264"/>
          <a:ext cx="836542" cy="8696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82827</xdr:colOff>
      <xdr:row>9</xdr:row>
      <xdr:rowOff>8284</xdr:rowOff>
    </xdr:from>
    <xdr:to>
      <xdr:col>8</xdr:col>
      <xdr:colOff>12694</xdr:colOff>
      <xdr:row>17</xdr:row>
      <xdr:rowOff>82827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1305" y="1408045"/>
          <a:ext cx="509650" cy="1035325"/>
        </a:xfrm>
        <a:prstGeom prst="rect">
          <a:avLst/>
        </a:prstGeom>
      </xdr:spPr>
    </xdr:pic>
    <xdr:clientData/>
  </xdr:twoCellAnchor>
  <xdr:twoCellAnchor editAs="oneCell">
    <xdr:from>
      <xdr:col>13</xdr:col>
      <xdr:colOff>16567</xdr:colOff>
      <xdr:row>9</xdr:row>
      <xdr:rowOff>0</xdr:rowOff>
    </xdr:from>
    <xdr:to>
      <xdr:col>17</xdr:col>
      <xdr:colOff>73249</xdr:colOff>
      <xdr:row>17</xdr:row>
      <xdr:rowOff>74545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25219" y="1399761"/>
          <a:ext cx="520508" cy="1035327"/>
        </a:xfrm>
        <a:prstGeom prst="rect">
          <a:avLst/>
        </a:prstGeom>
      </xdr:spPr>
    </xdr:pic>
    <xdr:clientData/>
  </xdr:twoCellAnchor>
  <xdr:twoCellAnchor editAs="oneCell">
    <xdr:from>
      <xdr:col>23</xdr:col>
      <xdr:colOff>24848</xdr:colOff>
      <xdr:row>8</xdr:row>
      <xdr:rowOff>99392</xdr:rowOff>
    </xdr:from>
    <xdr:to>
      <xdr:col>27</xdr:col>
      <xdr:colOff>101561</xdr:colOff>
      <xdr:row>17</xdr:row>
      <xdr:rowOff>82827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93674" y="1383196"/>
          <a:ext cx="540539" cy="1060174"/>
        </a:xfrm>
        <a:prstGeom prst="rect">
          <a:avLst/>
        </a:prstGeom>
      </xdr:spPr>
    </xdr:pic>
    <xdr:clientData/>
  </xdr:twoCellAnchor>
  <xdr:twoCellAnchor editAs="oneCell">
    <xdr:from>
      <xdr:col>33</xdr:col>
      <xdr:colOff>1</xdr:colOff>
      <xdr:row>8</xdr:row>
      <xdr:rowOff>99392</xdr:rowOff>
    </xdr:from>
    <xdr:to>
      <xdr:col>37</xdr:col>
      <xdr:colOff>82826</xdr:colOff>
      <xdr:row>17</xdr:row>
      <xdr:rowOff>112641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9001" y="1383196"/>
          <a:ext cx="546651" cy="1089988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8</xdr:row>
      <xdr:rowOff>107674</xdr:rowOff>
    </xdr:from>
    <xdr:to>
      <xdr:col>47</xdr:col>
      <xdr:colOff>57978</xdr:colOff>
      <xdr:row>17</xdr:row>
      <xdr:rowOff>85644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89174" y="1391478"/>
          <a:ext cx="521804" cy="1054709"/>
        </a:xfrm>
        <a:prstGeom prst="rect">
          <a:avLst/>
        </a:prstGeom>
      </xdr:spPr>
    </xdr:pic>
    <xdr:clientData/>
  </xdr:twoCellAnchor>
  <xdr:twoCellAnchor editAs="oneCell">
    <xdr:from>
      <xdr:col>53</xdr:col>
      <xdr:colOff>107672</xdr:colOff>
      <xdr:row>8</xdr:row>
      <xdr:rowOff>107675</xdr:rowOff>
    </xdr:from>
    <xdr:to>
      <xdr:col>56</xdr:col>
      <xdr:colOff>107674</xdr:colOff>
      <xdr:row>17</xdr:row>
      <xdr:rowOff>60635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57020" y="1391479"/>
          <a:ext cx="347871" cy="1029699"/>
        </a:xfrm>
        <a:prstGeom prst="rect">
          <a:avLst/>
        </a:prstGeom>
      </xdr:spPr>
    </xdr:pic>
    <xdr:clientData/>
  </xdr:twoCellAnchor>
  <xdr:twoCellAnchor editAs="oneCell">
    <xdr:from>
      <xdr:col>63</xdr:col>
      <xdr:colOff>66261</xdr:colOff>
      <xdr:row>8</xdr:row>
      <xdr:rowOff>99392</xdr:rowOff>
    </xdr:from>
    <xdr:to>
      <xdr:col>68</xdr:col>
      <xdr:colOff>22706</xdr:colOff>
      <xdr:row>17</xdr:row>
      <xdr:rowOff>82827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75783" y="1383196"/>
          <a:ext cx="536227" cy="1060174"/>
        </a:xfrm>
        <a:prstGeom prst="rect">
          <a:avLst/>
        </a:prstGeom>
      </xdr:spPr>
    </xdr:pic>
    <xdr:clientData/>
  </xdr:twoCellAnchor>
  <xdr:twoCellAnchor editAs="oneCell">
    <xdr:from>
      <xdr:col>3</xdr:col>
      <xdr:colOff>82826</xdr:colOff>
      <xdr:row>23</xdr:row>
      <xdr:rowOff>1</xdr:rowOff>
    </xdr:from>
    <xdr:to>
      <xdr:col>8</xdr:col>
      <xdr:colOff>1950</xdr:colOff>
      <xdr:row>31</xdr:row>
      <xdr:rowOff>99391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1304" y="2956892"/>
          <a:ext cx="498907" cy="1035325"/>
        </a:xfrm>
        <a:prstGeom prst="rect">
          <a:avLst/>
        </a:prstGeom>
      </xdr:spPr>
    </xdr:pic>
    <xdr:clientData/>
  </xdr:twoCellAnchor>
  <xdr:twoCellAnchor editAs="oneCell">
    <xdr:from>
      <xdr:col>11</xdr:col>
      <xdr:colOff>16565</xdr:colOff>
      <xdr:row>23</xdr:row>
      <xdr:rowOff>8285</xdr:rowOff>
    </xdr:from>
    <xdr:to>
      <xdr:col>19</xdr:col>
      <xdr:colOff>70592</xdr:colOff>
      <xdr:row>30</xdr:row>
      <xdr:rowOff>74544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93304" y="2965176"/>
          <a:ext cx="981679" cy="886238"/>
        </a:xfrm>
        <a:prstGeom prst="rect">
          <a:avLst/>
        </a:prstGeom>
      </xdr:spPr>
    </xdr:pic>
    <xdr:clientData/>
  </xdr:twoCellAnchor>
  <xdr:twoCellAnchor editAs="oneCell">
    <xdr:from>
      <xdr:col>23</xdr:col>
      <xdr:colOff>49696</xdr:colOff>
      <xdr:row>22</xdr:row>
      <xdr:rowOff>49697</xdr:rowOff>
    </xdr:from>
    <xdr:to>
      <xdr:col>28</xdr:col>
      <xdr:colOff>8682</xdr:colOff>
      <xdr:row>31</xdr:row>
      <xdr:rowOff>82827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18522" y="2890632"/>
          <a:ext cx="538769" cy="1085021"/>
        </a:xfrm>
        <a:prstGeom prst="rect">
          <a:avLst/>
        </a:prstGeom>
      </xdr:spPr>
    </xdr:pic>
    <xdr:clientData/>
  </xdr:twoCellAnchor>
  <xdr:twoCellAnchor editAs="oneCell">
    <xdr:from>
      <xdr:col>33</xdr:col>
      <xdr:colOff>41413</xdr:colOff>
      <xdr:row>21</xdr:row>
      <xdr:rowOff>107674</xdr:rowOff>
    </xdr:from>
    <xdr:to>
      <xdr:col>38</xdr:col>
      <xdr:colOff>79198</xdr:colOff>
      <xdr:row>32</xdr:row>
      <xdr:rowOff>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70413" y="2832652"/>
          <a:ext cx="617568" cy="1176132"/>
        </a:xfrm>
        <a:prstGeom prst="rect">
          <a:avLst/>
        </a:prstGeom>
      </xdr:spPr>
    </xdr:pic>
    <xdr:clientData/>
  </xdr:twoCellAnchor>
  <xdr:twoCellAnchor editAs="oneCell">
    <xdr:from>
      <xdr:col>43</xdr:col>
      <xdr:colOff>25249</xdr:colOff>
      <xdr:row>21</xdr:row>
      <xdr:rowOff>91110</xdr:rowOff>
    </xdr:from>
    <xdr:to>
      <xdr:col>48</xdr:col>
      <xdr:colOff>33130</xdr:colOff>
      <xdr:row>31</xdr:row>
      <xdr:rowOff>76202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423" y="2816088"/>
          <a:ext cx="587664" cy="1152940"/>
        </a:xfrm>
        <a:prstGeom prst="rect">
          <a:avLst/>
        </a:prstGeom>
      </xdr:spPr>
    </xdr:pic>
    <xdr:clientData/>
  </xdr:twoCellAnchor>
  <xdr:twoCellAnchor editAs="oneCell">
    <xdr:from>
      <xdr:col>53</xdr:col>
      <xdr:colOff>51114</xdr:colOff>
      <xdr:row>22</xdr:row>
      <xdr:rowOff>16565</xdr:rowOff>
    </xdr:from>
    <xdr:to>
      <xdr:col>57</xdr:col>
      <xdr:colOff>82826</xdr:colOff>
      <xdr:row>31</xdr:row>
      <xdr:rowOff>54325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462" y="2857500"/>
          <a:ext cx="495538" cy="1089651"/>
        </a:xfrm>
        <a:prstGeom prst="rect">
          <a:avLst/>
        </a:prstGeom>
      </xdr:spPr>
    </xdr:pic>
    <xdr:clientData/>
  </xdr:twoCellAnchor>
  <xdr:twoCellAnchor editAs="oneCell">
    <xdr:from>
      <xdr:col>62</xdr:col>
      <xdr:colOff>106707</xdr:colOff>
      <xdr:row>21</xdr:row>
      <xdr:rowOff>107674</xdr:rowOff>
    </xdr:from>
    <xdr:to>
      <xdr:col>67</xdr:col>
      <xdr:colOff>82826</xdr:colOff>
      <xdr:row>31</xdr:row>
      <xdr:rowOff>72808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272" y="2832652"/>
          <a:ext cx="555902" cy="1132982"/>
        </a:xfrm>
        <a:prstGeom prst="rect">
          <a:avLst/>
        </a:prstGeom>
      </xdr:spPr>
    </xdr:pic>
    <xdr:clientData/>
  </xdr:twoCellAnchor>
  <xdr:twoCellAnchor editAs="oneCell">
    <xdr:from>
      <xdr:col>1</xdr:col>
      <xdr:colOff>99392</xdr:colOff>
      <xdr:row>36</xdr:row>
      <xdr:rowOff>16566</xdr:rowOff>
    </xdr:from>
    <xdr:to>
      <xdr:col>9</xdr:col>
      <xdr:colOff>24849</xdr:colOff>
      <xdr:row>45</xdr:row>
      <xdr:rowOff>34675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5957" y="4389783"/>
          <a:ext cx="853109" cy="1070001"/>
        </a:xfrm>
        <a:prstGeom prst="rect">
          <a:avLst/>
        </a:prstGeom>
      </xdr:spPr>
    </xdr:pic>
    <xdr:clientData/>
  </xdr:twoCellAnchor>
  <xdr:twoCellAnchor editAs="oneCell">
    <xdr:from>
      <xdr:col>12</xdr:col>
      <xdr:colOff>8282</xdr:colOff>
      <xdr:row>35</xdr:row>
      <xdr:rowOff>91109</xdr:rowOff>
    </xdr:from>
    <xdr:to>
      <xdr:col>19</xdr:col>
      <xdr:colOff>66262</xdr:colOff>
      <xdr:row>44</xdr:row>
      <xdr:rowOff>104876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00978" y="4348370"/>
          <a:ext cx="869675" cy="1065658"/>
        </a:xfrm>
        <a:prstGeom prst="rect">
          <a:avLst/>
        </a:prstGeom>
      </xdr:spPr>
    </xdr:pic>
    <xdr:clientData/>
  </xdr:twoCellAnchor>
  <xdr:twoCellAnchor editAs="oneCell">
    <xdr:from>
      <xdr:col>23</xdr:col>
      <xdr:colOff>24847</xdr:colOff>
      <xdr:row>35</xdr:row>
      <xdr:rowOff>99392</xdr:rowOff>
    </xdr:from>
    <xdr:to>
      <xdr:col>28</xdr:col>
      <xdr:colOff>6467</xdr:colOff>
      <xdr:row>45</xdr:row>
      <xdr:rowOff>82826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93673" y="4356653"/>
          <a:ext cx="561403" cy="1151282"/>
        </a:xfrm>
        <a:prstGeom prst="rect">
          <a:avLst/>
        </a:prstGeom>
      </xdr:spPr>
    </xdr:pic>
    <xdr:clientData/>
  </xdr:twoCellAnchor>
  <xdr:twoCellAnchor editAs="oneCell">
    <xdr:from>
      <xdr:col>32</xdr:col>
      <xdr:colOff>24847</xdr:colOff>
      <xdr:row>37</xdr:row>
      <xdr:rowOff>74543</xdr:rowOff>
    </xdr:from>
    <xdr:to>
      <xdr:col>39</xdr:col>
      <xdr:colOff>18028</xdr:colOff>
      <xdr:row>44</xdr:row>
      <xdr:rowOff>107674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7890" y="4563717"/>
          <a:ext cx="804877" cy="853109"/>
        </a:xfrm>
        <a:prstGeom prst="rect">
          <a:avLst/>
        </a:prstGeom>
      </xdr:spPr>
    </xdr:pic>
    <xdr:clientData/>
  </xdr:twoCellAnchor>
  <xdr:twoCellAnchor editAs="oneCell">
    <xdr:from>
      <xdr:col>42</xdr:col>
      <xdr:colOff>1</xdr:colOff>
      <xdr:row>37</xdr:row>
      <xdr:rowOff>6333</xdr:rowOff>
    </xdr:from>
    <xdr:to>
      <xdr:col>48</xdr:col>
      <xdr:colOff>111439</xdr:colOff>
      <xdr:row>45</xdr:row>
      <xdr:rowOff>49695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3218" y="4495507"/>
          <a:ext cx="807178" cy="979297"/>
        </a:xfrm>
        <a:prstGeom prst="rect">
          <a:avLst/>
        </a:prstGeom>
      </xdr:spPr>
    </xdr:pic>
    <xdr:clientData/>
  </xdr:twoCellAnchor>
  <xdr:twoCellAnchor editAs="oneCell">
    <xdr:from>
      <xdr:col>52</xdr:col>
      <xdr:colOff>46509</xdr:colOff>
      <xdr:row>37</xdr:row>
      <xdr:rowOff>0</xdr:rowOff>
    </xdr:from>
    <xdr:to>
      <xdr:col>58</xdr:col>
      <xdr:colOff>66261</xdr:colOff>
      <xdr:row>45</xdr:row>
      <xdr:rowOff>75085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9900" y="4489174"/>
          <a:ext cx="715491" cy="1011020"/>
        </a:xfrm>
        <a:prstGeom prst="rect">
          <a:avLst/>
        </a:prstGeom>
      </xdr:spPr>
    </xdr:pic>
    <xdr:clientData/>
  </xdr:twoCellAnchor>
  <xdr:twoCellAnchor editAs="oneCell">
    <xdr:from>
      <xdr:col>62</xdr:col>
      <xdr:colOff>16565</xdr:colOff>
      <xdr:row>37</xdr:row>
      <xdr:rowOff>42586</xdr:rowOff>
    </xdr:from>
    <xdr:to>
      <xdr:col>69</xdr:col>
      <xdr:colOff>15873</xdr:colOff>
      <xdr:row>44</xdr:row>
      <xdr:rowOff>91109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0130" y="4531760"/>
          <a:ext cx="811004" cy="868501"/>
        </a:xfrm>
        <a:prstGeom prst="rect">
          <a:avLst/>
        </a:prstGeom>
      </xdr:spPr>
    </xdr:pic>
    <xdr:clientData/>
  </xdr:twoCellAnchor>
  <xdr:twoCellAnchor editAs="oneCell">
    <xdr:from>
      <xdr:col>2</xdr:col>
      <xdr:colOff>80284</xdr:colOff>
      <xdr:row>49</xdr:row>
      <xdr:rowOff>41413</xdr:rowOff>
    </xdr:from>
    <xdr:to>
      <xdr:col>8</xdr:col>
      <xdr:colOff>60181</xdr:colOff>
      <xdr:row>60</xdr:row>
      <xdr:rowOff>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06" y="5830956"/>
          <a:ext cx="675636" cy="1234110"/>
        </a:xfrm>
        <a:prstGeom prst="rect">
          <a:avLst/>
        </a:prstGeom>
      </xdr:spPr>
    </xdr:pic>
    <xdr:clientData/>
  </xdr:twoCellAnchor>
  <xdr:twoCellAnchor editAs="oneCell">
    <xdr:from>
      <xdr:col>13</xdr:col>
      <xdr:colOff>7615</xdr:colOff>
      <xdr:row>49</xdr:row>
      <xdr:rowOff>16567</xdr:rowOff>
    </xdr:from>
    <xdr:to>
      <xdr:col>17</xdr:col>
      <xdr:colOff>91109</xdr:colOff>
      <xdr:row>59</xdr:row>
      <xdr:rowOff>100634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67" y="5806110"/>
          <a:ext cx="547320" cy="1243633"/>
        </a:xfrm>
        <a:prstGeom prst="rect">
          <a:avLst/>
        </a:prstGeom>
      </xdr:spPr>
    </xdr:pic>
    <xdr:clientData/>
  </xdr:twoCellAnchor>
  <xdr:twoCellAnchor editAs="oneCell">
    <xdr:from>
      <xdr:col>22</xdr:col>
      <xdr:colOff>77305</xdr:colOff>
      <xdr:row>49</xdr:row>
      <xdr:rowOff>99393</xdr:rowOff>
    </xdr:from>
    <xdr:to>
      <xdr:col>28</xdr:col>
      <xdr:colOff>41413</xdr:colOff>
      <xdr:row>59</xdr:row>
      <xdr:rowOff>70993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0175" y="5888936"/>
          <a:ext cx="659847" cy="1131166"/>
        </a:xfrm>
        <a:prstGeom prst="rect">
          <a:avLst/>
        </a:prstGeom>
      </xdr:spPr>
    </xdr:pic>
    <xdr:clientData/>
  </xdr:twoCellAnchor>
  <xdr:twoCellAnchor editAs="oneCell">
    <xdr:from>
      <xdr:col>33</xdr:col>
      <xdr:colOff>8283</xdr:colOff>
      <xdr:row>49</xdr:row>
      <xdr:rowOff>49696</xdr:rowOff>
    </xdr:from>
    <xdr:to>
      <xdr:col>37</xdr:col>
      <xdr:colOff>99391</xdr:colOff>
      <xdr:row>59</xdr:row>
      <xdr:rowOff>76540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7283" y="5839239"/>
          <a:ext cx="554934" cy="1186410"/>
        </a:xfrm>
        <a:prstGeom prst="rect">
          <a:avLst/>
        </a:prstGeom>
      </xdr:spPr>
    </xdr:pic>
    <xdr:clientData/>
  </xdr:twoCellAnchor>
  <xdr:twoCellAnchor editAs="oneCell">
    <xdr:from>
      <xdr:col>43</xdr:col>
      <xdr:colOff>61521</xdr:colOff>
      <xdr:row>50</xdr:row>
      <xdr:rowOff>8284</xdr:rowOff>
    </xdr:from>
    <xdr:to>
      <xdr:col>47</xdr:col>
      <xdr:colOff>59010</xdr:colOff>
      <xdr:row>59</xdr:row>
      <xdr:rowOff>74544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0695" y="5913784"/>
          <a:ext cx="461315" cy="1109869"/>
        </a:xfrm>
        <a:prstGeom prst="rect">
          <a:avLst/>
        </a:prstGeom>
      </xdr:spPr>
    </xdr:pic>
    <xdr:clientData/>
  </xdr:twoCellAnchor>
  <xdr:twoCellAnchor editAs="oneCell">
    <xdr:from>
      <xdr:col>52</xdr:col>
      <xdr:colOff>74542</xdr:colOff>
      <xdr:row>49</xdr:row>
      <xdr:rowOff>107041</xdr:rowOff>
    </xdr:from>
    <xdr:to>
      <xdr:col>58</xdr:col>
      <xdr:colOff>91109</xdr:colOff>
      <xdr:row>59</xdr:row>
      <xdr:rowOff>100215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7933" y="5896584"/>
          <a:ext cx="712306" cy="1152740"/>
        </a:xfrm>
        <a:prstGeom prst="rect">
          <a:avLst/>
        </a:prstGeom>
      </xdr:spPr>
    </xdr:pic>
    <xdr:clientData/>
  </xdr:twoCellAnchor>
  <xdr:twoCellAnchor editAs="oneCell">
    <xdr:from>
      <xdr:col>63</xdr:col>
      <xdr:colOff>86397</xdr:colOff>
      <xdr:row>50</xdr:row>
      <xdr:rowOff>0</xdr:rowOff>
    </xdr:from>
    <xdr:to>
      <xdr:col>67</xdr:col>
      <xdr:colOff>44605</xdr:colOff>
      <xdr:row>59</xdr:row>
      <xdr:rowOff>107675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5919" y="5905500"/>
          <a:ext cx="422034" cy="1151284"/>
        </a:xfrm>
        <a:prstGeom prst="rect">
          <a:avLst/>
        </a:prstGeom>
      </xdr:spPr>
    </xdr:pic>
    <xdr:clientData/>
  </xdr:twoCellAnchor>
  <xdr:twoCellAnchor editAs="oneCell">
    <xdr:from>
      <xdr:col>1</xdr:col>
      <xdr:colOff>49696</xdr:colOff>
      <xdr:row>65</xdr:row>
      <xdr:rowOff>8282</xdr:rowOff>
    </xdr:from>
    <xdr:to>
      <xdr:col>9</xdr:col>
      <xdr:colOff>87614</xdr:colOff>
      <xdr:row>72</xdr:row>
      <xdr:rowOff>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1" y="7553739"/>
          <a:ext cx="965570" cy="803413"/>
        </a:xfrm>
        <a:prstGeom prst="rect">
          <a:avLst/>
        </a:prstGeom>
      </xdr:spPr>
    </xdr:pic>
    <xdr:clientData/>
  </xdr:twoCellAnchor>
  <xdr:twoCellAnchor editAs="oneCell">
    <xdr:from>
      <xdr:col>11</xdr:col>
      <xdr:colOff>82827</xdr:colOff>
      <xdr:row>65</xdr:row>
      <xdr:rowOff>0</xdr:rowOff>
    </xdr:from>
    <xdr:to>
      <xdr:col>20</xdr:col>
      <xdr:colOff>0</xdr:colOff>
      <xdr:row>71</xdr:row>
      <xdr:rowOff>103690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66" y="7545457"/>
          <a:ext cx="960782" cy="799429"/>
        </a:xfrm>
        <a:prstGeom prst="rect">
          <a:avLst/>
        </a:prstGeom>
      </xdr:spPr>
    </xdr:pic>
    <xdr:clientData/>
  </xdr:twoCellAnchor>
  <xdr:twoCellAnchor editAs="oneCell">
    <xdr:from>
      <xdr:col>21</xdr:col>
      <xdr:colOff>24848</xdr:colOff>
      <xdr:row>64</xdr:row>
      <xdr:rowOff>34845</xdr:rowOff>
    </xdr:from>
    <xdr:to>
      <xdr:col>29</xdr:col>
      <xdr:colOff>83266</xdr:colOff>
      <xdr:row>71</xdr:row>
      <xdr:rowOff>82827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935" y="7464345"/>
          <a:ext cx="1118592" cy="859678"/>
        </a:xfrm>
        <a:prstGeom prst="rect">
          <a:avLst/>
        </a:prstGeom>
      </xdr:spPr>
    </xdr:pic>
    <xdr:clientData/>
  </xdr:twoCellAnchor>
  <xdr:twoCellAnchor editAs="oneCell">
    <xdr:from>
      <xdr:col>31</xdr:col>
      <xdr:colOff>66260</xdr:colOff>
      <xdr:row>65</xdr:row>
      <xdr:rowOff>66260</xdr:rowOff>
    </xdr:from>
    <xdr:to>
      <xdr:col>39</xdr:col>
      <xdr:colOff>107674</xdr:colOff>
      <xdr:row>72</xdr:row>
      <xdr:rowOff>75682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347" y="7611717"/>
          <a:ext cx="969066" cy="821117"/>
        </a:xfrm>
        <a:prstGeom prst="rect">
          <a:avLst/>
        </a:prstGeom>
      </xdr:spPr>
    </xdr:pic>
    <xdr:clientData/>
  </xdr:twoCellAnchor>
  <xdr:twoCellAnchor editAs="oneCell">
    <xdr:from>
      <xdr:col>41</xdr:col>
      <xdr:colOff>74544</xdr:colOff>
      <xdr:row>65</xdr:row>
      <xdr:rowOff>57978</xdr:rowOff>
    </xdr:from>
    <xdr:to>
      <xdr:col>49</xdr:col>
      <xdr:colOff>74544</xdr:colOff>
      <xdr:row>72</xdr:row>
      <xdr:rowOff>67715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1805" y="7603435"/>
          <a:ext cx="927652" cy="821432"/>
        </a:xfrm>
        <a:prstGeom prst="rect">
          <a:avLst/>
        </a:prstGeom>
      </xdr:spPr>
    </xdr:pic>
    <xdr:clientData/>
  </xdr:twoCellAnchor>
  <xdr:twoCellAnchor editAs="oneCell">
    <xdr:from>
      <xdr:col>51</xdr:col>
      <xdr:colOff>41414</xdr:colOff>
      <xdr:row>65</xdr:row>
      <xdr:rowOff>107674</xdr:rowOff>
    </xdr:from>
    <xdr:to>
      <xdr:col>59</xdr:col>
      <xdr:colOff>82826</xdr:colOff>
      <xdr:row>72</xdr:row>
      <xdr:rowOff>50518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8849" y="7653131"/>
          <a:ext cx="969064" cy="754539"/>
        </a:xfrm>
        <a:prstGeom prst="rect">
          <a:avLst/>
        </a:prstGeom>
      </xdr:spPr>
    </xdr:pic>
    <xdr:clientData/>
  </xdr:twoCellAnchor>
  <xdr:twoCellAnchor editAs="oneCell">
    <xdr:from>
      <xdr:col>61</xdr:col>
      <xdr:colOff>66260</xdr:colOff>
      <xdr:row>65</xdr:row>
      <xdr:rowOff>107673</xdr:rowOff>
    </xdr:from>
    <xdr:to>
      <xdr:col>69</xdr:col>
      <xdr:colOff>24847</xdr:colOff>
      <xdr:row>72</xdr:row>
      <xdr:rowOff>53777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3869" y="7653130"/>
          <a:ext cx="886239" cy="757799"/>
        </a:xfrm>
        <a:prstGeom prst="rect">
          <a:avLst/>
        </a:prstGeom>
      </xdr:spPr>
    </xdr:pic>
    <xdr:clientData/>
  </xdr:twoCellAnchor>
  <xdr:twoCellAnchor editAs="oneCell">
    <xdr:from>
      <xdr:col>2</xdr:col>
      <xdr:colOff>8283</xdr:colOff>
      <xdr:row>78</xdr:row>
      <xdr:rowOff>57979</xdr:rowOff>
    </xdr:from>
    <xdr:to>
      <xdr:col>9</xdr:col>
      <xdr:colOff>109284</xdr:colOff>
      <xdr:row>86</xdr:row>
      <xdr:rowOff>8283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05" y="9003196"/>
          <a:ext cx="912696" cy="877957"/>
        </a:xfrm>
        <a:prstGeom prst="rect">
          <a:avLst/>
        </a:prstGeom>
      </xdr:spPr>
    </xdr:pic>
    <xdr:clientData/>
  </xdr:twoCellAnchor>
  <xdr:twoCellAnchor editAs="oneCell">
    <xdr:from>
      <xdr:col>11</xdr:col>
      <xdr:colOff>98320</xdr:colOff>
      <xdr:row>78</xdr:row>
      <xdr:rowOff>16566</xdr:rowOff>
    </xdr:from>
    <xdr:to>
      <xdr:col>19</xdr:col>
      <xdr:colOff>91109</xdr:colOff>
      <xdr:row>85</xdr:row>
      <xdr:rowOff>90277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059" y="8961783"/>
          <a:ext cx="920441" cy="885407"/>
        </a:xfrm>
        <a:prstGeom prst="rect">
          <a:avLst/>
        </a:prstGeom>
      </xdr:spPr>
    </xdr:pic>
    <xdr:clientData/>
  </xdr:twoCellAnchor>
  <xdr:twoCellAnchor editAs="oneCell">
    <xdr:from>
      <xdr:col>21</xdr:col>
      <xdr:colOff>49696</xdr:colOff>
      <xdr:row>78</xdr:row>
      <xdr:rowOff>56127</xdr:rowOff>
    </xdr:from>
    <xdr:to>
      <xdr:col>29</xdr:col>
      <xdr:colOff>107674</xdr:colOff>
      <xdr:row>85</xdr:row>
      <xdr:rowOff>69084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609" y="9001344"/>
          <a:ext cx="985630" cy="824653"/>
        </a:xfrm>
        <a:prstGeom prst="rect">
          <a:avLst/>
        </a:prstGeom>
      </xdr:spPr>
    </xdr:pic>
    <xdr:clientData/>
  </xdr:twoCellAnchor>
  <xdr:twoCellAnchor editAs="oneCell">
    <xdr:from>
      <xdr:col>31</xdr:col>
      <xdr:colOff>83504</xdr:colOff>
      <xdr:row>78</xdr:row>
      <xdr:rowOff>99392</xdr:rowOff>
    </xdr:from>
    <xdr:to>
      <xdr:col>39</xdr:col>
      <xdr:colOff>66262</xdr:colOff>
      <xdr:row>86</xdr:row>
      <xdr:rowOff>74747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591" y="9044609"/>
          <a:ext cx="910410" cy="903008"/>
        </a:xfrm>
        <a:prstGeom prst="rect">
          <a:avLst/>
        </a:prstGeom>
      </xdr:spPr>
    </xdr:pic>
    <xdr:clientData/>
  </xdr:twoCellAnchor>
  <xdr:twoCellAnchor editAs="oneCell">
    <xdr:from>
      <xdr:col>42</xdr:col>
      <xdr:colOff>8284</xdr:colOff>
      <xdr:row>78</xdr:row>
      <xdr:rowOff>30707</xdr:rowOff>
    </xdr:from>
    <xdr:to>
      <xdr:col>49</xdr:col>
      <xdr:colOff>65734</xdr:colOff>
      <xdr:row>86</xdr:row>
      <xdr:rowOff>99392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1" y="8975924"/>
          <a:ext cx="869146" cy="996338"/>
        </a:xfrm>
        <a:prstGeom prst="rect">
          <a:avLst/>
        </a:prstGeom>
      </xdr:spPr>
    </xdr:pic>
    <xdr:clientData/>
  </xdr:twoCellAnchor>
  <xdr:twoCellAnchor editAs="oneCell">
    <xdr:from>
      <xdr:col>51</xdr:col>
      <xdr:colOff>74544</xdr:colOff>
      <xdr:row>79</xdr:row>
      <xdr:rowOff>0</xdr:rowOff>
    </xdr:from>
    <xdr:to>
      <xdr:col>59</xdr:col>
      <xdr:colOff>41414</xdr:colOff>
      <xdr:row>86</xdr:row>
      <xdr:rowOff>73790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979" y="9061174"/>
          <a:ext cx="894522" cy="885486"/>
        </a:xfrm>
        <a:prstGeom prst="rect">
          <a:avLst/>
        </a:prstGeom>
      </xdr:spPr>
    </xdr:pic>
    <xdr:clientData/>
  </xdr:twoCellAnchor>
  <xdr:twoCellAnchor editAs="oneCell">
    <xdr:from>
      <xdr:col>61</xdr:col>
      <xdr:colOff>57979</xdr:colOff>
      <xdr:row>79</xdr:row>
      <xdr:rowOff>33131</xdr:rowOff>
    </xdr:from>
    <xdr:to>
      <xdr:col>69</xdr:col>
      <xdr:colOff>33131</xdr:colOff>
      <xdr:row>86</xdr:row>
      <xdr:rowOff>93856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B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588" y="9094305"/>
          <a:ext cx="902804" cy="872421"/>
        </a:xfrm>
        <a:prstGeom prst="rect">
          <a:avLst/>
        </a:prstGeom>
      </xdr:spPr>
    </xdr:pic>
    <xdr:clientData/>
  </xdr:twoCellAnchor>
  <xdr:twoCellAnchor editAs="oneCell">
    <xdr:from>
      <xdr:col>2</xdr:col>
      <xdr:colOff>95606</xdr:colOff>
      <xdr:row>92</xdr:row>
      <xdr:rowOff>16564</xdr:rowOff>
    </xdr:from>
    <xdr:to>
      <xdr:col>8</xdr:col>
      <xdr:colOff>55752</xdr:colOff>
      <xdr:row>101</xdr:row>
      <xdr:rowOff>82826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B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8" y="10502347"/>
          <a:ext cx="655885" cy="1184414"/>
        </a:xfrm>
        <a:prstGeom prst="rect">
          <a:avLst/>
        </a:prstGeom>
      </xdr:spPr>
    </xdr:pic>
    <xdr:clientData/>
  </xdr:twoCellAnchor>
  <xdr:twoCellAnchor editAs="oneCell">
    <xdr:from>
      <xdr:col>13</xdr:col>
      <xdr:colOff>17301</xdr:colOff>
      <xdr:row>91</xdr:row>
      <xdr:rowOff>115957</xdr:rowOff>
    </xdr:from>
    <xdr:to>
      <xdr:col>18</xdr:col>
      <xdr:colOff>24847</xdr:colOff>
      <xdr:row>102</xdr:row>
      <xdr:rowOff>1619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B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53" y="10477500"/>
          <a:ext cx="587329" cy="1252293"/>
        </a:xfrm>
        <a:prstGeom prst="rect">
          <a:avLst/>
        </a:prstGeom>
      </xdr:spPr>
    </xdr:pic>
    <xdr:clientData/>
  </xdr:twoCellAnchor>
  <xdr:twoCellAnchor editAs="oneCell">
    <xdr:from>
      <xdr:col>23</xdr:col>
      <xdr:colOff>69548</xdr:colOff>
      <xdr:row>91</xdr:row>
      <xdr:rowOff>107674</xdr:rowOff>
    </xdr:from>
    <xdr:to>
      <xdr:col>27</xdr:col>
      <xdr:colOff>8284</xdr:colOff>
      <xdr:row>101</xdr:row>
      <xdr:rowOff>78600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B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374" y="10469217"/>
          <a:ext cx="402562" cy="1213318"/>
        </a:xfrm>
        <a:prstGeom prst="rect">
          <a:avLst/>
        </a:prstGeom>
      </xdr:spPr>
    </xdr:pic>
    <xdr:clientData/>
  </xdr:twoCellAnchor>
  <xdr:twoCellAnchor editAs="oneCell">
    <xdr:from>
      <xdr:col>32</xdr:col>
      <xdr:colOff>24848</xdr:colOff>
      <xdr:row>91</xdr:row>
      <xdr:rowOff>119579</xdr:rowOff>
    </xdr:from>
    <xdr:to>
      <xdr:col>38</xdr:col>
      <xdr:colOff>82826</xdr:colOff>
      <xdr:row>101</xdr:row>
      <xdr:rowOff>78426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B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7891" y="10481122"/>
          <a:ext cx="753718" cy="1201239"/>
        </a:xfrm>
        <a:prstGeom prst="rect">
          <a:avLst/>
        </a:prstGeom>
      </xdr:spPr>
    </xdr:pic>
    <xdr:clientData/>
  </xdr:twoCellAnchor>
  <xdr:twoCellAnchor editAs="oneCell">
    <xdr:from>
      <xdr:col>41</xdr:col>
      <xdr:colOff>33130</xdr:colOff>
      <xdr:row>92</xdr:row>
      <xdr:rowOff>113476</xdr:rowOff>
    </xdr:from>
    <xdr:to>
      <xdr:col>49</xdr:col>
      <xdr:colOff>91108</xdr:colOff>
      <xdr:row>99</xdr:row>
      <xdr:rowOff>109719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B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0391" y="10599259"/>
          <a:ext cx="985630" cy="865917"/>
        </a:xfrm>
        <a:prstGeom prst="rect">
          <a:avLst/>
        </a:prstGeom>
      </xdr:spPr>
    </xdr:pic>
    <xdr:clientData/>
  </xdr:twoCellAnchor>
  <xdr:twoCellAnchor editAs="oneCell">
    <xdr:from>
      <xdr:col>51</xdr:col>
      <xdr:colOff>49696</xdr:colOff>
      <xdr:row>93</xdr:row>
      <xdr:rowOff>9053</xdr:rowOff>
    </xdr:from>
    <xdr:to>
      <xdr:col>59</xdr:col>
      <xdr:colOff>91110</xdr:colOff>
      <xdr:row>99</xdr:row>
      <xdr:rowOff>114983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B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7131" y="10619075"/>
          <a:ext cx="969066" cy="851365"/>
        </a:xfrm>
        <a:prstGeom prst="rect">
          <a:avLst/>
        </a:prstGeom>
      </xdr:spPr>
    </xdr:pic>
    <xdr:clientData/>
  </xdr:twoCellAnchor>
  <xdr:twoCellAnchor editAs="oneCell">
    <xdr:from>
      <xdr:col>61</xdr:col>
      <xdr:colOff>82825</xdr:colOff>
      <xdr:row>93</xdr:row>
      <xdr:rowOff>1</xdr:rowOff>
    </xdr:from>
    <xdr:to>
      <xdr:col>69</xdr:col>
      <xdr:colOff>79084</xdr:colOff>
      <xdr:row>99</xdr:row>
      <xdr:rowOff>66261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B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0434" y="10610023"/>
          <a:ext cx="923911" cy="811695"/>
        </a:xfrm>
        <a:prstGeom prst="rect">
          <a:avLst/>
        </a:prstGeom>
      </xdr:spPr>
    </xdr:pic>
    <xdr:clientData/>
  </xdr:twoCellAnchor>
  <xdr:twoCellAnchor editAs="oneCell">
    <xdr:from>
      <xdr:col>6</xdr:col>
      <xdr:colOff>66262</xdr:colOff>
      <xdr:row>0</xdr:row>
      <xdr:rowOff>74545</xdr:rowOff>
    </xdr:from>
    <xdr:to>
      <xdr:col>14</xdr:col>
      <xdr:colOff>74543</xdr:colOff>
      <xdr:row>3</xdr:row>
      <xdr:rowOff>190501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10" y="74545"/>
          <a:ext cx="836542" cy="8613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69</xdr:col>
      <xdr:colOff>1</xdr:colOff>
      <xdr:row>46</xdr:row>
      <xdr:rowOff>49696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5" y="1051891"/>
          <a:ext cx="7462631" cy="45388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57978</xdr:rowOff>
    </xdr:from>
    <xdr:to>
      <xdr:col>69</xdr:col>
      <xdr:colOff>1</xdr:colOff>
      <xdr:row>83</xdr:row>
      <xdr:rowOff>99391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4" y="5599043"/>
          <a:ext cx="7462631" cy="4191000"/>
        </a:xfrm>
        <a:prstGeom prst="rect">
          <a:avLst/>
        </a:prstGeom>
      </xdr:spPr>
    </xdr:pic>
    <xdr:clientData/>
  </xdr:twoCellAnchor>
  <xdr:twoCellAnchor editAs="oneCell">
    <xdr:from>
      <xdr:col>5</xdr:col>
      <xdr:colOff>49698</xdr:colOff>
      <xdr:row>0</xdr:row>
      <xdr:rowOff>107672</xdr:rowOff>
    </xdr:from>
    <xdr:to>
      <xdr:col>13</xdr:col>
      <xdr:colOff>49697</xdr:colOff>
      <xdr:row>3</xdr:row>
      <xdr:rowOff>173934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81" y="107672"/>
          <a:ext cx="836542" cy="811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N321"/>
  <sheetViews>
    <sheetView showGridLines="0" tabSelected="1" view="pageBreakPreview" zoomScaleSheetLayoutView="100" workbookViewId="0">
      <selection sqref="A1:BN4"/>
    </sheetView>
  </sheetViews>
  <sheetFormatPr defaultColWidth="9.140625" defaultRowHeight="8.25" x14ac:dyDescent="0.25"/>
  <cols>
    <col min="1" max="1" width="0.28515625" style="2" customWidth="1"/>
    <col min="2" max="5" width="1.7109375" style="2" customWidth="1"/>
    <col min="6" max="6" width="2.28515625" style="2" customWidth="1"/>
    <col min="7" max="7" width="3.7109375" style="2" customWidth="1"/>
    <col min="8" max="11" width="1.7109375" style="2" customWidth="1"/>
    <col min="12" max="12" width="0.28515625" style="2" customWidth="1"/>
    <col min="13" max="21" width="1.7109375" style="2" customWidth="1"/>
    <col min="22" max="22" width="2" style="2" customWidth="1"/>
    <col min="23" max="23" width="0.140625" style="2" customWidth="1"/>
    <col min="24" max="26" width="1.7109375" style="2" customWidth="1"/>
    <col min="27" max="27" width="1.5703125" style="2" customWidth="1"/>
    <col min="28" max="33" width="1.7109375" style="2" customWidth="1"/>
    <col min="34" max="34" width="0.28515625" style="2" customWidth="1"/>
    <col min="35" max="40" width="1.7109375" style="2" customWidth="1"/>
    <col min="41" max="41" width="2.140625" style="2" customWidth="1"/>
    <col min="42" max="44" width="1.7109375" style="2" customWidth="1"/>
    <col min="45" max="45" width="0.28515625" style="2" customWidth="1"/>
    <col min="46" max="50" width="1.7109375" style="2" customWidth="1"/>
    <col min="51" max="51" width="2.5703125" style="2" customWidth="1"/>
    <col min="52" max="52" width="2.7109375" style="2" customWidth="1"/>
    <col min="53" max="55" width="1.7109375" style="2" customWidth="1"/>
    <col min="56" max="56" width="0.28515625" style="2" customWidth="1"/>
    <col min="57" max="61" width="1.7109375" style="2" customWidth="1"/>
    <col min="62" max="62" width="2.28515625" style="2" customWidth="1"/>
    <col min="63" max="63" width="2" style="2" customWidth="1"/>
    <col min="64" max="66" width="1.7109375" style="2" customWidth="1"/>
    <col min="67" max="67" width="0.28515625" style="2" customWidth="1"/>
    <col min="68" max="16384" width="9.140625" style="2"/>
  </cols>
  <sheetData>
    <row r="1" spans="1:66" ht="19.5" customHeight="1" x14ac:dyDescent="0.25">
      <c r="A1" s="250" t="s">
        <v>830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  <c r="BL1" s="251"/>
      <c r="BM1" s="251"/>
      <c r="BN1" s="252"/>
    </row>
    <row r="2" spans="1:66" ht="19.5" customHeight="1" x14ac:dyDescent="0.25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251"/>
      <c r="BN2" s="252"/>
    </row>
    <row r="3" spans="1:66" ht="19.5" customHeight="1" x14ac:dyDescent="0.25">
      <c r="A3" s="251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251"/>
      <c r="BM3" s="251"/>
      <c r="BN3" s="252"/>
    </row>
    <row r="4" spans="1:66" ht="19.5" customHeight="1" x14ac:dyDescent="0.25">
      <c r="A4" s="251"/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2"/>
    </row>
    <row r="5" spans="1:66" ht="18" customHeight="1" x14ac:dyDescent="0.25">
      <c r="A5" s="1"/>
      <c r="B5" s="256">
        <v>1.4</v>
      </c>
      <c r="C5" s="257"/>
      <c r="D5" s="257"/>
      <c r="E5" s="257"/>
      <c r="F5" s="257"/>
      <c r="G5" s="257"/>
      <c r="H5" s="257"/>
      <c r="I5" s="257"/>
      <c r="J5" s="257"/>
      <c r="K5" s="257"/>
      <c r="L5" s="246"/>
      <c r="M5" s="275" t="s">
        <v>95</v>
      </c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276"/>
      <c r="Y5" s="276"/>
      <c r="Z5" s="276"/>
      <c r="AA5" s="276"/>
      <c r="AB5" s="276"/>
      <c r="AC5" s="276"/>
      <c r="AD5" s="276"/>
      <c r="AE5" s="276"/>
      <c r="AF5" s="276"/>
      <c r="AG5" s="276"/>
      <c r="AH5" s="276"/>
      <c r="AI5" s="276"/>
      <c r="AJ5" s="276"/>
      <c r="AK5" s="276"/>
      <c r="AL5" s="276"/>
      <c r="AM5" s="276"/>
      <c r="AN5" s="276"/>
      <c r="AO5" s="276"/>
      <c r="AP5" s="276"/>
      <c r="AQ5" s="276"/>
      <c r="AR5" s="276"/>
      <c r="AS5" s="276"/>
      <c r="AT5" s="276"/>
      <c r="AU5" s="276"/>
      <c r="AV5" s="276"/>
      <c r="AW5" s="276"/>
      <c r="AX5" s="276"/>
      <c r="AY5" s="276"/>
      <c r="AZ5" s="276"/>
      <c r="BA5" s="276"/>
      <c r="BB5" s="276"/>
      <c r="BC5" s="276"/>
      <c r="BD5" s="276"/>
      <c r="BE5" s="276"/>
      <c r="BF5" s="276"/>
      <c r="BG5" s="276"/>
      <c r="BH5" s="276"/>
      <c r="BI5" s="276"/>
      <c r="BJ5" s="276"/>
      <c r="BK5" s="276"/>
      <c r="BL5" s="276"/>
      <c r="BM5" s="276"/>
      <c r="BN5" s="276"/>
    </row>
    <row r="6" spans="1:66" s="15" customFormat="1" ht="1.5" customHeight="1" x14ac:dyDescent="0.25"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</row>
    <row r="7" spans="1:66" s="15" customFormat="1" ht="9" customHeight="1" x14ac:dyDescent="0.25">
      <c r="B7" s="312"/>
      <c r="C7" s="313"/>
      <c r="D7" s="313"/>
      <c r="E7" s="313"/>
      <c r="F7" s="313"/>
      <c r="G7" s="313"/>
      <c r="H7" s="313"/>
      <c r="I7" s="313"/>
      <c r="J7" s="313"/>
      <c r="K7" s="314"/>
      <c r="L7" s="135"/>
      <c r="M7" s="269" t="s">
        <v>0</v>
      </c>
      <c r="N7" s="270"/>
      <c r="O7" s="271"/>
      <c r="P7" s="272" t="s">
        <v>2</v>
      </c>
      <c r="Q7" s="273"/>
      <c r="R7" s="273"/>
      <c r="S7" s="273"/>
      <c r="T7" s="273"/>
      <c r="U7" s="273"/>
      <c r="V7" s="274"/>
      <c r="W7" s="136"/>
      <c r="X7" s="269" t="s">
        <v>1</v>
      </c>
      <c r="Y7" s="270"/>
      <c r="Z7" s="271"/>
      <c r="AA7" s="253" t="s">
        <v>2</v>
      </c>
      <c r="AB7" s="254"/>
      <c r="AC7" s="254"/>
      <c r="AD7" s="254"/>
      <c r="AE7" s="254"/>
      <c r="AF7" s="254"/>
      <c r="AG7" s="255"/>
      <c r="AH7" s="137"/>
      <c r="AI7" s="269" t="s">
        <v>49</v>
      </c>
      <c r="AJ7" s="270"/>
      <c r="AK7" s="271"/>
      <c r="AL7" s="253" t="s">
        <v>2</v>
      </c>
      <c r="AM7" s="254"/>
      <c r="AN7" s="254"/>
      <c r="AO7" s="254"/>
      <c r="AP7" s="254"/>
      <c r="AQ7" s="254"/>
      <c r="AR7" s="255"/>
      <c r="AS7" s="137"/>
      <c r="AT7" s="269" t="s">
        <v>6</v>
      </c>
      <c r="AU7" s="270"/>
      <c r="AV7" s="271"/>
      <c r="AW7" s="253" t="s">
        <v>2</v>
      </c>
      <c r="AX7" s="254"/>
      <c r="AY7" s="254"/>
      <c r="AZ7" s="254"/>
      <c r="BA7" s="254"/>
      <c r="BB7" s="254"/>
      <c r="BC7" s="255"/>
      <c r="BD7" s="137"/>
      <c r="BE7" s="269" t="s">
        <v>623</v>
      </c>
      <c r="BF7" s="270"/>
      <c r="BG7" s="271"/>
      <c r="BH7" s="253" t="s">
        <v>7</v>
      </c>
      <c r="BI7" s="254"/>
      <c r="BJ7" s="254"/>
      <c r="BK7" s="254"/>
      <c r="BL7" s="254"/>
      <c r="BM7" s="254"/>
      <c r="BN7" s="255"/>
    </row>
    <row r="8" spans="1:66" s="15" customFormat="1" ht="9" customHeight="1" x14ac:dyDescent="0.25">
      <c r="B8" s="325" t="s">
        <v>342</v>
      </c>
      <c r="C8" s="283"/>
      <c r="D8" s="283"/>
      <c r="E8" s="283"/>
      <c r="F8" s="283"/>
      <c r="G8" s="283"/>
      <c r="H8" s="283"/>
      <c r="I8" s="283"/>
      <c r="J8" s="283"/>
      <c r="K8" s="283"/>
      <c r="L8" s="135"/>
      <c r="M8" s="263"/>
      <c r="N8" s="264"/>
      <c r="O8" s="264"/>
      <c r="P8" s="264"/>
      <c r="Q8" s="264"/>
      <c r="R8" s="264"/>
      <c r="S8" s="264"/>
      <c r="T8" s="264"/>
      <c r="U8" s="264"/>
      <c r="V8" s="265"/>
      <c r="W8" s="136"/>
      <c r="X8" s="266" t="s">
        <v>5</v>
      </c>
      <c r="Y8" s="267"/>
      <c r="Z8" s="267"/>
      <c r="AA8" s="267"/>
      <c r="AB8" s="267"/>
      <c r="AC8" s="267"/>
      <c r="AD8" s="267"/>
      <c r="AE8" s="267"/>
      <c r="AF8" s="267"/>
      <c r="AG8" s="268"/>
      <c r="AH8" s="137"/>
      <c r="AI8" s="266" t="s">
        <v>5</v>
      </c>
      <c r="AJ8" s="267"/>
      <c r="AK8" s="267"/>
      <c r="AL8" s="267"/>
      <c r="AM8" s="267"/>
      <c r="AN8" s="267"/>
      <c r="AO8" s="267"/>
      <c r="AP8" s="267"/>
      <c r="AQ8" s="267"/>
      <c r="AR8" s="268"/>
      <c r="AS8" s="137"/>
      <c r="AT8" s="266" t="s">
        <v>143</v>
      </c>
      <c r="AU8" s="267"/>
      <c r="AV8" s="267"/>
      <c r="AW8" s="267"/>
      <c r="AX8" s="267"/>
      <c r="AY8" s="267"/>
      <c r="AZ8" s="267"/>
      <c r="BA8" s="267"/>
      <c r="BB8" s="267"/>
      <c r="BC8" s="268"/>
      <c r="BD8" s="137"/>
      <c r="BE8" s="266" t="s">
        <v>745</v>
      </c>
      <c r="BF8" s="267"/>
      <c r="BG8" s="267"/>
      <c r="BH8" s="267"/>
      <c r="BI8" s="267"/>
      <c r="BJ8" s="267"/>
      <c r="BK8" s="267"/>
      <c r="BL8" s="267"/>
      <c r="BM8" s="267"/>
      <c r="BN8" s="268"/>
    </row>
    <row r="9" spans="1:66" s="15" customFormat="1" ht="9" customHeight="1" x14ac:dyDescent="0.25">
      <c r="B9" s="283"/>
      <c r="C9" s="283"/>
      <c r="D9" s="283"/>
      <c r="E9" s="283"/>
      <c r="F9" s="283"/>
      <c r="G9" s="283"/>
      <c r="H9" s="283"/>
      <c r="I9" s="283"/>
      <c r="J9" s="283"/>
      <c r="K9" s="283"/>
      <c r="L9" s="135"/>
      <c r="M9" s="138"/>
      <c r="N9" s="139"/>
      <c r="O9" s="139"/>
      <c r="P9" s="139"/>
      <c r="Q9" s="139"/>
      <c r="R9" s="139"/>
      <c r="S9" s="139"/>
      <c r="T9" s="139"/>
      <c r="U9" s="139"/>
      <c r="V9" s="140"/>
      <c r="W9" s="136"/>
      <c r="X9" s="141"/>
      <c r="Y9" s="139"/>
      <c r="Z9" s="139"/>
      <c r="AA9" s="139"/>
      <c r="AB9" s="139"/>
      <c r="AC9" s="139"/>
      <c r="AD9" s="139"/>
      <c r="AE9" s="139"/>
      <c r="AF9" s="139"/>
      <c r="AG9" s="142"/>
      <c r="AH9" s="137"/>
      <c r="AI9" s="141"/>
      <c r="AJ9" s="139"/>
      <c r="AK9" s="139"/>
      <c r="AL9" s="139"/>
      <c r="AM9" s="139"/>
      <c r="AN9" s="139"/>
      <c r="AO9" s="139"/>
      <c r="AP9" s="139"/>
      <c r="AQ9" s="139"/>
      <c r="AR9" s="142"/>
      <c r="AS9" s="137"/>
      <c r="AT9" s="143"/>
      <c r="AU9" s="144"/>
      <c r="AV9" s="144"/>
      <c r="AW9" s="144"/>
      <c r="AX9" s="144"/>
      <c r="AY9" s="144"/>
      <c r="AZ9" s="144"/>
      <c r="BA9" s="144"/>
      <c r="BB9" s="144"/>
      <c r="BC9" s="145"/>
      <c r="BD9" s="137"/>
      <c r="BE9" s="143"/>
      <c r="BF9" s="144"/>
      <c r="BG9" s="144"/>
      <c r="BH9" s="144"/>
      <c r="BI9" s="144"/>
      <c r="BJ9" s="144"/>
      <c r="BK9" s="144"/>
      <c r="BL9" s="144"/>
      <c r="BM9" s="144"/>
      <c r="BN9" s="145"/>
    </row>
    <row r="10" spans="1:66" s="15" customFormat="1" ht="9" customHeight="1" x14ac:dyDescent="0.25">
      <c r="B10" s="283"/>
      <c r="C10" s="283"/>
      <c r="D10" s="283"/>
      <c r="E10" s="283"/>
      <c r="F10" s="283"/>
      <c r="G10" s="283"/>
      <c r="H10" s="283"/>
      <c r="I10" s="283"/>
      <c r="J10" s="283"/>
      <c r="K10" s="283"/>
      <c r="L10" s="135"/>
      <c r="M10" s="138"/>
      <c r="N10" s="139"/>
      <c r="O10" s="139"/>
      <c r="P10" s="139"/>
      <c r="Q10" s="139"/>
      <c r="R10" s="139"/>
      <c r="S10" s="139"/>
      <c r="T10" s="139"/>
      <c r="U10" s="139"/>
      <c r="V10" s="140"/>
      <c r="W10" s="136"/>
      <c r="X10" s="141"/>
      <c r="Y10" s="139"/>
      <c r="Z10" s="139"/>
      <c r="AA10" s="139"/>
      <c r="AB10" s="139"/>
      <c r="AC10" s="139"/>
      <c r="AD10" s="139"/>
      <c r="AE10" s="139"/>
      <c r="AF10" s="139"/>
      <c r="AG10" s="142"/>
      <c r="AH10" s="137"/>
      <c r="AI10" s="141"/>
      <c r="AJ10" s="139"/>
      <c r="AK10" s="139"/>
      <c r="AL10" s="139"/>
      <c r="AM10" s="139"/>
      <c r="AN10" s="139"/>
      <c r="AO10" s="139"/>
      <c r="AP10" s="139"/>
      <c r="AQ10" s="139"/>
      <c r="AR10" s="142"/>
      <c r="AS10" s="137"/>
      <c r="AT10" s="143"/>
      <c r="AU10" s="144"/>
      <c r="AV10" s="144"/>
      <c r="AW10" s="144"/>
      <c r="AX10" s="144"/>
      <c r="AY10" s="144"/>
      <c r="AZ10" s="144"/>
      <c r="BA10" s="144"/>
      <c r="BB10" s="144"/>
      <c r="BC10" s="145"/>
      <c r="BD10" s="137"/>
      <c r="BE10" s="143"/>
      <c r="BF10" s="144"/>
      <c r="BG10" s="144"/>
      <c r="BH10" s="144"/>
      <c r="BI10" s="144"/>
      <c r="BJ10" s="144"/>
      <c r="BK10" s="144"/>
      <c r="BL10" s="144"/>
      <c r="BM10" s="144"/>
      <c r="BN10" s="145"/>
    </row>
    <row r="11" spans="1:66" s="15" customFormat="1" ht="9" customHeight="1" x14ac:dyDescent="0.25">
      <c r="B11" s="283"/>
      <c r="C11" s="283"/>
      <c r="D11" s="283"/>
      <c r="E11" s="283"/>
      <c r="F11" s="283"/>
      <c r="G11" s="283"/>
      <c r="H11" s="283"/>
      <c r="I11" s="283"/>
      <c r="J11" s="283"/>
      <c r="K11" s="283"/>
      <c r="L11" s="135"/>
      <c r="M11" s="138"/>
      <c r="N11" s="139"/>
      <c r="O11" s="139"/>
      <c r="P11" s="139"/>
      <c r="Q11" s="139"/>
      <c r="R11" s="139"/>
      <c r="S11" s="139"/>
      <c r="T11" s="139"/>
      <c r="U11" s="139"/>
      <c r="V11" s="140"/>
      <c r="W11" s="136"/>
      <c r="X11" s="141"/>
      <c r="Y11" s="139"/>
      <c r="Z11" s="139"/>
      <c r="AA11" s="139"/>
      <c r="AB11" s="139"/>
      <c r="AC11" s="139"/>
      <c r="AD11" s="139"/>
      <c r="AE11" s="139"/>
      <c r="AF11" s="139"/>
      <c r="AG11" s="142"/>
      <c r="AH11" s="137"/>
      <c r="AI11" s="141"/>
      <c r="AJ11" s="139"/>
      <c r="AK11" s="139"/>
      <c r="AL11" s="139"/>
      <c r="AM11" s="139"/>
      <c r="AN11" s="139"/>
      <c r="AO11" s="139"/>
      <c r="AP11" s="139"/>
      <c r="AQ11" s="139"/>
      <c r="AR11" s="142"/>
      <c r="AS11" s="137"/>
      <c r="AT11" s="143"/>
      <c r="AU11" s="144"/>
      <c r="AV11" s="144"/>
      <c r="AW11" s="144"/>
      <c r="AX11" s="144"/>
      <c r="AY11" s="144"/>
      <c r="AZ11" s="144"/>
      <c r="BA11" s="144"/>
      <c r="BB11" s="144"/>
      <c r="BC11" s="145"/>
      <c r="BD11" s="137"/>
      <c r="BE11" s="143"/>
      <c r="BF11" s="144"/>
      <c r="BG11" s="144"/>
      <c r="BH11" s="144"/>
      <c r="BI11" s="144"/>
      <c r="BJ11" s="144"/>
      <c r="BK11" s="144"/>
      <c r="BL11" s="144"/>
      <c r="BM11" s="144"/>
      <c r="BN11" s="145"/>
    </row>
    <row r="12" spans="1:66" s="15" customFormat="1" ht="9" customHeight="1" x14ac:dyDescent="0.25">
      <c r="B12" s="283"/>
      <c r="C12" s="283"/>
      <c r="D12" s="283"/>
      <c r="E12" s="283"/>
      <c r="F12" s="283"/>
      <c r="G12" s="283"/>
      <c r="H12" s="283"/>
      <c r="I12" s="283"/>
      <c r="J12" s="283"/>
      <c r="K12" s="283"/>
      <c r="L12" s="135"/>
      <c r="M12" s="138"/>
      <c r="N12" s="139"/>
      <c r="O12" s="139"/>
      <c r="P12" s="139"/>
      <c r="Q12" s="139"/>
      <c r="R12" s="139"/>
      <c r="S12" s="139"/>
      <c r="T12" s="139"/>
      <c r="U12" s="139"/>
      <c r="V12" s="140"/>
      <c r="W12" s="136"/>
      <c r="X12" s="141"/>
      <c r="Y12" s="139"/>
      <c r="Z12" s="139"/>
      <c r="AA12" s="139"/>
      <c r="AB12" s="139"/>
      <c r="AC12" s="139"/>
      <c r="AD12" s="139"/>
      <c r="AE12" s="139"/>
      <c r="AF12" s="139"/>
      <c r="AG12" s="142"/>
      <c r="AH12" s="137"/>
      <c r="AI12" s="141"/>
      <c r="AJ12" s="139"/>
      <c r="AK12" s="139"/>
      <c r="AL12" s="139"/>
      <c r="AM12" s="139"/>
      <c r="AN12" s="139"/>
      <c r="AO12" s="139"/>
      <c r="AP12" s="139"/>
      <c r="AQ12" s="139"/>
      <c r="AR12" s="142"/>
      <c r="AS12" s="137"/>
      <c r="AT12" s="143"/>
      <c r="AU12" s="144"/>
      <c r="AV12" s="144"/>
      <c r="AW12" s="144"/>
      <c r="AX12" s="144"/>
      <c r="AY12" s="144"/>
      <c r="AZ12" s="144"/>
      <c r="BA12" s="144"/>
      <c r="BB12" s="144"/>
      <c r="BC12" s="145"/>
      <c r="BD12" s="137"/>
      <c r="BE12" s="143"/>
      <c r="BF12" s="144"/>
      <c r="BG12" s="144"/>
      <c r="BH12" s="144"/>
      <c r="BI12" s="144"/>
      <c r="BJ12" s="144"/>
      <c r="BK12" s="144"/>
      <c r="BL12" s="144"/>
      <c r="BM12" s="144"/>
      <c r="BN12" s="145"/>
    </row>
    <row r="13" spans="1:66" s="15" customFormat="1" ht="9" customHeight="1" x14ac:dyDescent="0.25">
      <c r="B13" s="283"/>
      <c r="C13" s="283"/>
      <c r="D13" s="283"/>
      <c r="E13" s="283"/>
      <c r="F13" s="283"/>
      <c r="G13" s="283"/>
      <c r="H13" s="283"/>
      <c r="I13" s="283"/>
      <c r="J13" s="283"/>
      <c r="K13" s="283"/>
      <c r="L13" s="135"/>
      <c r="M13" s="138"/>
      <c r="N13" s="139"/>
      <c r="O13" s="139"/>
      <c r="P13" s="139"/>
      <c r="Q13" s="139"/>
      <c r="R13" s="139"/>
      <c r="S13" s="139"/>
      <c r="T13" s="139"/>
      <c r="U13" s="139"/>
      <c r="V13" s="140"/>
      <c r="W13" s="136"/>
      <c r="X13" s="141"/>
      <c r="Y13" s="139"/>
      <c r="Z13" s="139"/>
      <c r="AA13" s="139"/>
      <c r="AB13" s="139"/>
      <c r="AC13" s="139"/>
      <c r="AD13" s="139"/>
      <c r="AE13" s="139"/>
      <c r="AF13" s="139"/>
      <c r="AG13" s="142"/>
      <c r="AH13" s="137"/>
      <c r="AI13" s="141"/>
      <c r="AJ13" s="139"/>
      <c r="AK13" s="139"/>
      <c r="AL13" s="139"/>
      <c r="AM13" s="139"/>
      <c r="AN13" s="139"/>
      <c r="AO13" s="139"/>
      <c r="AP13" s="139"/>
      <c r="AQ13" s="139"/>
      <c r="AR13" s="142"/>
      <c r="AS13" s="137"/>
      <c r="AT13" s="143"/>
      <c r="AU13" s="144"/>
      <c r="AV13" s="144"/>
      <c r="AW13" s="144"/>
      <c r="AX13" s="144"/>
      <c r="AY13" s="144"/>
      <c r="AZ13" s="144"/>
      <c r="BA13" s="144"/>
      <c r="BB13" s="144"/>
      <c r="BC13" s="145"/>
      <c r="BD13" s="137"/>
      <c r="BE13" s="143"/>
      <c r="BF13" s="144"/>
      <c r="BG13" s="144"/>
      <c r="BH13" s="144"/>
      <c r="BI13" s="144"/>
      <c r="BJ13" s="144"/>
      <c r="BK13" s="144"/>
      <c r="BL13" s="144"/>
      <c r="BM13" s="144"/>
      <c r="BN13" s="145"/>
    </row>
    <row r="14" spans="1:66" s="15" customFormat="1" ht="9" customHeight="1" x14ac:dyDescent="0.25"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135"/>
      <c r="M14" s="138"/>
      <c r="N14" s="139"/>
      <c r="O14" s="139"/>
      <c r="P14" s="139"/>
      <c r="Q14" s="139"/>
      <c r="R14" s="139"/>
      <c r="S14" s="139"/>
      <c r="T14" s="139"/>
      <c r="U14" s="139"/>
      <c r="V14" s="140"/>
      <c r="W14" s="136"/>
      <c r="X14" s="141"/>
      <c r="Y14" s="139"/>
      <c r="Z14" s="139"/>
      <c r="AA14" s="139"/>
      <c r="AB14" s="139"/>
      <c r="AC14" s="139"/>
      <c r="AD14" s="139"/>
      <c r="AE14" s="139"/>
      <c r="AF14" s="139"/>
      <c r="AG14" s="142"/>
      <c r="AH14" s="137"/>
      <c r="AI14" s="141"/>
      <c r="AJ14" s="139"/>
      <c r="AK14" s="139"/>
      <c r="AL14" s="139"/>
      <c r="AM14" s="139"/>
      <c r="AN14" s="139"/>
      <c r="AO14" s="139"/>
      <c r="AP14" s="139"/>
      <c r="AQ14" s="139"/>
      <c r="AR14" s="142"/>
      <c r="AS14" s="137"/>
      <c r="AT14" s="143"/>
      <c r="AU14" s="144"/>
      <c r="AV14" s="144"/>
      <c r="AW14" s="144"/>
      <c r="AX14" s="144"/>
      <c r="AY14" s="144"/>
      <c r="AZ14" s="144"/>
      <c r="BA14" s="144"/>
      <c r="BB14" s="144"/>
      <c r="BC14" s="145"/>
      <c r="BD14" s="137"/>
      <c r="BE14" s="143"/>
      <c r="BF14" s="144"/>
      <c r="BG14" s="144"/>
      <c r="BH14" s="144"/>
      <c r="BI14" s="144"/>
      <c r="BJ14" s="144"/>
      <c r="BK14" s="144"/>
      <c r="BL14" s="144"/>
      <c r="BM14" s="144"/>
      <c r="BN14" s="145"/>
    </row>
    <row r="15" spans="1:66" s="15" customFormat="1" ht="9" customHeight="1" x14ac:dyDescent="0.25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135"/>
      <c r="M15" s="138"/>
      <c r="N15" s="139"/>
      <c r="O15" s="139"/>
      <c r="P15" s="139"/>
      <c r="Q15" s="139"/>
      <c r="R15" s="139"/>
      <c r="S15" s="139"/>
      <c r="T15" s="139"/>
      <c r="U15" s="139"/>
      <c r="V15" s="140"/>
      <c r="W15" s="136"/>
      <c r="X15" s="141"/>
      <c r="Y15" s="139"/>
      <c r="Z15" s="139"/>
      <c r="AA15" s="139"/>
      <c r="AB15" s="139"/>
      <c r="AC15" s="139"/>
      <c r="AD15" s="139"/>
      <c r="AE15" s="139"/>
      <c r="AF15" s="139"/>
      <c r="AG15" s="142"/>
      <c r="AH15" s="137"/>
      <c r="AI15" s="141"/>
      <c r="AJ15" s="139"/>
      <c r="AK15" s="139"/>
      <c r="AL15" s="139"/>
      <c r="AM15" s="139"/>
      <c r="AN15" s="139"/>
      <c r="AO15" s="139"/>
      <c r="AP15" s="139"/>
      <c r="AQ15" s="139"/>
      <c r="AR15" s="142"/>
      <c r="AS15" s="137"/>
      <c r="AT15" s="143"/>
      <c r="AU15" s="144"/>
      <c r="AV15" s="144"/>
      <c r="AW15" s="144"/>
      <c r="AX15" s="144"/>
      <c r="AY15" s="144"/>
      <c r="AZ15" s="144"/>
      <c r="BA15" s="144"/>
      <c r="BB15" s="144"/>
      <c r="BC15" s="145"/>
      <c r="BD15" s="137"/>
      <c r="BE15" s="143"/>
      <c r="BF15" s="144"/>
      <c r="BG15" s="144"/>
      <c r="BH15" s="144"/>
      <c r="BI15" s="144"/>
      <c r="BJ15" s="144"/>
      <c r="BK15" s="144"/>
      <c r="BL15" s="144"/>
      <c r="BM15" s="144"/>
      <c r="BN15" s="145"/>
    </row>
    <row r="16" spans="1:66" s="15" customFormat="1" ht="9" customHeight="1" x14ac:dyDescent="0.25">
      <c r="B16" s="283"/>
      <c r="C16" s="283"/>
      <c r="D16" s="283"/>
      <c r="E16" s="283"/>
      <c r="F16" s="283"/>
      <c r="G16" s="283"/>
      <c r="H16" s="283"/>
      <c r="I16" s="283"/>
      <c r="J16" s="283"/>
      <c r="K16" s="283"/>
      <c r="L16" s="135"/>
      <c r="M16" s="146"/>
      <c r="N16" s="144"/>
      <c r="O16" s="144"/>
      <c r="P16" s="144"/>
      <c r="Q16" s="144"/>
      <c r="R16" s="144"/>
      <c r="S16" s="258" t="s">
        <v>3</v>
      </c>
      <c r="T16" s="259"/>
      <c r="U16" s="259" t="s">
        <v>4</v>
      </c>
      <c r="V16" s="324"/>
      <c r="W16" s="136"/>
      <c r="X16" s="143"/>
      <c r="Y16" s="144"/>
      <c r="Z16" s="144"/>
      <c r="AA16" s="144"/>
      <c r="AB16" s="144"/>
      <c r="AC16" s="144"/>
      <c r="AD16" s="144"/>
      <c r="AE16" s="144"/>
      <c r="AF16" s="144"/>
      <c r="AG16" s="145"/>
      <c r="AH16" s="137"/>
      <c r="AI16" s="143"/>
      <c r="AJ16" s="144"/>
      <c r="AK16" s="144"/>
      <c r="AL16" s="144"/>
      <c r="AM16" s="144"/>
      <c r="AN16" s="144"/>
      <c r="AO16" s="144"/>
      <c r="AP16" s="144"/>
      <c r="AQ16" s="144"/>
      <c r="AR16" s="145"/>
      <c r="AS16" s="137"/>
      <c r="AT16" s="143"/>
      <c r="AU16" s="144"/>
      <c r="AV16" s="144"/>
      <c r="AW16" s="144"/>
      <c r="AX16" s="144"/>
      <c r="AY16" s="144"/>
      <c r="AZ16" s="144"/>
      <c r="BA16" s="144"/>
      <c r="BB16" s="144"/>
      <c r="BC16" s="145"/>
      <c r="BD16" s="137"/>
      <c r="BE16" s="143"/>
      <c r="BF16" s="144"/>
      <c r="BG16" s="144"/>
      <c r="BH16" s="144"/>
      <c r="BI16" s="144"/>
      <c r="BJ16" s="144"/>
      <c r="BK16" s="144"/>
      <c r="BL16" s="144"/>
      <c r="BM16" s="144"/>
      <c r="BN16" s="145"/>
    </row>
    <row r="17" spans="2:66" s="15" customFormat="1" ht="9" customHeight="1" x14ac:dyDescent="0.25">
      <c r="B17" s="315"/>
      <c r="C17" s="316"/>
      <c r="D17" s="316"/>
      <c r="E17" s="316"/>
      <c r="F17" s="316"/>
      <c r="G17" s="316"/>
      <c r="H17" s="316"/>
      <c r="I17" s="316"/>
      <c r="J17" s="316"/>
      <c r="K17" s="317"/>
      <c r="L17" s="135"/>
      <c r="M17" s="261" t="s">
        <v>96</v>
      </c>
      <c r="N17" s="261"/>
      <c r="O17" s="261"/>
      <c r="P17" s="261"/>
      <c r="Q17" s="261"/>
      <c r="R17" s="261"/>
      <c r="S17" s="262">
        <v>3100</v>
      </c>
      <c r="T17" s="262"/>
      <c r="U17" s="262"/>
      <c r="V17" s="262"/>
      <c r="W17" s="136"/>
      <c r="X17" s="141"/>
      <c r="Y17" s="139"/>
      <c r="Z17" s="139"/>
      <c r="AA17" s="139"/>
      <c r="AB17" s="139"/>
      <c r="AC17" s="139"/>
      <c r="AD17" s="137"/>
      <c r="AE17" s="137"/>
      <c r="AF17" s="137"/>
      <c r="AG17" s="145"/>
      <c r="AH17" s="137"/>
      <c r="AI17" s="141"/>
      <c r="AJ17" s="139"/>
      <c r="AK17" s="139"/>
      <c r="AL17" s="139"/>
      <c r="AM17" s="139"/>
      <c r="AN17" s="139"/>
      <c r="AO17" s="137"/>
      <c r="AP17" s="137"/>
      <c r="AQ17" s="137"/>
      <c r="AR17" s="145"/>
      <c r="AS17" s="137"/>
      <c r="AT17" s="143" t="s">
        <v>579</v>
      </c>
      <c r="AU17" s="144"/>
      <c r="AV17" s="144"/>
      <c r="AW17" s="144"/>
      <c r="AX17" s="144"/>
      <c r="AY17" s="144"/>
      <c r="AZ17" s="258" t="s">
        <v>3</v>
      </c>
      <c r="BA17" s="259"/>
      <c r="BB17" s="259" t="s">
        <v>4</v>
      </c>
      <c r="BC17" s="260"/>
      <c r="BD17" s="137"/>
      <c r="BE17" s="143"/>
      <c r="BF17" s="144"/>
      <c r="BG17" s="144"/>
      <c r="BH17" s="144"/>
      <c r="BI17" s="144"/>
      <c r="BJ17" s="144"/>
      <c r="BK17" s="144"/>
      <c r="BL17" s="144"/>
      <c r="BM17" s="144"/>
      <c r="BN17" s="145"/>
    </row>
    <row r="18" spans="2:66" s="15" customFormat="1" ht="9" customHeight="1" x14ac:dyDescent="0.25">
      <c r="B18" s="318"/>
      <c r="C18" s="319"/>
      <c r="D18" s="319"/>
      <c r="E18" s="319"/>
      <c r="F18" s="319"/>
      <c r="G18" s="319"/>
      <c r="H18" s="319"/>
      <c r="I18" s="319"/>
      <c r="J18" s="319"/>
      <c r="K18" s="320"/>
      <c r="L18" s="135"/>
      <c r="M18" s="261" t="s">
        <v>773</v>
      </c>
      <c r="N18" s="261"/>
      <c r="O18" s="261"/>
      <c r="P18" s="261"/>
      <c r="Q18" s="261"/>
      <c r="R18" s="261"/>
      <c r="S18" s="262">
        <v>5550</v>
      </c>
      <c r="T18" s="262"/>
      <c r="U18" s="262"/>
      <c r="V18" s="262"/>
      <c r="W18" s="136"/>
      <c r="X18" s="143"/>
      <c r="Y18" s="137"/>
      <c r="Z18" s="137"/>
      <c r="AA18" s="137"/>
      <c r="AB18" s="137"/>
      <c r="AC18" s="137"/>
      <c r="AD18" s="277" t="s">
        <v>3</v>
      </c>
      <c r="AE18" s="278"/>
      <c r="AF18" s="278" t="s">
        <v>4</v>
      </c>
      <c r="AG18" s="279"/>
      <c r="AH18" s="137"/>
      <c r="AI18" s="143"/>
      <c r="AJ18" s="137"/>
      <c r="AK18" s="137"/>
      <c r="AL18" s="137"/>
      <c r="AM18" s="137"/>
      <c r="AN18" s="137"/>
      <c r="AO18" s="277" t="s">
        <v>3</v>
      </c>
      <c r="AP18" s="278"/>
      <c r="AQ18" s="278" t="s">
        <v>4</v>
      </c>
      <c r="AR18" s="279"/>
      <c r="AS18" s="137"/>
      <c r="AT18" s="261" t="s">
        <v>96</v>
      </c>
      <c r="AU18" s="261"/>
      <c r="AV18" s="261"/>
      <c r="AW18" s="261"/>
      <c r="AX18" s="261"/>
      <c r="AY18" s="261"/>
      <c r="AZ18" s="262">
        <v>9115</v>
      </c>
      <c r="BA18" s="262"/>
      <c r="BB18" s="262"/>
      <c r="BC18" s="262"/>
      <c r="BD18" s="137"/>
      <c r="BE18" s="143"/>
      <c r="BF18" s="144"/>
      <c r="BG18" s="144"/>
      <c r="BH18" s="144"/>
      <c r="BI18" s="144"/>
      <c r="BJ18" s="144"/>
      <c r="BK18" s="144"/>
      <c r="BL18" s="144"/>
      <c r="BM18" s="144"/>
      <c r="BN18" s="145"/>
    </row>
    <row r="19" spans="2:66" s="15" customFormat="1" ht="9" customHeight="1" x14ac:dyDescent="0.25">
      <c r="B19" s="321"/>
      <c r="C19" s="322"/>
      <c r="D19" s="322"/>
      <c r="E19" s="322"/>
      <c r="F19" s="322"/>
      <c r="G19" s="322"/>
      <c r="H19" s="322"/>
      <c r="I19" s="322"/>
      <c r="J19" s="322"/>
      <c r="K19" s="323"/>
      <c r="L19" s="135"/>
      <c r="M19" s="261" t="s">
        <v>774</v>
      </c>
      <c r="N19" s="261"/>
      <c r="O19" s="261"/>
      <c r="P19" s="261"/>
      <c r="Q19" s="261"/>
      <c r="R19" s="261"/>
      <c r="S19" s="262">
        <v>5550</v>
      </c>
      <c r="T19" s="262"/>
      <c r="U19" s="262"/>
      <c r="V19" s="262"/>
      <c r="W19" s="147"/>
      <c r="X19" s="261" t="s">
        <v>760</v>
      </c>
      <c r="Y19" s="261"/>
      <c r="Z19" s="261"/>
      <c r="AA19" s="261"/>
      <c r="AB19" s="261"/>
      <c r="AC19" s="261"/>
      <c r="AD19" s="262">
        <v>13330</v>
      </c>
      <c r="AE19" s="262"/>
      <c r="AF19" s="262"/>
      <c r="AG19" s="262"/>
      <c r="AH19" s="163"/>
      <c r="AI19" s="261" t="s">
        <v>761</v>
      </c>
      <c r="AJ19" s="261"/>
      <c r="AK19" s="261"/>
      <c r="AL19" s="261"/>
      <c r="AM19" s="261"/>
      <c r="AN19" s="261"/>
      <c r="AO19" s="262">
        <v>19405</v>
      </c>
      <c r="AP19" s="262"/>
      <c r="AQ19" s="262"/>
      <c r="AR19" s="262"/>
      <c r="AS19" s="163"/>
      <c r="AT19" s="261" t="s">
        <v>762</v>
      </c>
      <c r="AU19" s="261"/>
      <c r="AV19" s="261"/>
      <c r="AW19" s="261"/>
      <c r="AX19" s="261"/>
      <c r="AY19" s="261"/>
      <c r="AZ19" s="262">
        <v>12740</v>
      </c>
      <c r="BA19" s="262"/>
      <c r="BB19" s="262"/>
      <c r="BC19" s="262"/>
      <c r="BD19" s="163"/>
      <c r="BE19" s="261" t="s">
        <v>8</v>
      </c>
      <c r="BF19" s="261"/>
      <c r="BG19" s="261"/>
      <c r="BH19" s="261"/>
      <c r="BI19" s="261"/>
      <c r="BJ19" s="261"/>
      <c r="BK19" s="262">
        <v>5515</v>
      </c>
      <c r="BL19" s="262"/>
      <c r="BM19" s="262"/>
      <c r="BN19" s="262"/>
    </row>
    <row r="20" spans="2:66" s="15" customFormat="1" ht="2.1" customHeight="1" x14ac:dyDescent="0.25">
      <c r="B20" s="248"/>
      <c r="C20" s="248"/>
      <c r="D20" s="248"/>
      <c r="E20" s="248"/>
      <c r="F20" s="248"/>
      <c r="G20" s="248"/>
      <c r="H20" s="248"/>
      <c r="I20" s="248"/>
      <c r="J20" s="248"/>
      <c r="K20" s="248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/>
      <c r="BE20" s="137"/>
      <c r="BF20" s="137"/>
      <c r="BG20" s="137"/>
      <c r="BH20" s="137"/>
      <c r="BI20" s="137"/>
      <c r="BJ20" s="137"/>
      <c r="BK20" s="137"/>
      <c r="BL20" s="137"/>
      <c r="BM20" s="137"/>
      <c r="BN20" s="137"/>
    </row>
    <row r="21" spans="2:66" s="15" customFormat="1" ht="9" customHeight="1" x14ac:dyDescent="0.25">
      <c r="B21" s="283" t="s">
        <v>738</v>
      </c>
      <c r="C21" s="283"/>
      <c r="D21" s="283"/>
      <c r="E21" s="283"/>
      <c r="F21" s="283"/>
      <c r="G21" s="283"/>
      <c r="H21" s="283"/>
      <c r="I21" s="283"/>
      <c r="J21" s="283"/>
      <c r="K21" s="283"/>
      <c r="L21" s="137"/>
      <c r="M21" s="269" t="s">
        <v>21</v>
      </c>
      <c r="N21" s="270"/>
      <c r="O21" s="271"/>
      <c r="P21" s="280" t="s">
        <v>581</v>
      </c>
      <c r="Q21" s="281"/>
      <c r="R21" s="281"/>
      <c r="S21" s="281"/>
      <c r="T21" s="281"/>
      <c r="U21" s="281"/>
      <c r="V21" s="282"/>
      <c r="W21" s="137"/>
      <c r="X21" s="269" t="s">
        <v>24</v>
      </c>
      <c r="Y21" s="270"/>
      <c r="Z21" s="271"/>
      <c r="AA21" s="280" t="s">
        <v>581</v>
      </c>
      <c r="AB21" s="281"/>
      <c r="AC21" s="281"/>
      <c r="AD21" s="281"/>
      <c r="AE21" s="281"/>
      <c r="AF21" s="281"/>
      <c r="AG21" s="282"/>
      <c r="AH21" s="137"/>
      <c r="AI21" s="269" t="s">
        <v>23</v>
      </c>
      <c r="AJ21" s="270"/>
      <c r="AK21" s="271"/>
      <c r="AL21" s="280" t="s">
        <v>581</v>
      </c>
      <c r="AM21" s="281"/>
      <c r="AN21" s="281"/>
      <c r="AO21" s="281"/>
      <c r="AP21" s="281"/>
      <c r="AQ21" s="281"/>
      <c r="AR21" s="282"/>
      <c r="AS21" s="137"/>
      <c r="AT21" s="269" t="s">
        <v>17</v>
      </c>
      <c r="AU21" s="270"/>
      <c r="AV21" s="271"/>
      <c r="AW21" s="253" t="s">
        <v>627</v>
      </c>
      <c r="AX21" s="254"/>
      <c r="AY21" s="254"/>
      <c r="AZ21" s="254"/>
      <c r="BA21" s="254"/>
      <c r="BB21" s="254"/>
      <c r="BC21" s="255"/>
      <c r="BD21" s="137"/>
      <c r="BE21" s="269" t="s">
        <v>18</v>
      </c>
      <c r="BF21" s="270"/>
      <c r="BG21" s="271"/>
      <c r="BH21" s="253" t="s">
        <v>628</v>
      </c>
      <c r="BI21" s="254"/>
      <c r="BJ21" s="254"/>
      <c r="BK21" s="254"/>
      <c r="BL21" s="254"/>
      <c r="BM21" s="254"/>
      <c r="BN21" s="255"/>
    </row>
    <row r="22" spans="2:66" s="15" customFormat="1" ht="9" customHeight="1" x14ac:dyDescent="0.25"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137"/>
      <c r="M22" s="266" t="s">
        <v>582</v>
      </c>
      <c r="N22" s="267"/>
      <c r="O22" s="267"/>
      <c r="P22" s="267"/>
      <c r="Q22" s="267"/>
      <c r="R22" s="267"/>
      <c r="S22" s="267"/>
      <c r="T22" s="267"/>
      <c r="U22" s="267"/>
      <c r="V22" s="268"/>
      <c r="W22" s="137"/>
      <c r="X22" s="266" t="s">
        <v>583</v>
      </c>
      <c r="Y22" s="267"/>
      <c r="Z22" s="267"/>
      <c r="AA22" s="267"/>
      <c r="AB22" s="267"/>
      <c r="AC22" s="267"/>
      <c r="AD22" s="267"/>
      <c r="AE22" s="267"/>
      <c r="AF22" s="267"/>
      <c r="AG22" s="268"/>
      <c r="AH22" s="137"/>
      <c r="AI22" s="266" t="s">
        <v>583</v>
      </c>
      <c r="AJ22" s="267"/>
      <c r="AK22" s="267"/>
      <c r="AL22" s="267"/>
      <c r="AM22" s="267"/>
      <c r="AN22" s="267"/>
      <c r="AO22" s="267"/>
      <c r="AP22" s="267"/>
      <c r="AQ22" s="267"/>
      <c r="AR22" s="268"/>
      <c r="AS22" s="137"/>
      <c r="AT22" s="266" t="s">
        <v>624</v>
      </c>
      <c r="AU22" s="267"/>
      <c r="AV22" s="267"/>
      <c r="AW22" s="267"/>
      <c r="AX22" s="267"/>
      <c r="AY22" s="267"/>
      <c r="AZ22" s="267"/>
      <c r="BA22" s="267"/>
      <c r="BB22" s="267"/>
      <c r="BC22" s="268"/>
      <c r="BD22" s="137"/>
      <c r="BE22" s="266" t="s">
        <v>585</v>
      </c>
      <c r="BF22" s="267"/>
      <c r="BG22" s="267"/>
      <c r="BH22" s="267"/>
      <c r="BI22" s="267"/>
      <c r="BJ22" s="267"/>
      <c r="BK22" s="267"/>
      <c r="BL22" s="267"/>
      <c r="BM22" s="267"/>
      <c r="BN22" s="268"/>
    </row>
    <row r="23" spans="2:66" s="15" customFormat="1" ht="9" customHeight="1" x14ac:dyDescent="0.25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137"/>
      <c r="M23" s="266" t="s">
        <v>580</v>
      </c>
      <c r="N23" s="267"/>
      <c r="O23" s="267"/>
      <c r="P23" s="267"/>
      <c r="Q23" s="267"/>
      <c r="R23" s="267"/>
      <c r="S23" s="267"/>
      <c r="T23" s="267"/>
      <c r="U23" s="267"/>
      <c r="V23" s="268"/>
      <c r="W23" s="137"/>
      <c r="X23" s="266" t="s">
        <v>584</v>
      </c>
      <c r="Y23" s="267"/>
      <c r="Z23" s="267"/>
      <c r="AA23" s="267"/>
      <c r="AB23" s="267"/>
      <c r="AC23" s="267"/>
      <c r="AD23" s="267"/>
      <c r="AE23" s="267"/>
      <c r="AF23" s="267"/>
      <c r="AG23" s="268"/>
      <c r="AH23" s="137"/>
      <c r="AI23" s="266" t="s">
        <v>584</v>
      </c>
      <c r="AJ23" s="267"/>
      <c r="AK23" s="267"/>
      <c r="AL23" s="267"/>
      <c r="AM23" s="267"/>
      <c r="AN23" s="267"/>
      <c r="AO23" s="267"/>
      <c r="AP23" s="267"/>
      <c r="AQ23" s="267"/>
      <c r="AR23" s="268"/>
      <c r="AS23" s="137"/>
      <c r="AT23" s="143"/>
      <c r="AU23" s="144"/>
      <c r="AV23" s="144"/>
      <c r="AW23" s="144"/>
      <c r="AX23" s="144"/>
      <c r="AY23" s="144"/>
      <c r="AZ23" s="144"/>
      <c r="BA23" s="144"/>
      <c r="BB23" s="144"/>
      <c r="BC23" s="145"/>
      <c r="BD23" s="137"/>
      <c r="BE23" s="143"/>
      <c r="BF23" s="144"/>
      <c r="BG23" s="144"/>
      <c r="BH23" s="144"/>
      <c r="BI23" s="144"/>
      <c r="BJ23" s="144"/>
      <c r="BK23" s="144"/>
      <c r="BL23" s="144"/>
      <c r="BM23" s="144"/>
      <c r="BN23" s="145"/>
    </row>
    <row r="24" spans="2:66" s="15" customFormat="1" ht="9" customHeight="1" x14ac:dyDescent="0.25"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137"/>
      <c r="M24" s="143"/>
      <c r="N24" s="144"/>
      <c r="O24" s="144"/>
      <c r="P24" s="144"/>
      <c r="Q24" s="144"/>
      <c r="R24" s="144"/>
      <c r="S24" s="144"/>
      <c r="T24" s="144"/>
      <c r="U24" s="144"/>
      <c r="V24" s="145"/>
      <c r="W24" s="137"/>
      <c r="X24" s="143"/>
      <c r="Y24" s="144"/>
      <c r="Z24" s="144"/>
      <c r="AA24" s="144"/>
      <c r="AB24" s="144"/>
      <c r="AC24" s="144"/>
      <c r="AD24" s="144"/>
      <c r="AE24" s="144"/>
      <c r="AF24" s="144"/>
      <c r="AG24" s="145"/>
      <c r="AH24" s="137"/>
      <c r="AI24" s="143"/>
      <c r="AJ24" s="144"/>
      <c r="AK24" s="144"/>
      <c r="AL24" s="144"/>
      <c r="AM24" s="144"/>
      <c r="AN24" s="144"/>
      <c r="AO24" s="144"/>
      <c r="AP24" s="144"/>
      <c r="AQ24" s="144"/>
      <c r="AR24" s="145"/>
      <c r="AS24" s="137"/>
      <c r="AT24" s="143"/>
      <c r="AU24" s="144"/>
      <c r="AV24" s="144"/>
      <c r="AW24" s="144"/>
      <c r="AX24" s="144"/>
      <c r="AY24" s="144"/>
      <c r="AZ24" s="144"/>
      <c r="BA24" s="144"/>
      <c r="BB24" s="144"/>
      <c r="BC24" s="145"/>
      <c r="BD24" s="137"/>
      <c r="BE24" s="143"/>
      <c r="BF24" s="144"/>
      <c r="BG24" s="144"/>
      <c r="BH24" s="144"/>
      <c r="BI24" s="144"/>
      <c r="BJ24" s="144"/>
      <c r="BK24" s="144"/>
      <c r="BL24" s="144"/>
      <c r="BM24" s="144"/>
      <c r="BN24" s="145"/>
    </row>
    <row r="25" spans="2:66" s="15" customFormat="1" ht="9" customHeight="1" x14ac:dyDescent="0.25"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137"/>
      <c r="M25" s="143"/>
      <c r="N25" s="144"/>
      <c r="O25" s="144"/>
      <c r="P25" s="144"/>
      <c r="Q25" s="144"/>
      <c r="R25" s="144"/>
      <c r="S25" s="144"/>
      <c r="T25" s="144"/>
      <c r="U25" s="144"/>
      <c r="V25" s="145"/>
      <c r="W25" s="137"/>
      <c r="X25" s="143"/>
      <c r="Y25" s="144"/>
      <c r="Z25" s="144"/>
      <c r="AA25" s="144"/>
      <c r="AB25" s="144"/>
      <c r="AC25" s="144"/>
      <c r="AD25" s="144"/>
      <c r="AE25" s="144"/>
      <c r="AF25" s="144"/>
      <c r="AG25" s="145"/>
      <c r="AH25" s="137"/>
      <c r="AI25" s="143"/>
      <c r="AJ25" s="144"/>
      <c r="AK25" s="144"/>
      <c r="AL25" s="144"/>
      <c r="AM25" s="144"/>
      <c r="AN25" s="144"/>
      <c r="AO25" s="144"/>
      <c r="AP25" s="144"/>
      <c r="AQ25" s="144"/>
      <c r="AR25" s="145"/>
      <c r="AS25" s="137"/>
      <c r="AT25" s="143"/>
      <c r="AU25" s="144"/>
      <c r="AV25" s="144"/>
      <c r="AW25" s="144"/>
      <c r="AX25" s="144"/>
      <c r="AY25" s="144"/>
      <c r="AZ25" s="144"/>
      <c r="BA25" s="144"/>
      <c r="BB25" s="144"/>
      <c r="BC25" s="145"/>
      <c r="BD25" s="137"/>
      <c r="BE25" s="143"/>
      <c r="BF25" s="144"/>
      <c r="BG25" s="144"/>
      <c r="BH25" s="144"/>
      <c r="BI25" s="144"/>
      <c r="BJ25" s="144"/>
      <c r="BK25" s="144"/>
      <c r="BL25" s="144"/>
      <c r="BM25" s="144"/>
      <c r="BN25" s="145"/>
    </row>
    <row r="26" spans="2:66" s="15" customFormat="1" ht="9" customHeight="1" x14ac:dyDescent="0.25">
      <c r="B26" s="283"/>
      <c r="C26" s="283"/>
      <c r="D26" s="283"/>
      <c r="E26" s="283"/>
      <c r="F26" s="283"/>
      <c r="G26" s="283"/>
      <c r="H26" s="283"/>
      <c r="I26" s="283"/>
      <c r="J26" s="283"/>
      <c r="K26" s="283"/>
      <c r="L26" s="137"/>
      <c r="M26" s="143"/>
      <c r="N26" s="144"/>
      <c r="O26" s="144"/>
      <c r="P26" s="144"/>
      <c r="Q26" s="144"/>
      <c r="R26" s="144"/>
      <c r="S26" s="144"/>
      <c r="T26" s="144"/>
      <c r="U26" s="144"/>
      <c r="V26" s="145"/>
      <c r="W26" s="137"/>
      <c r="X26" s="143"/>
      <c r="Y26" s="144"/>
      <c r="Z26" s="144"/>
      <c r="AA26" s="144"/>
      <c r="AB26" s="144"/>
      <c r="AC26" s="144"/>
      <c r="AD26" s="144"/>
      <c r="AE26" s="144"/>
      <c r="AF26" s="144"/>
      <c r="AG26" s="145"/>
      <c r="AH26" s="137"/>
      <c r="AI26" s="143"/>
      <c r="AJ26" s="144"/>
      <c r="AK26" s="144"/>
      <c r="AL26" s="144"/>
      <c r="AM26" s="144"/>
      <c r="AN26" s="144"/>
      <c r="AO26" s="144"/>
      <c r="AP26" s="144"/>
      <c r="AQ26" s="144"/>
      <c r="AR26" s="145"/>
      <c r="AS26" s="137"/>
      <c r="AT26" s="143"/>
      <c r="AU26" s="144"/>
      <c r="AV26" s="144"/>
      <c r="AW26" s="144"/>
      <c r="AX26" s="144"/>
      <c r="AY26" s="144"/>
      <c r="AZ26" s="144"/>
      <c r="BA26" s="144"/>
      <c r="BB26" s="144"/>
      <c r="BC26" s="145"/>
      <c r="BD26" s="137"/>
      <c r="BE26" s="143"/>
      <c r="BF26" s="144"/>
      <c r="BG26" s="144"/>
      <c r="BH26" s="144"/>
      <c r="BI26" s="144"/>
      <c r="BJ26" s="144"/>
      <c r="BK26" s="144"/>
      <c r="BL26" s="144"/>
      <c r="BM26" s="144"/>
      <c r="BN26" s="145"/>
    </row>
    <row r="27" spans="2:66" s="15" customFormat="1" ht="9" customHeight="1" x14ac:dyDescent="0.25">
      <c r="B27" s="283"/>
      <c r="C27" s="283"/>
      <c r="D27" s="283"/>
      <c r="E27" s="283"/>
      <c r="F27" s="283"/>
      <c r="G27" s="283"/>
      <c r="H27" s="283"/>
      <c r="I27" s="283"/>
      <c r="J27" s="283"/>
      <c r="K27" s="283"/>
      <c r="L27" s="137"/>
      <c r="M27" s="143"/>
      <c r="N27" s="144"/>
      <c r="O27" s="144"/>
      <c r="P27" s="144"/>
      <c r="Q27" s="144"/>
      <c r="R27" s="144"/>
      <c r="S27" s="144"/>
      <c r="T27" s="144"/>
      <c r="U27" s="144"/>
      <c r="V27" s="145"/>
      <c r="W27" s="137"/>
      <c r="X27" s="143"/>
      <c r="Y27" s="144"/>
      <c r="Z27" s="144"/>
      <c r="AA27" s="144"/>
      <c r="AB27" s="144"/>
      <c r="AC27" s="144"/>
      <c r="AD27" s="144"/>
      <c r="AE27" s="144"/>
      <c r="AF27" s="144"/>
      <c r="AG27" s="145"/>
      <c r="AH27" s="137"/>
      <c r="AI27" s="143"/>
      <c r="AJ27" s="144"/>
      <c r="AK27" s="144"/>
      <c r="AL27" s="144"/>
      <c r="AM27" s="144"/>
      <c r="AN27" s="144"/>
      <c r="AO27" s="144"/>
      <c r="AP27" s="144"/>
      <c r="AQ27" s="144"/>
      <c r="AR27" s="145"/>
      <c r="AS27" s="137"/>
      <c r="AT27" s="143"/>
      <c r="AU27" s="144"/>
      <c r="AV27" s="144"/>
      <c r="AW27" s="144"/>
      <c r="AX27" s="144"/>
      <c r="AY27" s="144"/>
      <c r="AZ27" s="144"/>
      <c r="BA27" s="144"/>
      <c r="BB27" s="144"/>
      <c r="BC27" s="145"/>
      <c r="BD27" s="137"/>
      <c r="BE27" s="143"/>
      <c r="BF27" s="144"/>
      <c r="BG27" s="144"/>
      <c r="BH27" s="144"/>
      <c r="BI27" s="144"/>
      <c r="BJ27" s="144"/>
      <c r="BK27" s="144"/>
      <c r="BL27" s="144"/>
      <c r="BM27" s="144"/>
      <c r="BN27" s="145"/>
    </row>
    <row r="28" spans="2:66" s="15" customFormat="1" ht="9" customHeight="1" x14ac:dyDescent="0.25">
      <c r="B28" s="283"/>
      <c r="C28" s="283"/>
      <c r="D28" s="283"/>
      <c r="E28" s="283"/>
      <c r="F28" s="283"/>
      <c r="G28" s="283"/>
      <c r="H28" s="283"/>
      <c r="I28" s="283"/>
      <c r="J28" s="283"/>
      <c r="K28" s="283"/>
      <c r="L28" s="137"/>
      <c r="M28" s="143"/>
      <c r="N28" s="144"/>
      <c r="O28" s="144"/>
      <c r="P28" s="144"/>
      <c r="Q28" s="144"/>
      <c r="R28" s="144"/>
      <c r="S28" s="144"/>
      <c r="T28" s="144"/>
      <c r="U28" s="144"/>
      <c r="V28" s="145"/>
      <c r="W28" s="137"/>
      <c r="X28" s="143"/>
      <c r="Y28" s="144"/>
      <c r="Z28" s="144"/>
      <c r="AA28" s="144"/>
      <c r="AB28" s="144"/>
      <c r="AC28" s="144"/>
      <c r="AD28" s="144"/>
      <c r="AE28" s="144"/>
      <c r="AF28" s="144"/>
      <c r="AG28" s="145"/>
      <c r="AH28" s="137"/>
      <c r="AI28" s="143"/>
      <c r="AJ28" s="144"/>
      <c r="AK28" s="144"/>
      <c r="AL28" s="144"/>
      <c r="AM28" s="144"/>
      <c r="AN28" s="144"/>
      <c r="AO28" s="144"/>
      <c r="AP28" s="144"/>
      <c r="AQ28" s="144"/>
      <c r="AR28" s="145"/>
      <c r="AS28" s="137"/>
      <c r="AT28" s="143"/>
      <c r="AU28" s="144"/>
      <c r="AV28" s="144"/>
      <c r="AW28" s="144"/>
      <c r="AX28" s="144"/>
      <c r="AY28" s="144"/>
      <c r="AZ28" s="144"/>
      <c r="BA28" s="144"/>
      <c r="BB28" s="144"/>
      <c r="BC28" s="145"/>
      <c r="BD28" s="137"/>
      <c r="BE28" s="143"/>
      <c r="BF28" s="144"/>
      <c r="BG28" s="144"/>
      <c r="BH28" s="144"/>
      <c r="BI28" s="144"/>
      <c r="BJ28" s="144"/>
      <c r="BK28" s="144"/>
      <c r="BL28" s="144"/>
      <c r="BM28" s="144"/>
      <c r="BN28" s="145"/>
    </row>
    <row r="29" spans="2:66" s="15" customFormat="1" ht="9" customHeight="1" x14ac:dyDescent="0.25">
      <c r="B29" s="283"/>
      <c r="C29" s="283"/>
      <c r="D29" s="283"/>
      <c r="E29" s="283"/>
      <c r="F29" s="283"/>
      <c r="G29" s="283"/>
      <c r="H29" s="283"/>
      <c r="I29" s="283"/>
      <c r="J29" s="283"/>
      <c r="K29" s="283"/>
      <c r="L29" s="137"/>
      <c r="M29" s="143"/>
      <c r="N29" s="144"/>
      <c r="O29" s="144"/>
      <c r="P29" s="144"/>
      <c r="Q29" s="144"/>
      <c r="R29" s="144"/>
      <c r="S29" s="144"/>
      <c r="T29" s="144"/>
      <c r="U29" s="144"/>
      <c r="V29" s="145"/>
      <c r="W29" s="137"/>
      <c r="X29" s="143"/>
      <c r="Y29" s="144"/>
      <c r="Z29" s="144"/>
      <c r="AA29" s="144"/>
      <c r="AB29" s="144"/>
      <c r="AC29" s="144"/>
      <c r="AD29" s="144"/>
      <c r="AE29" s="144"/>
      <c r="AF29" s="144"/>
      <c r="AG29" s="145"/>
      <c r="AH29" s="137"/>
      <c r="AI29" s="143"/>
      <c r="AJ29" s="144"/>
      <c r="AK29" s="144"/>
      <c r="AL29" s="144"/>
      <c r="AM29" s="144"/>
      <c r="AN29" s="144"/>
      <c r="AO29" s="144"/>
      <c r="AP29" s="144"/>
      <c r="AQ29" s="144"/>
      <c r="AR29" s="145"/>
      <c r="AS29" s="137"/>
      <c r="AT29" s="143"/>
      <c r="AU29" s="144"/>
      <c r="AV29" s="144"/>
      <c r="AW29" s="144"/>
      <c r="AX29" s="144"/>
      <c r="AY29" s="144"/>
      <c r="AZ29" s="144"/>
      <c r="BA29" s="144"/>
      <c r="BB29" s="144"/>
      <c r="BC29" s="145"/>
      <c r="BD29" s="137"/>
      <c r="BE29" s="143"/>
      <c r="BF29" s="144"/>
      <c r="BG29" s="144"/>
      <c r="BH29" s="144"/>
      <c r="BI29" s="144"/>
      <c r="BJ29" s="144"/>
      <c r="BK29" s="144"/>
      <c r="BL29" s="144"/>
      <c r="BM29" s="144"/>
      <c r="BN29" s="145"/>
    </row>
    <row r="30" spans="2:66" s="15" customFormat="1" ht="9" customHeight="1" x14ac:dyDescent="0.25">
      <c r="B30" s="283"/>
      <c r="C30" s="283"/>
      <c r="D30" s="283"/>
      <c r="E30" s="283"/>
      <c r="F30" s="283"/>
      <c r="G30" s="283"/>
      <c r="H30" s="283"/>
      <c r="I30" s="283"/>
      <c r="J30" s="283"/>
      <c r="K30" s="283"/>
      <c r="L30" s="137"/>
      <c r="M30" s="143"/>
      <c r="N30" s="144"/>
      <c r="O30" s="144"/>
      <c r="P30" s="144"/>
      <c r="Q30" s="144"/>
      <c r="R30" s="144"/>
      <c r="S30" s="144"/>
      <c r="T30" s="144"/>
      <c r="U30" s="144"/>
      <c r="V30" s="145"/>
      <c r="W30" s="137"/>
      <c r="X30" s="143"/>
      <c r="Y30" s="144"/>
      <c r="Z30" s="144"/>
      <c r="AA30" s="144"/>
      <c r="AB30" s="144"/>
      <c r="AC30" s="144"/>
      <c r="AD30" s="144"/>
      <c r="AE30" s="144"/>
      <c r="AF30" s="144"/>
      <c r="AG30" s="145"/>
      <c r="AH30" s="137"/>
      <c r="AI30" s="143"/>
      <c r="AJ30" s="144"/>
      <c r="AK30" s="144"/>
      <c r="AL30" s="144"/>
      <c r="AM30" s="144"/>
      <c r="AN30" s="144"/>
      <c r="AO30" s="144"/>
      <c r="AP30" s="144"/>
      <c r="AQ30" s="144"/>
      <c r="AR30" s="145"/>
      <c r="AS30" s="137"/>
      <c r="AT30" s="143"/>
      <c r="AU30" s="144"/>
      <c r="AV30" s="144"/>
      <c r="AW30" s="144"/>
      <c r="AX30" s="144"/>
      <c r="AY30" s="144"/>
      <c r="AZ30" s="144"/>
      <c r="BA30" s="144"/>
      <c r="BB30" s="144"/>
      <c r="BC30" s="145"/>
      <c r="BD30" s="137"/>
      <c r="BE30" s="143"/>
      <c r="BF30" s="144"/>
      <c r="BG30" s="144"/>
      <c r="BH30" s="144"/>
      <c r="BI30" s="144"/>
      <c r="BJ30" s="144"/>
      <c r="BK30" s="144"/>
      <c r="BL30" s="144"/>
      <c r="BM30" s="144"/>
      <c r="BN30" s="145"/>
    </row>
    <row r="31" spans="2:66" s="15" customFormat="1" ht="9" customHeight="1" x14ac:dyDescent="0.25">
      <c r="B31" s="283"/>
      <c r="C31" s="283"/>
      <c r="D31" s="283"/>
      <c r="E31" s="283"/>
      <c r="F31" s="283"/>
      <c r="G31" s="283"/>
      <c r="H31" s="283"/>
      <c r="I31" s="283"/>
      <c r="J31" s="283"/>
      <c r="K31" s="283"/>
      <c r="L31" s="137"/>
      <c r="M31" s="143"/>
      <c r="N31" s="144"/>
      <c r="O31" s="144"/>
      <c r="P31" s="144"/>
      <c r="Q31" s="144"/>
      <c r="R31" s="144"/>
      <c r="S31" s="144"/>
      <c r="T31" s="144"/>
      <c r="U31" s="144"/>
      <c r="V31" s="145"/>
      <c r="W31" s="137"/>
      <c r="X31" s="143"/>
      <c r="Y31" s="144"/>
      <c r="Z31" s="144"/>
      <c r="AA31" s="144"/>
      <c r="AB31" s="144"/>
      <c r="AC31" s="144"/>
      <c r="AD31" s="144"/>
      <c r="AE31" s="144"/>
      <c r="AF31" s="144"/>
      <c r="AG31" s="145"/>
      <c r="AH31" s="137"/>
      <c r="AI31" s="143"/>
      <c r="AJ31" s="144"/>
      <c r="AK31" s="144"/>
      <c r="AL31" s="144"/>
      <c r="AM31" s="144"/>
      <c r="AN31" s="144"/>
      <c r="AO31" s="144"/>
      <c r="AP31" s="144"/>
      <c r="AQ31" s="144"/>
      <c r="AR31" s="145"/>
      <c r="AS31" s="137"/>
      <c r="AT31" s="143"/>
      <c r="AU31" s="144"/>
      <c r="AV31" s="144"/>
      <c r="AW31" s="144"/>
      <c r="AX31" s="144"/>
      <c r="AY31" s="144"/>
      <c r="AZ31" s="144"/>
      <c r="BA31" s="144"/>
      <c r="BB31" s="144"/>
      <c r="BC31" s="145"/>
      <c r="BD31" s="137"/>
      <c r="BE31" s="143"/>
      <c r="BF31" s="144"/>
      <c r="BG31" s="144"/>
      <c r="BH31" s="144"/>
      <c r="BI31" s="144"/>
      <c r="BJ31" s="144"/>
      <c r="BK31" s="144"/>
      <c r="BL31" s="144"/>
      <c r="BM31" s="144"/>
      <c r="BN31" s="145"/>
    </row>
    <row r="32" spans="2:66" s="15" customFormat="1" ht="9" customHeight="1" x14ac:dyDescent="0.25">
      <c r="B32" s="283"/>
      <c r="C32" s="283"/>
      <c r="D32" s="283"/>
      <c r="E32" s="283"/>
      <c r="F32" s="283"/>
      <c r="G32" s="283"/>
      <c r="H32" s="283"/>
      <c r="I32" s="283"/>
      <c r="J32" s="283"/>
      <c r="K32" s="283"/>
      <c r="L32" s="137"/>
      <c r="M32" s="143"/>
      <c r="N32" s="144"/>
      <c r="O32" s="144"/>
      <c r="P32" s="144"/>
      <c r="Q32" s="144"/>
      <c r="R32" s="144"/>
      <c r="S32" s="144"/>
      <c r="T32" s="144"/>
      <c r="U32" s="144"/>
      <c r="V32" s="145"/>
      <c r="W32" s="137"/>
      <c r="X32" s="143"/>
      <c r="Y32" s="144"/>
      <c r="Z32" s="144"/>
      <c r="AA32" s="144"/>
      <c r="AB32" s="144"/>
      <c r="AC32" s="144"/>
      <c r="AD32" s="144"/>
      <c r="AE32" s="144"/>
      <c r="AF32" s="144"/>
      <c r="AG32" s="145"/>
      <c r="AH32" s="137"/>
      <c r="AI32" s="143"/>
      <c r="AJ32" s="144"/>
      <c r="AK32" s="144"/>
      <c r="AL32" s="144"/>
      <c r="AM32" s="144"/>
      <c r="AN32" s="144"/>
      <c r="AO32" s="144"/>
      <c r="AP32" s="144"/>
      <c r="AQ32" s="144"/>
      <c r="AR32" s="145"/>
      <c r="AS32" s="137"/>
      <c r="AT32" s="143"/>
      <c r="AU32" s="144"/>
      <c r="AV32" s="144"/>
      <c r="AW32" s="144"/>
      <c r="AX32" s="144"/>
      <c r="AY32" s="144"/>
      <c r="AZ32" s="144"/>
      <c r="BA32" s="144"/>
      <c r="BB32" s="144"/>
      <c r="BC32" s="145"/>
      <c r="BD32" s="137"/>
      <c r="BE32" s="143" t="s">
        <v>725</v>
      </c>
      <c r="BF32" s="144"/>
      <c r="BG32" s="144"/>
      <c r="BH32" s="144"/>
      <c r="BI32" s="144"/>
      <c r="BJ32" s="144"/>
      <c r="BK32" s="144"/>
      <c r="BL32" s="144"/>
      <c r="BM32" s="144"/>
      <c r="BN32" s="145"/>
    </row>
    <row r="33" spans="2:66" s="15" customFormat="1" ht="9" customHeight="1" x14ac:dyDescent="0.25">
      <c r="B33" s="283"/>
      <c r="C33" s="283"/>
      <c r="D33" s="283"/>
      <c r="E33" s="283"/>
      <c r="F33" s="283"/>
      <c r="G33" s="283"/>
      <c r="H33" s="283"/>
      <c r="I33" s="283"/>
      <c r="J33" s="283"/>
      <c r="K33" s="283"/>
      <c r="L33" s="137"/>
      <c r="M33" s="261" t="s">
        <v>22</v>
      </c>
      <c r="N33" s="261"/>
      <c r="O33" s="261"/>
      <c r="P33" s="261"/>
      <c r="Q33" s="261"/>
      <c r="R33" s="261"/>
      <c r="S33" s="262">
        <f>CEILING(2397*B5,1)</f>
        <v>3356</v>
      </c>
      <c r="T33" s="262"/>
      <c r="U33" s="262"/>
      <c r="V33" s="262"/>
      <c r="W33" s="205"/>
      <c r="X33" s="261" t="s">
        <v>22</v>
      </c>
      <c r="Y33" s="261"/>
      <c r="Z33" s="261"/>
      <c r="AA33" s="261"/>
      <c r="AB33" s="261"/>
      <c r="AC33" s="261"/>
      <c r="AD33" s="262">
        <f>CEILING(2396*B5,1)</f>
        <v>3355</v>
      </c>
      <c r="AE33" s="262"/>
      <c r="AF33" s="262"/>
      <c r="AG33" s="262"/>
      <c r="AH33" s="205"/>
      <c r="AI33" s="261" t="s">
        <v>22</v>
      </c>
      <c r="AJ33" s="261"/>
      <c r="AK33" s="261"/>
      <c r="AL33" s="261"/>
      <c r="AM33" s="261"/>
      <c r="AN33" s="261"/>
      <c r="AO33" s="262">
        <f>CEILING(2354*B5,1)</f>
        <v>3296</v>
      </c>
      <c r="AP33" s="262"/>
      <c r="AQ33" s="262"/>
      <c r="AR33" s="262"/>
      <c r="AS33" s="205"/>
      <c r="AT33" s="261" t="s">
        <v>19</v>
      </c>
      <c r="AU33" s="261"/>
      <c r="AV33" s="261"/>
      <c r="AW33" s="261"/>
      <c r="AX33" s="261"/>
      <c r="AY33" s="261"/>
      <c r="AZ33" s="262">
        <f>CEILING(5728*B5,1)</f>
        <v>8020</v>
      </c>
      <c r="BA33" s="262"/>
      <c r="BB33" s="262"/>
      <c r="BC33" s="262"/>
      <c r="BD33" s="205"/>
      <c r="BE33" s="261" t="s">
        <v>20</v>
      </c>
      <c r="BF33" s="261"/>
      <c r="BG33" s="261"/>
      <c r="BH33" s="261"/>
      <c r="BI33" s="261"/>
      <c r="BJ33" s="261"/>
      <c r="BK33" s="262">
        <f>CEILING(4138*B5,1)</f>
        <v>5794</v>
      </c>
      <c r="BL33" s="262"/>
      <c r="BM33" s="262"/>
      <c r="BN33" s="262"/>
    </row>
    <row r="34" spans="2:66" s="15" customFormat="1" ht="2.1" customHeight="1" x14ac:dyDescent="0.25">
      <c r="B34" s="137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</row>
    <row r="35" spans="2:66" s="15" customFormat="1" ht="9" customHeight="1" x14ac:dyDescent="0.25">
      <c r="B35" s="269" t="s">
        <v>13</v>
      </c>
      <c r="C35" s="270"/>
      <c r="D35" s="271"/>
      <c r="E35" s="253" t="s">
        <v>270</v>
      </c>
      <c r="F35" s="254"/>
      <c r="G35" s="254"/>
      <c r="H35" s="254"/>
      <c r="I35" s="254"/>
      <c r="J35" s="254"/>
      <c r="K35" s="255"/>
      <c r="L35" s="137"/>
      <c r="M35" s="269" t="s">
        <v>14</v>
      </c>
      <c r="N35" s="270"/>
      <c r="O35" s="271"/>
      <c r="P35" s="253" t="s">
        <v>270</v>
      </c>
      <c r="Q35" s="254"/>
      <c r="R35" s="254"/>
      <c r="S35" s="254"/>
      <c r="T35" s="254"/>
      <c r="U35" s="254"/>
      <c r="V35" s="255"/>
      <c r="W35" s="137"/>
      <c r="X35" s="269" t="s">
        <v>9</v>
      </c>
      <c r="Y35" s="270"/>
      <c r="Z35" s="271"/>
      <c r="AA35" s="253" t="s">
        <v>10</v>
      </c>
      <c r="AB35" s="254"/>
      <c r="AC35" s="254"/>
      <c r="AD35" s="254"/>
      <c r="AE35" s="254"/>
      <c r="AF35" s="254"/>
      <c r="AG35" s="255"/>
      <c r="AH35" s="136"/>
      <c r="AI35" s="284" t="s">
        <v>12</v>
      </c>
      <c r="AJ35" s="285"/>
      <c r="AK35" s="286"/>
      <c r="AL35" s="253" t="s">
        <v>10</v>
      </c>
      <c r="AM35" s="254"/>
      <c r="AN35" s="254"/>
      <c r="AO35" s="254"/>
      <c r="AP35" s="254"/>
      <c r="AQ35" s="254"/>
      <c r="AR35" s="255"/>
      <c r="AS35" s="137"/>
      <c r="AT35" s="269" t="s">
        <v>25</v>
      </c>
      <c r="AU35" s="270"/>
      <c r="AV35" s="271"/>
      <c r="AW35" s="253" t="s">
        <v>26</v>
      </c>
      <c r="AX35" s="254"/>
      <c r="AY35" s="254"/>
      <c r="AZ35" s="254"/>
      <c r="BA35" s="254"/>
      <c r="BB35" s="254"/>
      <c r="BC35" s="255"/>
      <c r="BD35" s="137"/>
      <c r="BE35" s="269" t="s">
        <v>27</v>
      </c>
      <c r="BF35" s="270"/>
      <c r="BG35" s="271"/>
      <c r="BH35" s="253" t="s">
        <v>717</v>
      </c>
      <c r="BI35" s="254"/>
      <c r="BJ35" s="254"/>
      <c r="BK35" s="254"/>
      <c r="BL35" s="254"/>
      <c r="BM35" s="254"/>
      <c r="BN35" s="255"/>
    </row>
    <row r="36" spans="2:66" s="15" customFormat="1" ht="9" customHeight="1" x14ac:dyDescent="0.25">
      <c r="B36" s="266" t="s">
        <v>630</v>
      </c>
      <c r="C36" s="267"/>
      <c r="D36" s="267"/>
      <c r="E36" s="267"/>
      <c r="F36" s="267"/>
      <c r="G36" s="267"/>
      <c r="H36" s="267"/>
      <c r="I36" s="267"/>
      <c r="J36" s="267"/>
      <c r="K36" s="268"/>
      <c r="L36" s="137"/>
      <c r="M36" s="266" t="s">
        <v>630</v>
      </c>
      <c r="N36" s="267"/>
      <c r="O36" s="267"/>
      <c r="P36" s="267"/>
      <c r="Q36" s="267"/>
      <c r="R36" s="267"/>
      <c r="S36" s="267"/>
      <c r="T36" s="267"/>
      <c r="U36" s="267"/>
      <c r="V36" s="268"/>
      <c r="W36" s="137"/>
      <c r="X36" s="266" t="s">
        <v>176</v>
      </c>
      <c r="Y36" s="267"/>
      <c r="Z36" s="267"/>
      <c r="AA36" s="267"/>
      <c r="AB36" s="267"/>
      <c r="AC36" s="267"/>
      <c r="AD36" s="267"/>
      <c r="AE36" s="267"/>
      <c r="AF36" s="267"/>
      <c r="AG36" s="268"/>
      <c r="AH36" s="137"/>
      <c r="AI36" s="266" t="s">
        <v>11</v>
      </c>
      <c r="AJ36" s="267"/>
      <c r="AK36" s="267"/>
      <c r="AL36" s="267"/>
      <c r="AM36" s="267"/>
      <c r="AN36" s="267"/>
      <c r="AO36" s="267"/>
      <c r="AP36" s="267"/>
      <c r="AQ36" s="267"/>
      <c r="AR36" s="268"/>
      <c r="AS36" s="137"/>
      <c r="AT36" s="143"/>
      <c r="AU36" s="144"/>
      <c r="AV36" s="144"/>
      <c r="AW36" s="144"/>
      <c r="AX36" s="144"/>
      <c r="AY36" s="144"/>
      <c r="AZ36" s="144"/>
      <c r="BA36" s="144"/>
      <c r="BB36" s="144"/>
      <c r="BC36" s="145"/>
      <c r="BD36" s="137"/>
      <c r="BE36" s="266" t="s">
        <v>637</v>
      </c>
      <c r="BF36" s="267"/>
      <c r="BG36" s="267"/>
      <c r="BH36" s="267"/>
      <c r="BI36" s="267"/>
      <c r="BJ36" s="267"/>
      <c r="BK36" s="267"/>
      <c r="BL36" s="267"/>
      <c r="BM36" s="267"/>
      <c r="BN36" s="268"/>
    </row>
    <row r="37" spans="2:66" s="15" customFormat="1" ht="9" customHeight="1" x14ac:dyDescent="0.25">
      <c r="B37" s="266" t="s">
        <v>629</v>
      </c>
      <c r="C37" s="267"/>
      <c r="D37" s="267"/>
      <c r="E37" s="267"/>
      <c r="F37" s="267"/>
      <c r="G37" s="267"/>
      <c r="H37" s="267"/>
      <c r="I37" s="267"/>
      <c r="J37" s="267"/>
      <c r="K37" s="268"/>
      <c r="L37" s="137"/>
      <c r="M37" s="266" t="s">
        <v>15</v>
      </c>
      <c r="N37" s="267"/>
      <c r="O37" s="267"/>
      <c r="P37" s="267"/>
      <c r="Q37" s="267"/>
      <c r="R37" s="267"/>
      <c r="S37" s="267"/>
      <c r="T37" s="267"/>
      <c r="U37" s="267"/>
      <c r="V37" s="268"/>
      <c r="W37" s="137"/>
      <c r="X37" s="143"/>
      <c r="Y37" s="144"/>
      <c r="Z37" s="144"/>
      <c r="AA37" s="144"/>
      <c r="AB37" s="144"/>
      <c r="AC37" s="144"/>
      <c r="AD37" s="144"/>
      <c r="AE37" s="144"/>
      <c r="AF37" s="144"/>
      <c r="AG37" s="145"/>
      <c r="AH37" s="143" t="s">
        <v>176</v>
      </c>
      <c r="AI37" s="266" t="s">
        <v>176</v>
      </c>
      <c r="AJ37" s="267"/>
      <c r="AK37" s="267"/>
      <c r="AL37" s="267"/>
      <c r="AM37" s="267"/>
      <c r="AN37" s="267"/>
      <c r="AO37" s="267"/>
      <c r="AP37" s="267"/>
      <c r="AQ37" s="267"/>
      <c r="AR37" s="268"/>
      <c r="AS37" s="137"/>
      <c r="AT37" s="143"/>
      <c r="AU37" s="144"/>
      <c r="AV37" s="144"/>
      <c r="AW37" s="144"/>
      <c r="AX37" s="144"/>
      <c r="AY37" s="144"/>
      <c r="AZ37" s="144"/>
      <c r="BA37" s="144"/>
      <c r="BB37" s="144"/>
      <c r="BC37" s="145"/>
      <c r="BD37" s="137"/>
      <c r="BE37" s="143"/>
      <c r="BF37" s="144"/>
      <c r="BG37" s="144"/>
      <c r="BH37" s="144"/>
      <c r="BI37" s="144"/>
      <c r="BJ37" s="144"/>
      <c r="BK37" s="144"/>
      <c r="BL37" s="144"/>
      <c r="BM37" s="144"/>
      <c r="BN37" s="145"/>
    </row>
    <row r="38" spans="2:66" s="15" customFormat="1" ht="9" customHeigh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5"/>
      <c r="L38" s="137"/>
      <c r="M38" s="143"/>
      <c r="N38" s="144"/>
      <c r="O38" s="144"/>
      <c r="P38" s="144"/>
      <c r="Q38" s="144"/>
      <c r="R38" s="144"/>
      <c r="S38" s="144"/>
      <c r="T38" s="144"/>
      <c r="U38" s="144"/>
      <c r="V38" s="145"/>
      <c r="W38" s="137"/>
      <c r="X38" s="143"/>
      <c r="Y38" s="144"/>
      <c r="Z38" s="144"/>
      <c r="AA38" s="144"/>
      <c r="AB38" s="144"/>
      <c r="AC38" s="144"/>
      <c r="AD38" s="144"/>
      <c r="AE38" s="144"/>
      <c r="AF38" s="144"/>
      <c r="AG38" s="145"/>
      <c r="AH38" s="137"/>
      <c r="AI38" s="143"/>
      <c r="AJ38" s="144"/>
      <c r="AK38" s="144"/>
      <c r="AL38" s="144"/>
      <c r="AM38" s="144"/>
      <c r="AN38" s="144"/>
      <c r="AO38" s="144"/>
      <c r="AP38" s="144"/>
      <c r="AQ38" s="144"/>
      <c r="AR38" s="145"/>
      <c r="AS38" s="137"/>
      <c r="AT38" s="143"/>
      <c r="AU38" s="144"/>
      <c r="AV38" s="144"/>
      <c r="AW38" s="144"/>
      <c r="AX38" s="144"/>
      <c r="AY38" s="144"/>
      <c r="AZ38" s="144"/>
      <c r="BA38" s="144"/>
      <c r="BB38" s="144"/>
      <c r="BC38" s="145"/>
      <c r="BD38" s="137"/>
      <c r="BE38" s="143"/>
      <c r="BF38" s="144"/>
      <c r="BG38" s="144"/>
      <c r="BH38" s="144"/>
      <c r="BI38" s="144"/>
      <c r="BJ38" s="144"/>
      <c r="BK38" s="144"/>
      <c r="BL38" s="144"/>
      <c r="BM38" s="144"/>
      <c r="BN38" s="145"/>
    </row>
    <row r="39" spans="2:66" s="15" customFormat="1" ht="9" customHeigh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5"/>
      <c r="L39" s="137"/>
      <c r="M39" s="143"/>
      <c r="N39" s="144"/>
      <c r="O39" s="144"/>
      <c r="P39" s="144"/>
      <c r="Q39" s="144"/>
      <c r="R39" s="144"/>
      <c r="S39" s="144"/>
      <c r="T39" s="144"/>
      <c r="U39" s="144"/>
      <c r="V39" s="145"/>
      <c r="W39" s="137"/>
      <c r="X39" s="143"/>
      <c r="Y39" s="144"/>
      <c r="Z39" s="144"/>
      <c r="AA39" s="144"/>
      <c r="AB39" s="144"/>
      <c r="AC39" s="144"/>
      <c r="AD39" s="144"/>
      <c r="AE39" s="144"/>
      <c r="AF39" s="144"/>
      <c r="AG39" s="145"/>
      <c r="AH39" s="137"/>
      <c r="AI39" s="143"/>
      <c r="AJ39" s="144"/>
      <c r="AK39" s="144"/>
      <c r="AL39" s="144"/>
      <c r="AM39" s="144"/>
      <c r="AN39" s="144"/>
      <c r="AO39" s="144"/>
      <c r="AP39" s="144"/>
      <c r="AQ39" s="144"/>
      <c r="AR39" s="145"/>
      <c r="AS39" s="137"/>
      <c r="AT39" s="143"/>
      <c r="AU39" s="144"/>
      <c r="AV39" s="144"/>
      <c r="AW39" s="144"/>
      <c r="AX39" s="144"/>
      <c r="AY39" s="144"/>
      <c r="AZ39" s="144"/>
      <c r="BA39" s="144"/>
      <c r="BB39" s="144"/>
      <c r="BC39" s="145"/>
      <c r="BD39" s="137"/>
      <c r="BE39" s="143"/>
      <c r="BF39" s="144"/>
      <c r="BG39" s="144"/>
      <c r="BH39" s="144"/>
      <c r="BI39" s="144"/>
      <c r="BJ39" s="144"/>
      <c r="BK39" s="144"/>
      <c r="BL39" s="144"/>
      <c r="BM39" s="144"/>
      <c r="BN39" s="145"/>
    </row>
    <row r="40" spans="2:66" s="15" customFormat="1" ht="9" customHeigh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5"/>
      <c r="L40" s="137"/>
      <c r="M40" s="143"/>
      <c r="N40" s="144"/>
      <c r="O40" s="144"/>
      <c r="P40" s="144"/>
      <c r="Q40" s="144"/>
      <c r="R40" s="144"/>
      <c r="S40" s="144"/>
      <c r="T40" s="144"/>
      <c r="U40" s="144"/>
      <c r="V40" s="145"/>
      <c r="W40" s="137"/>
      <c r="X40" s="143"/>
      <c r="Y40" s="144"/>
      <c r="Z40" s="144"/>
      <c r="AA40" s="144"/>
      <c r="AB40" s="144"/>
      <c r="AC40" s="144"/>
      <c r="AD40" s="144"/>
      <c r="AE40" s="144"/>
      <c r="AF40" s="144"/>
      <c r="AG40" s="145"/>
      <c r="AH40" s="137"/>
      <c r="AI40" s="143"/>
      <c r="AJ40" s="144"/>
      <c r="AK40" s="144"/>
      <c r="AL40" s="144"/>
      <c r="AM40" s="144"/>
      <c r="AN40" s="144"/>
      <c r="AO40" s="144"/>
      <c r="AP40" s="144"/>
      <c r="AQ40" s="144"/>
      <c r="AR40" s="145"/>
      <c r="AS40" s="137"/>
      <c r="AT40" s="143"/>
      <c r="AU40" s="144"/>
      <c r="AV40" s="144"/>
      <c r="AW40" s="144"/>
      <c r="AX40" s="144"/>
      <c r="AY40" s="144"/>
      <c r="AZ40" s="144"/>
      <c r="BA40" s="144"/>
      <c r="BB40" s="144"/>
      <c r="BC40" s="145"/>
      <c r="BD40" s="137"/>
      <c r="BE40" s="143"/>
      <c r="BF40" s="144"/>
      <c r="BG40" s="144"/>
      <c r="BH40" s="144"/>
      <c r="BI40" s="144"/>
      <c r="BJ40" s="144"/>
      <c r="BK40" s="144"/>
      <c r="BL40" s="144"/>
      <c r="BM40" s="144"/>
      <c r="BN40" s="145"/>
    </row>
    <row r="41" spans="2:66" s="15" customFormat="1" ht="9" customHeigh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5"/>
      <c r="L41" s="137"/>
      <c r="M41" s="143"/>
      <c r="N41" s="144"/>
      <c r="O41" s="144"/>
      <c r="P41" s="144"/>
      <c r="Q41" s="144"/>
      <c r="R41" s="144"/>
      <c r="S41" s="144"/>
      <c r="T41" s="144"/>
      <c r="U41" s="144"/>
      <c r="V41" s="145"/>
      <c r="W41" s="137"/>
      <c r="X41" s="143"/>
      <c r="Y41" s="144"/>
      <c r="Z41" s="144"/>
      <c r="AA41" s="144"/>
      <c r="AB41" s="144"/>
      <c r="AC41" s="144"/>
      <c r="AD41" s="144"/>
      <c r="AE41" s="144"/>
      <c r="AF41" s="144"/>
      <c r="AG41" s="145"/>
      <c r="AH41" s="137"/>
      <c r="AI41" s="143"/>
      <c r="AJ41" s="144"/>
      <c r="AK41" s="144"/>
      <c r="AL41" s="144"/>
      <c r="AM41" s="144"/>
      <c r="AN41" s="144"/>
      <c r="AO41" s="144"/>
      <c r="AP41" s="144"/>
      <c r="AQ41" s="144"/>
      <c r="AR41" s="145"/>
      <c r="AS41" s="137"/>
      <c r="AT41" s="143"/>
      <c r="AU41" s="144"/>
      <c r="AV41" s="144"/>
      <c r="AW41" s="144"/>
      <c r="AX41" s="144"/>
      <c r="AY41" s="144"/>
      <c r="AZ41" s="144"/>
      <c r="BA41" s="144"/>
      <c r="BB41" s="144"/>
      <c r="BC41" s="145"/>
      <c r="BD41" s="137"/>
      <c r="BE41" s="143"/>
      <c r="BF41" s="144"/>
      <c r="BG41" s="144"/>
      <c r="BH41" s="144"/>
      <c r="BI41" s="144"/>
      <c r="BJ41" s="144"/>
      <c r="BK41" s="144"/>
      <c r="BL41" s="144"/>
      <c r="BM41" s="144"/>
      <c r="BN41" s="145"/>
    </row>
    <row r="42" spans="2:66" s="15" customFormat="1" ht="9" customHeight="1" x14ac:dyDescent="0.25">
      <c r="B42" s="143"/>
      <c r="C42" s="144"/>
      <c r="D42" s="144"/>
      <c r="E42" s="144"/>
      <c r="F42" s="144"/>
      <c r="G42" s="144"/>
      <c r="H42" s="144"/>
      <c r="I42" s="144"/>
      <c r="J42" s="144"/>
      <c r="K42" s="145"/>
      <c r="L42" s="137"/>
      <c r="M42" s="143"/>
      <c r="N42" s="144"/>
      <c r="O42" s="144"/>
      <c r="P42" s="144"/>
      <c r="Q42" s="144"/>
      <c r="R42" s="144"/>
      <c r="S42" s="144"/>
      <c r="T42" s="144"/>
      <c r="U42" s="144"/>
      <c r="V42" s="145"/>
      <c r="W42" s="137"/>
      <c r="X42" s="143"/>
      <c r="Y42" s="144"/>
      <c r="Z42" s="144"/>
      <c r="AA42" s="144"/>
      <c r="AB42" s="144"/>
      <c r="AC42" s="144"/>
      <c r="AD42" s="144"/>
      <c r="AE42" s="144"/>
      <c r="AF42" s="144"/>
      <c r="AG42" s="145"/>
      <c r="AH42" s="137"/>
      <c r="AI42" s="143"/>
      <c r="AJ42" s="144"/>
      <c r="AK42" s="144"/>
      <c r="AL42" s="144"/>
      <c r="AM42" s="144"/>
      <c r="AN42" s="144"/>
      <c r="AO42" s="144"/>
      <c r="AP42" s="144"/>
      <c r="AQ42" s="144"/>
      <c r="AR42" s="145"/>
      <c r="AS42" s="137"/>
      <c r="AT42" s="143"/>
      <c r="AU42" s="144"/>
      <c r="AV42" s="144"/>
      <c r="AW42" s="144"/>
      <c r="AX42" s="144"/>
      <c r="AY42" s="144"/>
      <c r="AZ42" s="144"/>
      <c r="BA42" s="144"/>
      <c r="BB42" s="144"/>
      <c r="BC42" s="145"/>
      <c r="BD42" s="137"/>
      <c r="BE42" s="143"/>
      <c r="BF42" s="144"/>
      <c r="BG42" s="144"/>
      <c r="BH42" s="144"/>
      <c r="BI42" s="144"/>
      <c r="BJ42" s="144"/>
      <c r="BK42" s="144"/>
      <c r="BL42" s="144"/>
      <c r="BM42" s="144"/>
      <c r="BN42" s="145"/>
    </row>
    <row r="43" spans="2:66" s="15" customFormat="1" ht="9" customHeigh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5"/>
      <c r="L43" s="137"/>
      <c r="M43" s="143"/>
      <c r="N43" s="144"/>
      <c r="O43" s="144"/>
      <c r="P43" s="144"/>
      <c r="Q43" s="144"/>
      <c r="R43" s="144"/>
      <c r="S43" s="144"/>
      <c r="T43" s="144"/>
      <c r="U43" s="144"/>
      <c r="V43" s="145"/>
      <c r="W43" s="137"/>
      <c r="X43" s="143"/>
      <c r="Y43" s="144"/>
      <c r="Z43" s="144"/>
      <c r="AA43" s="144"/>
      <c r="AB43" s="144"/>
      <c r="AC43" s="144"/>
      <c r="AD43" s="144"/>
      <c r="AE43" s="144"/>
      <c r="AF43" s="144"/>
      <c r="AG43" s="145"/>
      <c r="AH43" s="137"/>
      <c r="AI43" s="143"/>
      <c r="AJ43" s="144"/>
      <c r="AK43" s="144"/>
      <c r="AL43" s="144"/>
      <c r="AM43" s="144"/>
      <c r="AN43" s="144"/>
      <c r="AO43" s="144"/>
      <c r="AP43" s="144"/>
      <c r="AQ43" s="144"/>
      <c r="AR43" s="145"/>
      <c r="AS43" s="137"/>
      <c r="AT43" s="143"/>
      <c r="AU43" s="144"/>
      <c r="AV43" s="144"/>
      <c r="AW43" s="144"/>
      <c r="AX43" s="144"/>
      <c r="AY43" s="144"/>
      <c r="AZ43" s="144"/>
      <c r="BA43" s="144"/>
      <c r="BB43" s="144"/>
      <c r="BC43" s="145"/>
      <c r="BD43" s="137"/>
      <c r="BE43" s="143"/>
      <c r="BF43" s="144"/>
      <c r="BG43" s="144"/>
      <c r="BH43" s="144"/>
      <c r="BI43" s="144"/>
      <c r="BJ43" s="144"/>
      <c r="BK43" s="144"/>
      <c r="BL43" s="144"/>
      <c r="BM43" s="144"/>
      <c r="BN43" s="145"/>
    </row>
    <row r="44" spans="2:66" s="15" customFormat="1" ht="9" customHeigh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5"/>
      <c r="L44" s="137"/>
      <c r="M44" s="143"/>
      <c r="N44" s="144"/>
      <c r="O44" s="144"/>
      <c r="P44" s="144"/>
      <c r="Q44" s="144"/>
      <c r="R44" s="144"/>
      <c r="S44" s="144"/>
      <c r="T44" s="144"/>
      <c r="U44" s="144"/>
      <c r="V44" s="145"/>
      <c r="W44" s="137"/>
      <c r="X44" s="143"/>
      <c r="Y44" s="144"/>
      <c r="Z44" s="144"/>
      <c r="AA44" s="144"/>
      <c r="AB44" s="144"/>
      <c r="AC44" s="144"/>
      <c r="AD44" s="144"/>
      <c r="AE44" s="144"/>
      <c r="AF44" s="144"/>
      <c r="AG44" s="145"/>
      <c r="AH44" s="137"/>
      <c r="AI44" s="143"/>
      <c r="AJ44" s="144"/>
      <c r="AK44" s="144"/>
      <c r="AL44" s="144"/>
      <c r="AM44" s="144"/>
      <c r="AN44" s="144"/>
      <c r="AO44" s="144"/>
      <c r="AP44" s="144"/>
      <c r="AQ44" s="144"/>
      <c r="AR44" s="145"/>
      <c r="AS44" s="137"/>
      <c r="AT44" s="143"/>
      <c r="AU44" s="144"/>
      <c r="AV44" s="144"/>
      <c r="AW44" s="144"/>
      <c r="AX44" s="144"/>
      <c r="AY44" s="144"/>
      <c r="AZ44" s="144"/>
      <c r="BA44" s="144"/>
      <c r="BB44" s="144"/>
      <c r="BC44" s="145"/>
      <c r="BD44" s="137"/>
      <c r="BE44" s="143"/>
      <c r="BF44" s="144"/>
      <c r="BG44" s="144"/>
      <c r="BH44" s="144"/>
      <c r="BI44" s="144"/>
      <c r="BJ44" s="144"/>
      <c r="BK44" s="144"/>
      <c r="BL44" s="144"/>
      <c r="BM44" s="144"/>
      <c r="BN44" s="145"/>
    </row>
    <row r="45" spans="2:66" s="15" customFormat="1" ht="9" customHeigh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5"/>
      <c r="L45" s="137"/>
      <c r="M45" s="143"/>
      <c r="N45" s="144"/>
      <c r="O45" s="144"/>
      <c r="P45" s="144"/>
      <c r="Q45" s="144"/>
      <c r="R45" s="144"/>
      <c r="S45" s="144"/>
      <c r="T45" s="144"/>
      <c r="U45" s="144"/>
      <c r="V45" s="145"/>
      <c r="W45" s="137"/>
      <c r="X45" s="143"/>
      <c r="Y45" s="144"/>
      <c r="Z45" s="144"/>
      <c r="AA45" s="144"/>
      <c r="AB45" s="144"/>
      <c r="AC45" s="144"/>
      <c r="AD45" s="144"/>
      <c r="AE45" s="144"/>
      <c r="AF45" s="144"/>
      <c r="AG45" s="145"/>
      <c r="AH45" s="137"/>
      <c r="AI45" s="143"/>
      <c r="AJ45" s="144"/>
      <c r="AK45" s="144"/>
      <c r="AL45" s="144"/>
      <c r="AM45" s="144"/>
      <c r="AN45" s="144"/>
      <c r="AO45" s="144"/>
      <c r="AP45" s="144"/>
      <c r="AQ45" s="144"/>
      <c r="AR45" s="145"/>
      <c r="AS45" s="137"/>
      <c r="AT45" s="143"/>
      <c r="AU45" s="144"/>
      <c r="AV45" s="144"/>
      <c r="AW45" s="144"/>
      <c r="AX45" s="144"/>
      <c r="AY45" s="144"/>
      <c r="AZ45" s="144"/>
      <c r="BA45" s="144"/>
      <c r="BB45" s="144"/>
      <c r="BC45" s="145"/>
      <c r="BD45" s="137"/>
      <c r="BE45" s="143"/>
      <c r="BF45" s="144"/>
      <c r="BG45" s="144"/>
      <c r="BH45" s="144"/>
      <c r="BI45" s="144"/>
      <c r="BJ45" s="144"/>
      <c r="BK45" s="144"/>
      <c r="BL45" s="144"/>
      <c r="BM45" s="144"/>
      <c r="BN45" s="145"/>
    </row>
    <row r="46" spans="2:66" s="15" customFormat="1" ht="9" customHeight="1" x14ac:dyDescent="0.25">
      <c r="B46" s="143" t="s">
        <v>725</v>
      </c>
      <c r="C46" s="144"/>
      <c r="D46" s="144"/>
      <c r="E46" s="144"/>
      <c r="F46" s="144"/>
      <c r="G46" s="144"/>
      <c r="H46" s="144"/>
      <c r="I46" s="144"/>
      <c r="J46" s="144"/>
      <c r="K46" s="145"/>
      <c r="L46" s="137"/>
      <c r="M46" s="143"/>
      <c r="N46" s="144"/>
      <c r="O46" s="144"/>
      <c r="P46" s="144"/>
      <c r="Q46" s="144"/>
      <c r="R46" s="144"/>
      <c r="S46" s="144"/>
      <c r="T46" s="144"/>
      <c r="U46" s="144"/>
      <c r="V46" s="145"/>
      <c r="W46" s="137"/>
      <c r="X46" s="287" t="s">
        <v>720</v>
      </c>
      <c r="Y46" s="288"/>
      <c r="Z46" s="288"/>
      <c r="AA46" s="288"/>
      <c r="AB46" s="288"/>
      <c r="AC46" s="288"/>
      <c r="AD46" s="288"/>
      <c r="AE46" s="288"/>
      <c r="AF46" s="288"/>
      <c r="AG46" s="289"/>
      <c r="AH46" s="137"/>
      <c r="AI46" s="287" t="s">
        <v>720</v>
      </c>
      <c r="AJ46" s="288"/>
      <c r="AK46" s="288"/>
      <c r="AL46" s="288"/>
      <c r="AM46" s="288"/>
      <c r="AN46" s="288"/>
      <c r="AO46" s="288"/>
      <c r="AP46" s="288"/>
      <c r="AQ46" s="288"/>
      <c r="AR46" s="289"/>
      <c r="AS46" s="137"/>
      <c r="AT46" s="143"/>
      <c r="AU46" s="144"/>
      <c r="AV46" s="144"/>
      <c r="AW46" s="144"/>
      <c r="AX46" s="144"/>
      <c r="AY46" s="144"/>
      <c r="AZ46" s="144"/>
      <c r="BA46" s="144"/>
      <c r="BB46" s="144"/>
      <c r="BC46" s="145"/>
      <c r="BD46" s="137"/>
      <c r="BE46" s="143"/>
      <c r="BF46" s="144"/>
      <c r="BG46" s="144"/>
      <c r="BH46" s="144"/>
      <c r="BI46" s="144"/>
      <c r="BJ46" s="144"/>
      <c r="BK46" s="144"/>
      <c r="BL46" s="144"/>
      <c r="BM46" s="144"/>
      <c r="BN46" s="145"/>
    </row>
    <row r="47" spans="2:66" s="15" customFormat="1" ht="9" customHeight="1" x14ac:dyDescent="0.25">
      <c r="B47" s="261" t="s">
        <v>16</v>
      </c>
      <c r="C47" s="261"/>
      <c r="D47" s="261"/>
      <c r="E47" s="261"/>
      <c r="F47" s="261"/>
      <c r="G47" s="261"/>
      <c r="H47" s="262">
        <f>CEILING(15582*B5,1)</f>
        <v>21815</v>
      </c>
      <c r="I47" s="262"/>
      <c r="J47" s="262"/>
      <c r="K47" s="262"/>
      <c r="L47" s="205"/>
      <c r="M47" s="261" t="s">
        <v>16</v>
      </c>
      <c r="N47" s="261"/>
      <c r="O47" s="261"/>
      <c r="P47" s="261"/>
      <c r="Q47" s="261"/>
      <c r="R47" s="261"/>
      <c r="S47" s="262">
        <f>CEILING(10703*B5,1)</f>
        <v>14985</v>
      </c>
      <c r="T47" s="262"/>
      <c r="U47" s="262"/>
      <c r="V47" s="262"/>
      <c r="W47" s="205"/>
      <c r="X47" s="261" t="s">
        <v>807</v>
      </c>
      <c r="Y47" s="261"/>
      <c r="Z47" s="261"/>
      <c r="AA47" s="261"/>
      <c r="AB47" s="261"/>
      <c r="AC47" s="261"/>
      <c r="AD47" s="262">
        <f>CEILING(15413*B5,1)</f>
        <v>21579</v>
      </c>
      <c r="AE47" s="262"/>
      <c r="AF47" s="262"/>
      <c r="AG47" s="262"/>
      <c r="AH47" s="205"/>
      <c r="AI47" s="261" t="s">
        <v>807</v>
      </c>
      <c r="AJ47" s="261"/>
      <c r="AK47" s="261"/>
      <c r="AL47" s="261"/>
      <c r="AM47" s="261"/>
      <c r="AN47" s="261"/>
      <c r="AO47" s="262">
        <f>CEILING(16720*B5,1)</f>
        <v>23408</v>
      </c>
      <c r="AP47" s="262"/>
      <c r="AQ47" s="262"/>
      <c r="AR47" s="262"/>
      <c r="AS47" s="205"/>
      <c r="AT47" s="261" t="s">
        <v>778</v>
      </c>
      <c r="AU47" s="261"/>
      <c r="AV47" s="261"/>
      <c r="AW47" s="261"/>
      <c r="AX47" s="261"/>
      <c r="AY47" s="261"/>
      <c r="AZ47" s="262">
        <f>CEILING(1593*B5,1)</f>
        <v>2231</v>
      </c>
      <c r="BA47" s="262"/>
      <c r="BB47" s="262"/>
      <c r="BC47" s="262"/>
      <c r="BD47" s="205"/>
      <c r="BE47" s="261" t="s">
        <v>640</v>
      </c>
      <c r="BF47" s="261"/>
      <c r="BG47" s="261"/>
      <c r="BH47" s="261"/>
      <c r="BI47" s="261"/>
      <c r="BJ47" s="261"/>
      <c r="BK47" s="262">
        <f>CEILING(1071*B5,1)</f>
        <v>1500</v>
      </c>
      <c r="BL47" s="262"/>
      <c r="BM47" s="262"/>
      <c r="BN47" s="262"/>
    </row>
    <row r="48" spans="2:66" s="15" customFormat="1" ht="2.1" customHeight="1" x14ac:dyDescent="0.25">
      <c r="B48" s="137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  <c r="AV48" s="137"/>
      <c r="AW48" s="137"/>
      <c r="AX48" s="137"/>
      <c r="AY48" s="137"/>
      <c r="AZ48" s="137"/>
      <c r="BA48" s="137"/>
      <c r="BB48" s="137"/>
      <c r="BC48" s="137"/>
      <c r="BD48" s="137"/>
      <c r="BE48" s="137"/>
      <c r="BF48" s="137"/>
      <c r="BG48" s="137"/>
      <c r="BH48" s="137"/>
      <c r="BI48" s="137"/>
      <c r="BJ48" s="137"/>
      <c r="BK48" s="137"/>
      <c r="BL48" s="137"/>
      <c r="BM48" s="137"/>
      <c r="BN48" s="137"/>
    </row>
    <row r="49" spans="2:66" s="15" customFormat="1" ht="9" customHeight="1" x14ac:dyDescent="0.25">
      <c r="B49" s="269" t="s">
        <v>36</v>
      </c>
      <c r="C49" s="270"/>
      <c r="D49" s="271"/>
      <c r="E49" s="253" t="s">
        <v>46</v>
      </c>
      <c r="F49" s="254"/>
      <c r="G49" s="254"/>
      <c r="H49" s="254"/>
      <c r="I49" s="254"/>
      <c r="J49" s="254"/>
      <c r="K49" s="255"/>
      <c r="L49" s="137"/>
      <c r="M49" s="269" t="s">
        <v>38</v>
      </c>
      <c r="N49" s="270"/>
      <c r="O49" s="271"/>
      <c r="P49" s="253" t="s">
        <v>587</v>
      </c>
      <c r="Q49" s="254"/>
      <c r="R49" s="254"/>
      <c r="S49" s="254"/>
      <c r="T49" s="254"/>
      <c r="U49" s="254"/>
      <c r="V49" s="255"/>
      <c r="W49" s="137"/>
      <c r="X49" s="269" t="s">
        <v>39</v>
      </c>
      <c r="Y49" s="270"/>
      <c r="Z49" s="271"/>
      <c r="AA49" s="253" t="s">
        <v>587</v>
      </c>
      <c r="AB49" s="254"/>
      <c r="AC49" s="254"/>
      <c r="AD49" s="254"/>
      <c r="AE49" s="254"/>
      <c r="AF49" s="254"/>
      <c r="AG49" s="255"/>
      <c r="AH49" s="137"/>
      <c r="AI49" s="269" t="s">
        <v>41</v>
      </c>
      <c r="AJ49" s="270"/>
      <c r="AK49" s="271"/>
      <c r="AL49" s="290" t="s">
        <v>42</v>
      </c>
      <c r="AM49" s="291"/>
      <c r="AN49" s="291"/>
      <c r="AO49" s="291"/>
      <c r="AP49" s="291"/>
      <c r="AQ49" s="291"/>
      <c r="AR49" s="292"/>
      <c r="AS49" s="137"/>
      <c r="AT49" s="269" t="s">
        <v>44</v>
      </c>
      <c r="AU49" s="270"/>
      <c r="AV49" s="271"/>
      <c r="AW49" s="253" t="s">
        <v>42</v>
      </c>
      <c r="AX49" s="254"/>
      <c r="AY49" s="254"/>
      <c r="AZ49" s="254"/>
      <c r="BA49" s="254"/>
      <c r="BB49" s="254"/>
      <c r="BC49" s="255"/>
      <c r="BD49" s="137"/>
      <c r="BE49" s="269" t="s">
        <v>812</v>
      </c>
      <c r="BF49" s="270"/>
      <c r="BG49" s="271"/>
      <c r="BH49" s="253" t="s">
        <v>721</v>
      </c>
      <c r="BI49" s="254"/>
      <c r="BJ49" s="254"/>
      <c r="BK49" s="254"/>
      <c r="BL49" s="254"/>
      <c r="BM49" s="254"/>
      <c r="BN49" s="255"/>
    </row>
    <row r="50" spans="2:66" s="15" customFormat="1" ht="9" customHeight="1" x14ac:dyDescent="0.25">
      <c r="B50" s="266" t="s">
        <v>586</v>
      </c>
      <c r="C50" s="267"/>
      <c r="D50" s="267"/>
      <c r="E50" s="267"/>
      <c r="F50" s="267"/>
      <c r="G50" s="267"/>
      <c r="H50" s="267"/>
      <c r="I50" s="267"/>
      <c r="J50" s="267"/>
      <c r="K50" s="268"/>
      <c r="L50" s="137"/>
      <c r="M50" s="266" t="s">
        <v>625</v>
      </c>
      <c r="N50" s="267"/>
      <c r="O50" s="267"/>
      <c r="P50" s="267"/>
      <c r="Q50" s="267"/>
      <c r="R50" s="267"/>
      <c r="S50" s="267"/>
      <c r="T50" s="267"/>
      <c r="U50" s="267"/>
      <c r="V50" s="268"/>
      <c r="W50" s="137"/>
      <c r="X50" s="266" t="s">
        <v>588</v>
      </c>
      <c r="Y50" s="267"/>
      <c r="Z50" s="267"/>
      <c r="AA50" s="267"/>
      <c r="AB50" s="267"/>
      <c r="AC50" s="267"/>
      <c r="AD50" s="267"/>
      <c r="AE50" s="267"/>
      <c r="AF50" s="267"/>
      <c r="AG50" s="268"/>
      <c r="AH50" s="137"/>
      <c r="AI50" s="266" t="s">
        <v>145</v>
      </c>
      <c r="AJ50" s="267"/>
      <c r="AK50" s="267"/>
      <c r="AL50" s="267"/>
      <c r="AM50" s="267"/>
      <c r="AN50" s="267"/>
      <c r="AO50" s="267"/>
      <c r="AP50" s="267"/>
      <c r="AQ50" s="267"/>
      <c r="AR50" s="268"/>
      <c r="AS50" s="137"/>
      <c r="AT50" s="266" t="s">
        <v>144</v>
      </c>
      <c r="AU50" s="267"/>
      <c r="AV50" s="267"/>
      <c r="AW50" s="267"/>
      <c r="AX50" s="267"/>
      <c r="AY50" s="267"/>
      <c r="AZ50" s="267"/>
      <c r="BA50" s="267"/>
      <c r="BB50" s="267"/>
      <c r="BC50" s="268"/>
      <c r="BD50" s="137"/>
      <c r="BE50" s="266" t="s">
        <v>811</v>
      </c>
      <c r="BF50" s="267"/>
      <c r="BG50" s="267"/>
      <c r="BH50" s="267"/>
      <c r="BI50" s="267"/>
      <c r="BJ50" s="267"/>
      <c r="BK50" s="267"/>
      <c r="BL50" s="267"/>
      <c r="BM50" s="267"/>
      <c r="BN50" s="268"/>
    </row>
    <row r="51" spans="2:66" s="15" customFormat="1" ht="9" customHeigh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5"/>
      <c r="L51" s="137"/>
      <c r="M51" s="143"/>
      <c r="N51" s="144"/>
      <c r="O51" s="144"/>
      <c r="P51" s="144"/>
      <c r="Q51" s="144"/>
      <c r="R51" s="144"/>
      <c r="S51" s="144"/>
      <c r="T51" s="144"/>
      <c r="U51" s="144"/>
      <c r="V51" s="145"/>
      <c r="W51" s="137"/>
      <c r="X51" s="143"/>
      <c r="Y51" s="144"/>
      <c r="Z51" s="144"/>
      <c r="AA51" s="144"/>
      <c r="AB51" s="144"/>
      <c r="AC51" s="144"/>
      <c r="AD51" s="144"/>
      <c r="AE51" s="144"/>
      <c r="AF51" s="144"/>
      <c r="AG51" s="145"/>
      <c r="AH51" s="137"/>
      <c r="AI51" s="143"/>
      <c r="AJ51" s="144"/>
      <c r="AK51" s="144"/>
      <c r="AL51" s="144"/>
      <c r="AM51" s="144"/>
      <c r="AN51" s="144"/>
      <c r="AO51" s="144"/>
      <c r="AP51" s="144"/>
      <c r="AQ51" s="144"/>
      <c r="AR51" s="145"/>
      <c r="AS51" s="137"/>
      <c r="AT51" s="143"/>
      <c r="AU51" s="144"/>
      <c r="AV51" s="144"/>
      <c r="AW51" s="144"/>
      <c r="AX51" s="144"/>
      <c r="AY51" s="144"/>
      <c r="AZ51" s="144"/>
      <c r="BA51" s="144"/>
      <c r="BB51" s="144"/>
      <c r="BC51" s="145"/>
      <c r="BD51" s="137"/>
      <c r="BE51" s="143"/>
      <c r="BF51" s="144"/>
      <c r="BG51" s="144"/>
      <c r="BH51" s="144"/>
      <c r="BI51" s="144"/>
      <c r="BJ51" s="144"/>
      <c r="BK51" s="144"/>
      <c r="BL51" s="144"/>
      <c r="BM51" s="144"/>
      <c r="BN51" s="145"/>
    </row>
    <row r="52" spans="2:66" s="15" customFormat="1" ht="9" customHeigh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5"/>
      <c r="L52" s="137"/>
      <c r="M52" s="143"/>
      <c r="N52" s="144"/>
      <c r="O52" s="144"/>
      <c r="P52" s="144"/>
      <c r="Q52" s="144"/>
      <c r="R52" s="144"/>
      <c r="S52" s="144"/>
      <c r="T52" s="144"/>
      <c r="U52" s="144"/>
      <c r="V52" s="145"/>
      <c r="W52" s="137"/>
      <c r="X52" s="143"/>
      <c r="Y52" s="144"/>
      <c r="Z52" s="144"/>
      <c r="AA52" s="144"/>
      <c r="AB52" s="144"/>
      <c r="AC52" s="144"/>
      <c r="AD52" s="144"/>
      <c r="AE52" s="144"/>
      <c r="AF52" s="144"/>
      <c r="AG52" s="145"/>
      <c r="AH52" s="137"/>
      <c r="AI52" s="143"/>
      <c r="AJ52" s="144"/>
      <c r="AK52" s="144"/>
      <c r="AL52" s="144"/>
      <c r="AM52" s="144"/>
      <c r="AN52" s="144"/>
      <c r="AO52" s="144"/>
      <c r="AP52" s="144"/>
      <c r="AQ52" s="144"/>
      <c r="AR52" s="145"/>
      <c r="AS52" s="137"/>
      <c r="AT52" s="143"/>
      <c r="AU52" s="144"/>
      <c r="AV52" s="144"/>
      <c r="AW52" s="144"/>
      <c r="AX52" s="144"/>
      <c r="AY52" s="144"/>
      <c r="AZ52" s="144"/>
      <c r="BA52" s="144"/>
      <c r="BB52" s="144"/>
      <c r="BC52" s="145"/>
      <c r="BD52" s="137"/>
      <c r="BE52" s="143"/>
      <c r="BF52" s="144"/>
      <c r="BG52" s="144"/>
      <c r="BH52" s="144"/>
      <c r="BI52" s="144"/>
      <c r="BJ52" s="144"/>
      <c r="BK52" s="144"/>
      <c r="BL52" s="144"/>
      <c r="BM52" s="144"/>
      <c r="BN52" s="145"/>
    </row>
    <row r="53" spans="2:66" s="15" customFormat="1" ht="9" customHeigh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5"/>
      <c r="L53" s="137"/>
      <c r="M53" s="143"/>
      <c r="N53" s="144"/>
      <c r="O53" s="144"/>
      <c r="P53" s="144"/>
      <c r="Q53" s="144"/>
      <c r="R53" s="144"/>
      <c r="S53" s="144"/>
      <c r="T53" s="144"/>
      <c r="U53" s="144"/>
      <c r="V53" s="145"/>
      <c r="W53" s="137"/>
      <c r="X53" s="143"/>
      <c r="Y53" s="144"/>
      <c r="Z53" s="144"/>
      <c r="AA53" s="144"/>
      <c r="AB53" s="144"/>
      <c r="AC53" s="144"/>
      <c r="AD53" s="144"/>
      <c r="AE53" s="144"/>
      <c r="AF53" s="144"/>
      <c r="AG53" s="145"/>
      <c r="AH53" s="137"/>
      <c r="AI53" s="143"/>
      <c r="AJ53" s="144"/>
      <c r="AK53" s="144"/>
      <c r="AL53" s="144"/>
      <c r="AM53" s="144"/>
      <c r="AN53" s="144"/>
      <c r="AO53" s="144"/>
      <c r="AP53" s="144"/>
      <c r="AQ53" s="144"/>
      <c r="AR53" s="145"/>
      <c r="AS53" s="137"/>
      <c r="AT53" s="143"/>
      <c r="AU53" s="144"/>
      <c r="AV53" s="144"/>
      <c r="AW53" s="144"/>
      <c r="AX53" s="144"/>
      <c r="AY53" s="144"/>
      <c r="AZ53" s="144"/>
      <c r="BA53" s="144"/>
      <c r="BB53" s="144"/>
      <c r="BC53" s="145"/>
      <c r="BD53" s="137"/>
      <c r="BE53" s="143"/>
      <c r="BF53" s="144"/>
      <c r="BG53" s="144"/>
      <c r="BH53" s="144"/>
      <c r="BI53" s="144"/>
      <c r="BJ53" s="144"/>
      <c r="BK53" s="144"/>
      <c r="BL53" s="144"/>
      <c r="BM53" s="144"/>
      <c r="BN53" s="145"/>
    </row>
    <row r="54" spans="2:66" s="15" customFormat="1" ht="9" customHeigh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5"/>
      <c r="L54" s="137"/>
      <c r="M54" s="143"/>
      <c r="N54" s="144"/>
      <c r="O54" s="144"/>
      <c r="P54" s="144"/>
      <c r="Q54" s="144"/>
      <c r="R54" s="144"/>
      <c r="S54" s="144"/>
      <c r="T54" s="144"/>
      <c r="U54" s="144"/>
      <c r="V54" s="145"/>
      <c r="W54" s="137"/>
      <c r="X54" s="143"/>
      <c r="Y54" s="144"/>
      <c r="Z54" s="144"/>
      <c r="AA54" s="144"/>
      <c r="AB54" s="144"/>
      <c r="AC54" s="144"/>
      <c r="AD54" s="144"/>
      <c r="AE54" s="144"/>
      <c r="AF54" s="144"/>
      <c r="AG54" s="145"/>
      <c r="AH54" s="137"/>
      <c r="AI54" s="143"/>
      <c r="AJ54" s="144"/>
      <c r="AK54" s="144"/>
      <c r="AL54" s="144"/>
      <c r="AM54" s="144"/>
      <c r="AN54" s="144"/>
      <c r="AO54" s="144"/>
      <c r="AP54" s="144"/>
      <c r="AQ54" s="144"/>
      <c r="AR54" s="145"/>
      <c r="AS54" s="137"/>
      <c r="AT54" s="143"/>
      <c r="AU54" s="144"/>
      <c r="AV54" s="144"/>
      <c r="AW54" s="144"/>
      <c r="AX54" s="144"/>
      <c r="AY54" s="144"/>
      <c r="AZ54" s="144"/>
      <c r="BA54" s="144"/>
      <c r="BB54" s="144"/>
      <c r="BC54" s="145"/>
      <c r="BD54" s="137"/>
      <c r="BE54" s="143"/>
      <c r="BF54" s="144"/>
      <c r="BG54" s="144"/>
      <c r="BH54" s="144"/>
      <c r="BI54" s="144"/>
      <c r="BJ54" s="144"/>
      <c r="BK54" s="144"/>
      <c r="BL54" s="144"/>
      <c r="BM54" s="144"/>
      <c r="BN54" s="145"/>
    </row>
    <row r="55" spans="2:66" s="15" customFormat="1" ht="9" customHeight="1" x14ac:dyDescent="0.25">
      <c r="B55" s="143"/>
      <c r="C55" s="144"/>
      <c r="D55" s="144"/>
      <c r="E55" s="144"/>
      <c r="F55" s="144"/>
      <c r="G55" s="144"/>
      <c r="H55" s="144"/>
      <c r="I55" s="144"/>
      <c r="J55" s="144"/>
      <c r="K55" s="145"/>
      <c r="L55" s="137"/>
      <c r="M55" s="143"/>
      <c r="N55" s="144"/>
      <c r="O55" s="144"/>
      <c r="P55" s="144"/>
      <c r="Q55" s="144"/>
      <c r="R55" s="144"/>
      <c r="S55" s="144"/>
      <c r="T55" s="144"/>
      <c r="U55" s="144"/>
      <c r="V55" s="145"/>
      <c r="W55" s="137"/>
      <c r="X55" s="143"/>
      <c r="Y55" s="144"/>
      <c r="Z55" s="144"/>
      <c r="AA55" s="144"/>
      <c r="AB55" s="144"/>
      <c r="AC55" s="144"/>
      <c r="AD55" s="144"/>
      <c r="AE55" s="144"/>
      <c r="AF55" s="144"/>
      <c r="AG55" s="145"/>
      <c r="AH55" s="137"/>
      <c r="AI55" s="143"/>
      <c r="AJ55" s="144"/>
      <c r="AK55" s="144"/>
      <c r="AL55" s="144"/>
      <c r="AM55" s="144"/>
      <c r="AN55" s="144"/>
      <c r="AO55" s="144"/>
      <c r="AP55" s="144"/>
      <c r="AQ55" s="144"/>
      <c r="AR55" s="145"/>
      <c r="AS55" s="137"/>
      <c r="AT55" s="143"/>
      <c r="AU55" s="144"/>
      <c r="AV55" s="144"/>
      <c r="AW55" s="144"/>
      <c r="AX55" s="144"/>
      <c r="AY55" s="144"/>
      <c r="AZ55" s="144"/>
      <c r="BA55" s="144"/>
      <c r="BB55" s="144"/>
      <c r="BC55" s="145"/>
      <c r="BD55" s="137"/>
      <c r="BE55" s="143"/>
      <c r="BF55" s="144"/>
      <c r="BG55" s="144"/>
      <c r="BH55" s="144"/>
      <c r="BI55" s="144"/>
      <c r="BJ55" s="144"/>
      <c r="BK55" s="144"/>
      <c r="BL55" s="144"/>
      <c r="BM55" s="144"/>
      <c r="BN55" s="145"/>
    </row>
    <row r="56" spans="2:66" s="15" customFormat="1" ht="9" customHeigh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5"/>
      <c r="L56" s="137"/>
      <c r="M56" s="143"/>
      <c r="N56" s="144"/>
      <c r="O56" s="144"/>
      <c r="P56" s="144"/>
      <c r="Q56" s="144"/>
      <c r="R56" s="144"/>
      <c r="S56" s="144"/>
      <c r="T56" s="144"/>
      <c r="U56" s="144"/>
      <c r="V56" s="145"/>
      <c r="W56" s="137"/>
      <c r="X56" s="143"/>
      <c r="Y56" s="144"/>
      <c r="Z56" s="144"/>
      <c r="AA56" s="144"/>
      <c r="AB56" s="144"/>
      <c r="AC56" s="144"/>
      <c r="AD56" s="144"/>
      <c r="AE56" s="144"/>
      <c r="AF56" s="144"/>
      <c r="AG56" s="145"/>
      <c r="AH56" s="137"/>
      <c r="AI56" s="143"/>
      <c r="AJ56" s="144"/>
      <c r="AK56" s="144"/>
      <c r="AL56" s="144"/>
      <c r="AM56" s="144"/>
      <c r="AN56" s="144"/>
      <c r="AO56" s="144"/>
      <c r="AP56" s="144"/>
      <c r="AQ56" s="144"/>
      <c r="AR56" s="145"/>
      <c r="AS56" s="137"/>
      <c r="AT56" s="143"/>
      <c r="AU56" s="144"/>
      <c r="AV56" s="144"/>
      <c r="AW56" s="144"/>
      <c r="AX56" s="144"/>
      <c r="AY56" s="144"/>
      <c r="AZ56" s="144"/>
      <c r="BA56" s="144"/>
      <c r="BB56" s="144"/>
      <c r="BC56" s="145"/>
      <c r="BD56" s="137"/>
      <c r="BE56" s="143"/>
      <c r="BF56" s="144"/>
      <c r="BG56" s="144"/>
      <c r="BH56" s="144"/>
      <c r="BI56" s="144"/>
      <c r="BJ56" s="144"/>
      <c r="BK56" s="144"/>
      <c r="BL56" s="144"/>
      <c r="BM56" s="144"/>
      <c r="BN56" s="145"/>
    </row>
    <row r="57" spans="2:66" s="15" customFormat="1" ht="9" customHeigh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5"/>
      <c r="L57" s="137"/>
      <c r="M57" s="143"/>
      <c r="N57" s="144"/>
      <c r="O57" s="144"/>
      <c r="P57" s="144"/>
      <c r="Q57" s="144"/>
      <c r="R57" s="144"/>
      <c r="S57" s="144"/>
      <c r="T57" s="144"/>
      <c r="U57" s="144"/>
      <c r="V57" s="145"/>
      <c r="W57" s="137"/>
      <c r="X57" s="143"/>
      <c r="Y57" s="144"/>
      <c r="Z57" s="144"/>
      <c r="AA57" s="144"/>
      <c r="AB57" s="144"/>
      <c r="AC57" s="144"/>
      <c r="AD57" s="144"/>
      <c r="AE57" s="144"/>
      <c r="AF57" s="144"/>
      <c r="AG57" s="145"/>
      <c r="AH57" s="137"/>
      <c r="AI57" s="143"/>
      <c r="AJ57" s="144"/>
      <c r="AK57" s="144"/>
      <c r="AL57" s="144"/>
      <c r="AM57" s="144"/>
      <c r="AN57" s="144"/>
      <c r="AO57" s="144"/>
      <c r="AP57" s="144"/>
      <c r="AQ57" s="144"/>
      <c r="AR57" s="145"/>
      <c r="AS57" s="137"/>
      <c r="AT57" s="143"/>
      <c r="AU57" s="144"/>
      <c r="AV57" s="144"/>
      <c r="AW57" s="144"/>
      <c r="AX57" s="144"/>
      <c r="AY57" s="144"/>
      <c r="AZ57" s="144"/>
      <c r="BA57" s="144"/>
      <c r="BB57" s="144"/>
      <c r="BC57" s="145"/>
      <c r="BD57" s="137"/>
      <c r="BE57" s="143"/>
      <c r="BF57" s="144"/>
      <c r="BG57" s="144"/>
      <c r="BH57" s="144"/>
      <c r="BI57" s="144"/>
      <c r="BJ57" s="144"/>
      <c r="BK57" s="144"/>
      <c r="BL57" s="144"/>
      <c r="BM57" s="144"/>
      <c r="BN57" s="145"/>
    </row>
    <row r="58" spans="2:66" s="15" customFormat="1" ht="9" customHeigh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5"/>
      <c r="L58" s="137"/>
      <c r="M58" s="143"/>
      <c r="N58" s="144"/>
      <c r="O58" s="144"/>
      <c r="P58" s="144"/>
      <c r="Q58" s="144"/>
      <c r="R58" s="144"/>
      <c r="S58" s="144"/>
      <c r="T58" s="144"/>
      <c r="U58" s="144"/>
      <c r="V58" s="145"/>
      <c r="W58" s="137"/>
      <c r="X58" s="143"/>
      <c r="Y58" s="144"/>
      <c r="Z58" s="144"/>
      <c r="AA58" s="144"/>
      <c r="AB58" s="144"/>
      <c r="AC58" s="144"/>
      <c r="AD58" s="144"/>
      <c r="AE58" s="144"/>
      <c r="AF58" s="144"/>
      <c r="AG58" s="145"/>
      <c r="AH58" s="137"/>
      <c r="AI58" s="143"/>
      <c r="AJ58" s="144"/>
      <c r="AK58" s="144"/>
      <c r="AL58" s="144"/>
      <c r="AM58" s="144"/>
      <c r="AN58" s="144"/>
      <c r="AO58" s="144"/>
      <c r="AP58" s="144"/>
      <c r="AQ58" s="144"/>
      <c r="AR58" s="145"/>
      <c r="AS58" s="137"/>
      <c r="AT58" s="143"/>
      <c r="AU58" s="144"/>
      <c r="AV58" s="144"/>
      <c r="AW58" s="144"/>
      <c r="AX58" s="144"/>
      <c r="AY58" s="144"/>
      <c r="AZ58" s="144"/>
      <c r="BA58" s="144"/>
      <c r="BB58" s="144"/>
      <c r="BC58" s="145"/>
      <c r="BD58" s="137"/>
      <c r="BE58" s="143"/>
      <c r="BF58" s="144"/>
      <c r="BG58" s="144"/>
      <c r="BH58" s="144"/>
      <c r="BI58" s="144"/>
      <c r="BJ58" s="144"/>
      <c r="BK58" s="144"/>
      <c r="BL58" s="144"/>
      <c r="BM58" s="144"/>
      <c r="BN58" s="145"/>
    </row>
    <row r="59" spans="2:66" s="15" customFormat="1" ht="9" customHeigh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5"/>
      <c r="L59" s="137"/>
      <c r="M59" s="143"/>
      <c r="N59" s="144"/>
      <c r="O59" s="144"/>
      <c r="P59" s="144"/>
      <c r="Q59" s="144"/>
      <c r="R59" s="144"/>
      <c r="S59" s="144"/>
      <c r="T59" s="144"/>
      <c r="U59" s="144"/>
      <c r="V59" s="145"/>
      <c r="W59" s="137"/>
      <c r="X59" s="143"/>
      <c r="Y59" s="144"/>
      <c r="Z59" s="144"/>
      <c r="AA59" s="144"/>
      <c r="AB59" s="144"/>
      <c r="AC59" s="144"/>
      <c r="AD59" s="144"/>
      <c r="AE59" s="144"/>
      <c r="AF59" s="144"/>
      <c r="AG59" s="145"/>
      <c r="AH59" s="137"/>
      <c r="AI59" s="143"/>
      <c r="AJ59" s="144"/>
      <c r="AK59" s="144"/>
      <c r="AL59" s="144"/>
      <c r="AM59" s="144"/>
      <c r="AN59" s="144"/>
      <c r="AO59" s="144"/>
      <c r="AP59" s="144"/>
      <c r="AQ59" s="144"/>
      <c r="AR59" s="145"/>
      <c r="AS59" s="137"/>
      <c r="AT59" s="143"/>
      <c r="AU59" s="144"/>
      <c r="AV59" s="144"/>
      <c r="AW59" s="144"/>
      <c r="AX59" s="144"/>
      <c r="AY59" s="144"/>
      <c r="AZ59" s="144"/>
      <c r="BA59" s="144"/>
      <c r="BB59" s="144"/>
      <c r="BC59" s="145"/>
      <c r="BD59" s="137"/>
      <c r="BE59" s="143"/>
      <c r="BF59" s="144"/>
      <c r="BG59" s="144"/>
      <c r="BH59" s="144"/>
      <c r="BI59" s="144"/>
      <c r="BJ59" s="144"/>
      <c r="BK59" s="144"/>
      <c r="BL59" s="144"/>
      <c r="BM59" s="144"/>
      <c r="BN59" s="145"/>
    </row>
    <row r="60" spans="2:66" s="15" customFormat="1" ht="9" customHeight="1" x14ac:dyDescent="0.25">
      <c r="B60" s="261" t="s">
        <v>37</v>
      </c>
      <c r="C60" s="261"/>
      <c r="D60" s="261"/>
      <c r="E60" s="261"/>
      <c r="F60" s="261"/>
      <c r="G60" s="261"/>
      <c r="H60" s="262">
        <f>CEILING(5524*B5,1)</f>
        <v>7734</v>
      </c>
      <c r="I60" s="262"/>
      <c r="J60" s="262"/>
      <c r="K60" s="262"/>
      <c r="L60" s="137"/>
      <c r="M60" s="261" t="s">
        <v>810</v>
      </c>
      <c r="N60" s="261"/>
      <c r="O60" s="261"/>
      <c r="P60" s="261"/>
      <c r="Q60" s="261"/>
      <c r="R60" s="261"/>
      <c r="S60" s="262">
        <f>CEILING(4174*B5,1)</f>
        <v>5844</v>
      </c>
      <c r="T60" s="262"/>
      <c r="U60" s="262"/>
      <c r="V60" s="262"/>
      <c r="W60" s="137"/>
      <c r="X60" s="143"/>
      <c r="Y60" s="144"/>
      <c r="Z60" s="144"/>
      <c r="AA60" s="144"/>
      <c r="AB60" s="144"/>
      <c r="AC60" s="144"/>
      <c r="AD60" s="144"/>
      <c r="AE60" s="144"/>
      <c r="AF60" s="144"/>
      <c r="AG60" s="145"/>
      <c r="AH60" s="137"/>
      <c r="AI60" s="143"/>
      <c r="AJ60" s="144"/>
      <c r="AK60" s="144"/>
      <c r="AL60" s="144"/>
      <c r="AM60" s="144"/>
      <c r="AN60" s="144"/>
      <c r="AO60" s="144"/>
      <c r="AP60" s="144"/>
      <c r="AQ60" s="144"/>
      <c r="AR60" s="145"/>
      <c r="AS60" s="137"/>
      <c r="AT60" s="143"/>
      <c r="AU60" s="144"/>
      <c r="AV60" s="144"/>
      <c r="AW60" s="144"/>
      <c r="AX60" s="144"/>
      <c r="AY60" s="144"/>
      <c r="AZ60" s="144"/>
      <c r="BA60" s="144"/>
      <c r="BB60" s="144"/>
      <c r="BC60" s="145"/>
      <c r="BD60" s="137"/>
      <c r="BE60" s="143"/>
      <c r="BF60" s="144"/>
      <c r="BG60" s="144"/>
      <c r="BH60" s="144"/>
      <c r="BI60" s="144"/>
      <c r="BJ60" s="144"/>
      <c r="BK60" s="144"/>
      <c r="BL60" s="144"/>
      <c r="BM60" s="144"/>
      <c r="BN60" s="145"/>
    </row>
    <row r="61" spans="2:66" s="15" customFormat="1" ht="9" customHeight="1" x14ac:dyDescent="0.25">
      <c r="B61" s="293" t="s">
        <v>818</v>
      </c>
      <c r="C61" s="293"/>
      <c r="D61" s="293"/>
      <c r="E61" s="293"/>
      <c r="F61" s="293"/>
      <c r="G61" s="293"/>
      <c r="H61" s="262">
        <f>CEILING(12600*B5,1)</f>
        <v>17640</v>
      </c>
      <c r="I61" s="262"/>
      <c r="J61" s="262"/>
      <c r="K61" s="262"/>
      <c r="L61" s="205"/>
      <c r="M61" s="261" t="s">
        <v>809</v>
      </c>
      <c r="N61" s="261"/>
      <c r="O61" s="261"/>
      <c r="P61" s="261"/>
      <c r="Q61" s="261"/>
      <c r="R61" s="261"/>
      <c r="S61" s="262">
        <f>CEILING(9828*B5,1)</f>
        <v>13760</v>
      </c>
      <c r="T61" s="262"/>
      <c r="U61" s="262"/>
      <c r="V61" s="262"/>
      <c r="W61" s="205"/>
      <c r="X61" s="261" t="s">
        <v>40</v>
      </c>
      <c r="Y61" s="261"/>
      <c r="Z61" s="261"/>
      <c r="AA61" s="261"/>
      <c r="AB61" s="261"/>
      <c r="AC61" s="261"/>
      <c r="AD61" s="262">
        <f>CEILING(2569*B5,1)</f>
        <v>3597</v>
      </c>
      <c r="AE61" s="262"/>
      <c r="AF61" s="262"/>
      <c r="AG61" s="262"/>
      <c r="AH61" s="205"/>
      <c r="AI61" s="261" t="s">
        <v>43</v>
      </c>
      <c r="AJ61" s="261"/>
      <c r="AK61" s="261"/>
      <c r="AL61" s="261"/>
      <c r="AM61" s="261"/>
      <c r="AN61" s="261"/>
      <c r="AO61" s="262">
        <f>CEILING(1071*B5,1)</f>
        <v>1500</v>
      </c>
      <c r="AP61" s="262"/>
      <c r="AQ61" s="262"/>
      <c r="AR61" s="262"/>
      <c r="AS61" s="205"/>
      <c r="AT61" s="261" t="s">
        <v>45</v>
      </c>
      <c r="AU61" s="261"/>
      <c r="AV61" s="261"/>
      <c r="AW61" s="261"/>
      <c r="AX61" s="261"/>
      <c r="AY61" s="261"/>
      <c r="AZ61" s="262">
        <f>CEILING(683*B5,1)</f>
        <v>957</v>
      </c>
      <c r="BA61" s="262"/>
      <c r="BB61" s="262"/>
      <c r="BC61" s="262"/>
      <c r="BD61" s="205"/>
      <c r="BE61" s="261" t="s">
        <v>146</v>
      </c>
      <c r="BF61" s="261"/>
      <c r="BG61" s="261"/>
      <c r="BH61" s="261"/>
      <c r="BI61" s="261"/>
      <c r="BJ61" s="261"/>
      <c r="BK61" s="262">
        <v>2420</v>
      </c>
      <c r="BL61" s="262"/>
      <c r="BM61" s="262"/>
      <c r="BN61" s="262"/>
    </row>
    <row r="62" spans="2:66" s="15" customFormat="1" ht="2.1" customHeight="1" x14ac:dyDescent="0.25">
      <c r="B62" s="137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37"/>
      <c r="BA62" s="137"/>
      <c r="BB62" s="137"/>
      <c r="BC62" s="137"/>
      <c r="BD62" s="137"/>
      <c r="BE62" s="137"/>
      <c r="BF62" s="137"/>
      <c r="BG62" s="137"/>
      <c r="BH62" s="137"/>
      <c r="BI62" s="137"/>
      <c r="BJ62" s="137"/>
      <c r="BK62" s="137"/>
      <c r="BL62" s="137"/>
      <c r="BM62" s="137"/>
      <c r="BN62" s="137"/>
    </row>
    <row r="63" spans="2:66" s="15" customFormat="1" ht="9" customHeight="1" x14ac:dyDescent="0.25">
      <c r="B63" s="269" t="s">
        <v>28</v>
      </c>
      <c r="C63" s="270"/>
      <c r="D63" s="271"/>
      <c r="E63" s="253" t="s">
        <v>29</v>
      </c>
      <c r="F63" s="254"/>
      <c r="G63" s="254"/>
      <c r="H63" s="254"/>
      <c r="I63" s="254"/>
      <c r="J63" s="254"/>
      <c r="K63" s="255"/>
      <c r="L63" s="137"/>
      <c r="M63" s="269" t="s">
        <v>33</v>
      </c>
      <c r="N63" s="270"/>
      <c r="O63" s="271"/>
      <c r="P63" s="253" t="s">
        <v>29</v>
      </c>
      <c r="Q63" s="254"/>
      <c r="R63" s="254"/>
      <c r="S63" s="254"/>
      <c r="T63" s="254"/>
      <c r="U63" s="254"/>
      <c r="V63" s="255"/>
      <c r="W63" s="137"/>
      <c r="X63" s="269" t="s">
        <v>35</v>
      </c>
      <c r="Y63" s="270"/>
      <c r="Z63" s="271"/>
      <c r="AA63" s="253" t="s">
        <v>29</v>
      </c>
      <c r="AB63" s="254"/>
      <c r="AC63" s="254"/>
      <c r="AD63" s="254"/>
      <c r="AE63" s="254"/>
      <c r="AF63" s="254"/>
      <c r="AG63" s="255"/>
      <c r="AH63" s="137"/>
      <c r="AI63" s="269" t="s">
        <v>148</v>
      </c>
      <c r="AJ63" s="270"/>
      <c r="AK63" s="271"/>
      <c r="AL63" s="253" t="s">
        <v>149</v>
      </c>
      <c r="AM63" s="254"/>
      <c r="AN63" s="254"/>
      <c r="AO63" s="254"/>
      <c r="AP63" s="254"/>
      <c r="AQ63" s="254"/>
      <c r="AR63" s="255"/>
      <c r="AS63" s="137"/>
      <c r="AT63" s="269" t="s">
        <v>151</v>
      </c>
      <c r="AU63" s="270"/>
      <c r="AV63" s="271"/>
      <c r="AW63" s="253" t="s">
        <v>149</v>
      </c>
      <c r="AX63" s="254"/>
      <c r="AY63" s="254"/>
      <c r="AZ63" s="254"/>
      <c r="BA63" s="254"/>
      <c r="BB63" s="254"/>
      <c r="BC63" s="255"/>
      <c r="BD63" s="137"/>
      <c r="BE63" s="269" t="s">
        <v>137</v>
      </c>
      <c r="BF63" s="270"/>
      <c r="BG63" s="271"/>
      <c r="BH63" s="253" t="s">
        <v>149</v>
      </c>
      <c r="BI63" s="254"/>
      <c r="BJ63" s="254"/>
      <c r="BK63" s="254"/>
      <c r="BL63" s="254"/>
      <c r="BM63" s="254"/>
      <c r="BN63" s="255"/>
    </row>
    <row r="64" spans="2:66" s="15" customFormat="1" ht="9" customHeight="1" x14ac:dyDescent="0.25">
      <c r="B64" s="266" t="s">
        <v>30</v>
      </c>
      <c r="C64" s="267"/>
      <c r="D64" s="267"/>
      <c r="E64" s="267"/>
      <c r="F64" s="267"/>
      <c r="G64" s="267"/>
      <c r="H64" s="267"/>
      <c r="I64" s="267"/>
      <c r="J64" s="267"/>
      <c r="K64" s="268"/>
      <c r="L64" s="137"/>
      <c r="M64" s="266" t="s">
        <v>32</v>
      </c>
      <c r="N64" s="267"/>
      <c r="O64" s="267"/>
      <c r="P64" s="267"/>
      <c r="Q64" s="267"/>
      <c r="R64" s="267"/>
      <c r="S64" s="267"/>
      <c r="T64" s="267"/>
      <c r="U64" s="267"/>
      <c r="V64" s="268"/>
      <c r="W64" s="137"/>
      <c r="X64" s="266" t="s">
        <v>32</v>
      </c>
      <c r="Y64" s="267"/>
      <c r="Z64" s="267"/>
      <c r="AA64" s="267"/>
      <c r="AB64" s="267"/>
      <c r="AC64" s="267"/>
      <c r="AD64" s="267"/>
      <c r="AE64" s="267"/>
      <c r="AF64" s="267"/>
      <c r="AG64" s="268"/>
      <c r="AH64" s="137"/>
      <c r="AI64" s="266" t="s">
        <v>150</v>
      </c>
      <c r="AJ64" s="267"/>
      <c r="AK64" s="267"/>
      <c r="AL64" s="267"/>
      <c r="AM64" s="267"/>
      <c r="AN64" s="267"/>
      <c r="AO64" s="267"/>
      <c r="AP64" s="267"/>
      <c r="AQ64" s="267"/>
      <c r="AR64" s="268"/>
      <c r="AS64" s="137"/>
      <c r="AT64" s="269" t="s">
        <v>152</v>
      </c>
      <c r="AU64" s="270"/>
      <c r="AV64" s="271"/>
      <c r="AW64" s="253" t="s">
        <v>153</v>
      </c>
      <c r="AX64" s="254"/>
      <c r="AY64" s="254"/>
      <c r="AZ64" s="254"/>
      <c r="BA64" s="254"/>
      <c r="BB64" s="254"/>
      <c r="BC64" s="255"/>
      <c r="BD64" s="137"/>
      <c r="BE64" s="266" t="s">
        <v>156</v>
      </c>
      <c r="BF64" s="267"/>
      <c r="BG64" s="267"/>
      <c r="BH64" s="267"/>
      <c r="BI64" s="267"/>
      <c r="BJ64" s="267"/>
      <c r="BK64" s="267"/>
      <c r="BL64" s="267"/>
      <c r="BM64" s="267"/>
      <c r="BN64" s="268"/>
    </row>
    <row r="65" spans="1:66" s="15" customFormat="1" ht="9" customHeigh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5"/>
      <c r="L65" s="137"/>
      <c r="M65" s="143"/>
      <c r="N65" s="144"/>
      <c r="O65" s="144"/>
      <c r="P65" s="144"/>
      <c r="Q65" s="144"/>
      <c r="R65" s="144"/>
      <c r="S65" s="144"/>
      <c r="T65" s="144"/>
      <c r="U65" s="144"/>
      <c r="V65" s="145"/>
      <c r="W65" s="137"/>
      <c r="X65" s="143"/>
      <c r="Y65" s="144"/>
      <c r="Z65" s="144"/>
      <c r="AA65" s="144"/>
      <c r="AB65" s="144"/>
      <c r="AC65" s="144"/>
      <c r="AD65" s="144"/>
      <c r="AE65" s="144"/>
      <c r="AF65" s="144"/>
      <c r="AG65" s="145"/>
      <c r="AH65" s="137"/>
      <c r="AI65" s="266" t="s">
        <v>822</v>
      </c>
      <c r="AJ65" s="267"/>
      <c r="AK65" s="267"/>
      <c r="AL65" s="267"/>
      <c r="AM65" s="267"/>
      <c r="AN65" s="267"/>
      <c r="AO65" s="267"/>
      <c r="AP65" s="267"/>
      <c r="AQ65" s="267"/>
      <c r="AR65" s="268"/>
      <c r="AS65" s="137"/>
      <c r="AT65" s="143"/>
      <c r="AU65" s="144"/>
      <c r="AV65" s="144"/>
      <c r="AW65" s="144"/>
      <c r="AX65" s="144"/>
      <c r="AY65" s="144"/>
      <c r="AZ65" s="144"/>
      <c r="BA65" s="144"/>
      <c r="BB65" s="144"/>
      <c r="BC65" s="145"/>
      <c r="BD65" s="137"/>
      <c r="BE65" s="143"/>
      <c r="BF65" s="144"/>
      <c r="BG65" s="144"/>
      <c r="BH65" s="144"/>
      <c r="BI65" s="144"/>
      <c r="BJ65" s="144"/>
      <c r="BK65" s="144"/>
      <c r="BL65" s="144"/>
      <c r="BM65" s="144"/>
      <c r="BN65" s="145"/>
    </row>
    <row r="66" spans="1:66" s="15" customFormat="1" ht="9" customHeigh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5"/>
      <c r="L66" s="137"/>
      <c r="M66" s="143"/>
      <c r="N66" s="144"/>
      <c r="O66" s="144"/>
      <c r="P66" s="144"/>
      <c r="Q66" s="144"/>
      <c r="R66" s="144"/>
      <c r="S66" s="144"/>
      <c r="T66" s="144"/>
      <c r="U66" s="144"/>
      <c r="V66" s="145"/>
      <c r="W66" s="137"/>
      <c r="X66" s="143"/>
      <c r="Y66" s="144"/>
      <c r="Z66" s="144"/>
      <c r="AA66" s="144"/>
      <c r="AB66" s="144"/>
      <c r="AC66" s="144"/>
      <c r="AD66" s="144"/>
      <c r="AE66" s="144"/>
      <c r="AF66" s="144"/>
      <c r="AG66" s="145"/>
      <c r="AH66" s="137"/>
      <c r="AI66" s="143"/>
      <c r="AJ66" s="144"/>
      <c r="AK66" s="144"/>
      <c r="AL66" s="144"/>
      <c r="AM66" s="144"/>
      <c r="AN66" s="144"/>
      <c r="AO66" s="144"/>
      <c r="AP66" s="144"/>
      <c r="AQ66" s="144"/>
      <c r="AR66" s="145"/>
      <c r="AS66" s="137"/>
      <c r="AT66" s="143"/>
      <c r="AU66" s="144"/>
      <c r="AV66" s="144"/>
      <c r="AW66" s="144"/>
      <c r="AX66" s="144"/>
      <c r="AY66" s="144"/>
      <c r="AZ66" s="144"/>
      <c r="BA66" s="144"/>
      <c r="BB66" s="144"/>
      <c r="BC66" s="145"/>
      <c r="BD66" s="137"/>
      <c r="BE66" s="143"/>
      <c r="BF66" s="144"/>
      <c r="BG66" s="144"/>
      <c r="BH66" s="144"/>
      <c r="BI66" s="144"/>
      <c r="BJ66" s="144"/>
      <c r="BK66" s="144"/>
      <c r="BL66" s="144"/>
      <c r="BM66" s="144"/>
      <c r="BN66" s="145"/>
    </row>
    <row r="67" spans="1:66" s="15" customFormat="1" ht="9" customHeigh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5"/>
      <c r="L67" s="137"/>
      <c r="M67" s="143"/>
      <c r="N67" s="144"/>
      <c r="O67" s="144"/>
      <c r="P67" s="144"/>
      <c r="Q67" s="144"/>
      <c r="R67" s="144"/>
      <c r="S67" s="144"/>
      <c r="T67" s="144"/>
      <c r="U67" s="144"/>
      <c r="V67" s="145"/>
      <c r="W67" s="137"/>
      <c r="X67" s="143"/>
      <c r="Y67" s="144"/>
      <c r="Z67" s="144"/>
      <c r="AA67" s="144"/>
      <c r="AB67" s="144"/>
      <c r="AC67" s="144"/>
      <c r="AD67" s="144"/>
      <c r="AE67" s="144"/>
      <c r="AF67" s="144"/>
      <c r="AG67" s="145"/>
      <c r="AH67" s="137"/>
      <c r="AI67" s="143"/>
      <c r="AJ67" s="144"/>
      <c r="AK67" s="144"/>
      <c r="AL67" s="144"/>
      <c r="AM67" s="144"/>
      <c r="AN67" s="144"/>
      <c r="AO67" s="144"/>
      <c r="AP67" s="144"/>
      <c r="AQ67" s="144"/>
      <c r="AR67" s="145"/>
      <c r="AS67" s="137"/>
      <c r="AT67" s="143"/>
      <c r="AU67" s="144"/>
      <c r="AV67" s="144"/>
      <c r="AW67" s="144"/>
      <c r="AX67" s="144"/>
      <c r="AY67" s="144"/>
      <c r="AZ67" s="144"/>
      <c r="BA67" s="144"/>
      <c r="BB67" s="144"/>
      <c r="BC67" s="145"/>
      <c r="BD67" s="137"/>
      <c r="BE67" s="143"/>
      <c r="BF67" s="144"/>
      <c r="BG67" s="144"/>
      <c r="BH67" s="144"/>
      <c r="BI67" s="144"/>
      <c r="BJ67" s="144"/>
      <c r="BK67" s="144"/>
      <c r="BL67" s="144"/>
      <c r="BM67" s="144"/>
      <c r="BN67" s="145"/>
    </row>
    <row r="68" spans="1:66" s="15" customFormat="1" ht="9" customHeight="1" x14ac:dyDescent="0.25">
      <c r="B68" s="143"/>
      <c r="C68" s="144"/>
      <c r="D68" s="144"/>
      <c r="E68" s="144"/>
      <c r="F68" s="144"/>
      <c r="G68" s="144"/>
      <c r="H68" s="144"/>
      <c r="I68" s="144"/>
      <c r="J68" s="144"/>
      <c r="K68" s="145"/>
      <c r="L68" s="137"/>
      <c r="M68" s="143"/>
      <c r="N68" s="144"/>
      <c r="O68" s="144"/>
      <c r="P68" s="144"/>
      <c r="Q68" s="144"/>
      <c r="R68" s="144"/>
      <c r="S68" s="144"/>
      <c r="T68" s="144"/>
      <c r="U68" s="144"/>
      <c r="V68" s="145"/>
      <c r="W68" s="137"/>
      <c r="X68" s="143"/>
      <c r="Y68" s="144"/>
      <c r="Z68" s="144"/>
      <c r="AA68" s="144"/>
      <c r="AB68" s="144"/>
      <c r="AC68" s="144"/>
      <c r="AD68" s="144"/>
      <c r="AE68" s="144"/>
      <c r="AF68" s="144"/>
      <c r="AG68" s="145"/>
      <c r="AH68" s="137"/>
      <c r="AI68" s="143"/>
      <c r="AJ68" s="144"/>
      <c r="AK68" s="144"/>
      <c r="AL68" s="144"/>
      <c r="AM68" s="144"/>
      <c r="AN68" s="144"/>
      <c r="AO68" s="144"/>
      <c r="AP68" s="144"/>
      <c r="AQ68" s="144"/>
      <c r="AR68" s="145"/>
      <c r="AS68" s="137"/>
      <c r="AT68" s="143"/>
      <c r="AU68" s="144"/>
      <c r="AV68" s="144"/>
      <c r="AW68" s="144"/>
      <c r="AX68" s="144"/>
      <c r="AY68" s="144"/>
      <c r="AZ68" s="144"/>
      <c r="BA68" s="144"/>
      <c r="BB68" s="144"/>
      <c r="BC68" s="145"/>
      <c r="BD68" s="137"/>
      <c r="BE68" s="143"/>
      <c r="BF68" s="144"/>
      <c r="BG68" s="144"/>
      <c r="BH68" s="144"/>
      <c r="BI68" s="144"/>
      <c r="BJ68" s="144"/>
      <c r="BK68" s="144"/>
      <c r="BL68" s="144"/>
      <c r="BM68" s="144"/>
      <c r="BN68" s="145"/>
    </row>
    <row r="69" spans="1:66" s="15" customFormat="1" ht="9" customHeigh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5"/>
      <c r="L69" s="137"/>
      <c r="M69" s="143"/>
      <c r="N69" s="144"/>
      <c r="O69" s="144"/>
      <c r="P69" s="144"/>
      <c r="Q69" s="144"/>
      <c r="R69" s="144"/>
      <c r="S69" s="144"/>
      <c r="T69" s="144"/>
      <c r="U69" s="144"/>
      <c r="V69" s="145"/>
      <c r="W69" s="137"/>
      <c r="X69" s="143"/>
      <c r="Y69" s="144"/>
      <c r="Z69" s="144"/>
      <c r="AA69" s="144"/>
      <c r="AB69" s="144"/>
      <c r="AC69" s="144"/>
      <c r="AD69" s="144"/>
      <c r="AE69" s="144"/>
      <c r="AF69" s="144"/>
      <c r="AG69" s="145"/>
      <c r="AH69" s="137"/>
      <c r="AI69" s="143"/>
      <c r="AJ69" s="144"/>
      <c r="AK69" s="144"/>
      <c r="AL69" s="144"/>
      <c r="AM69" s="144"/>
      <c r="AN69" s="144"/>
      <c r="AO69" s="144"/>
      <c r="AP69" s="144"/>
      <c r="AQ69" s="144"/>
      <c r="AR69" s="145"/>
      <c r="AS69" s="137"/>
      <c r="AT69" s="143"/>
      <c r="AU69" s="144"/>
      <c r="AV69" s="144"/>
      <c r="AW69" s="144"/>
      <c r="AX69" s="144"/>
      <c r="AY69" s="144"/>
      <c r="AZ69" s="144"/>
      <c r="BA69" s="144"/>
      <c r="BB69" s="144"/>
      <c r="BC69" s="145"/>
      <c r="BD69" s="137"/>
      <c r="BE69" s="143"/>
      <c r="BF69" s="144"/>
      <c r="BG69" s="144"/>
      <c r="BH69" s="144"/>
      <c r="BI69" s="144"/>
      <c r="BJ69" s="144"/>
      <c r="BK69" s="144"/>
      <c r="BL69" s="144"/>
      <c r="BM69" s="144"/>
      <c r="BN69" s="145"/>
    </row>
    <row r="70" spans="1:66" s="15" customFormat="1" ht="9" customHeigh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5"/>
      <c r="L70" s="137"/>
      <c r="M70" s="143"/>
      <c r="N70" s="144"/>
      <c r="O70" s="144"/>
      <c r="P70" s="144"/>
      <c r="Q70" s="144"/>
      <c r="R70" s="144"/>
      <c r="S70" s="144"/>
      <c r="T70" s="144"/>
      <c r="U70" s="144"/>
      <c r="V70" s="145"/>
      <c r="W70" s="137"/>
      <c r="X70" s="143"/>
      <c r="Y70" s="144"/>
      <c r="Z70" s="144"/>
      <c r="AA70" s="144"/>
      <c r="AB70" s="144"/>
      <c r="AC70" s="144"/>
      <c r="AD70" s="144"/>
      <c r="AE70" s="144"/>
      <c r="AF70" s="144"/>
      <c r="AG70" s="145"/>
      <c r="AH70" s="137"/>
      <c r="AI70" s="143"/>
      <c r="AJ70" s="144"/>
      <c r="AK70" s="144"/>
      <c r="AL70" s="144"/>
      <c r="AM70" s="144"/>
      <c r="AN70" s="144"/>
      <c r="AO70" s="144"/>
      <c r="AP70" s="144"/>
      <c r="AQ70" s="144"/>
      <c r="AR70" s="145"/>
      <c r="AS70" s="137"/>
      <c r="AT70" s="143"/>
      <c r="AU70" s="144"/>
      <c r="AV70" s="144"/>
      <c r="AW70" s="144"/>
      <c r="AX70" s="144"/>
      <c r="AY70" s="144"/>
      <c r="AZ70" s="144"/>
      <c r="BA70" s="144"/>
      <c r="BB70" s="144"/>
      <c r="BC70" s="145"/>
      <c r="BD70" s="137"/>
      <c r="BE70" s="143"/>
      <c r="BF70" s="144"/>
      <c r="BG70" s="144"/>
      <c r="BH70" s="144"/>
      <c r="BI70" s="144"/>
      <c r="BJ70" s="144"/>
      <c r="BK70" s="144"/>
      <c r="BL70" s="144"/>
      <c r="BM70" s="144"/>
      <c r="BN70" s="145"/>
    </row>
    <row r="71" spans="1:66" s="15" customFormat="1" ht="9" customHeigh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5"/>
      <c r="L71" s="137"/>
      <c r="M71" s="143"/>
      <c r="N71" s="144"/>
      <c r="O71" s="144"/>
      <c r="P71" s="144"/>
      <c r="Q71" s="144"/>
      <c r="R71" s="144"/>
      <c r="S71" s="144"/>
      <c r="T71" s="144"/>
      <c r="U71" s="144"/>
      <c r="V71" s="145"/>
      <c r="W71" s="137"/>
      <c r="X71" s="143"/>
      <c r="Y71" s="144"/>
      <c r="Z71" s="144"/>
      <c r="AA71" s="144"/>
      <c r="AB71" s="144"/>
      <c r="AC71" s="144"/>
      <c r="AD71" s="144"/>
      <c r="AE71" s="144"/>
      <c r="AF71" s="144"/>
      <c r="AG71" s="145"/>
      <c r="AH71" s="137"/>
      <c r="AI71" s="143"/>
      <c r="AJ71" s="144"/>
      <c r="AK71" s="144"/>
      <c r="AL71" s="144"/>
      <c r="AM71" s="144"/>
      <c r="AN71" s="144"/>
      <c r="AO71" s="144"/>
      <c r="AP71" s="144"/>
      <c r="AQ71" s="144"/>
      <c r="AR71" s="145"/>
      <c r="AS71" s="137"/>
      <c r="AT71" s="143"/>
      <c r="AU71" s="144"/>
      <c r="AV71" s="144"/>
      <c r="AW71" s="144"/>
      <c r="AX71" s="144"/>
      <c r="AY71" s="144"/>
      <c r="AZ71" s="144"/>
      <c r="BA71" s="144"/>
      <c r="BB71" s="144"/>
      <c r="BC71" s="145"/>
      <c r="BD71" s="137"/>
      <c r="BE71" s="143"/>
      <c r="BF71" s="144"/>
      <c r="BG71" s="144"/>
      <c r="BH71" s="144"/>
      <c r="BI71" s="144"/>
      <c r="BJ71" s="144"/>
      <c r="BK71" s="144"/>
      <c r="BL71" s="144"/>
      <c r="BM71" s="144"/>
      <c r="BN71" s="145"/>
    </row>
    <row r="72" spans="1:66" s="15" customFormat="1" ht="9" customHeigh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5"/>
      <c r="L72" s="137"/>
      <c r="M72" s="143"/>
      <c r="N72" s="144"/>
      <c r="O72" s="144"/>
      <c r="P72" s="144"/>
      <c r="Q72" s="144"/>
      <c r="R72" s="144"/>
      <c r="S72" s="144"/>
      <c r="T72" s="144"/>
      <c r="U72" s="144"/>
      <c r="V72" s="145"/>
      <c r="W72" s="137"/>
      <c r="X72" s="143"/>
      <c r="Y72" s="144"/>
      <c r="Z72" s="144"/>
      <c r="AA72" s="144"/>
      <c r="AB72" s="144"/>
      <c r="AC72" s="144"/>
      <c r="AD72" s="144"/>
      <c r="AE72" s="144"/>
      <c r="AF72" s="144"/>
      <c r="AG72" s="145"/>
      <c r="AH72" s="137"/>
      <c r="AI72" s="143"/>
      <c r="AJ72" s="144"/>
      <c r="AK72" s="144"/>
      <c r="AL72" s="144"/>
      <c r="AM72" s="144"/>
      <c r="AN72" s="144"/>
      <c r="AO72" s="144"/>
      <c r="AP72" s="144"/>
      <c r="AQ72" s="144"/>
      <c r="AR72" s="145"/>
      <c r="AS72" s="137"/>
      <c r="AT72" s="143"/>
      <c r="AU72" s="144"/>
      <c r="AV72" s="144"/>
      <c r="AW72" s="144"/>
      <c r="AX72" s="144"/>
      <c r="AY72" s="144"/>
      <c r="AZ72" s="144"/>
      <c r="BA72" s="144"/>
      <c r="BB72" s="144"/>
      <c r="BC72" s="145"/>
      <c r="BD72" s="137"/>
      <c r="BE72" s="143"/>
      <c r="BF72" s="144"/>
      <c r="BG72" s="144"/>
      <c r="BH72" s="144"/>
      <c r="BI72" s="144"/>
      <c r="BJ72" s="144"/>
      <c r="BK72" s="144"/>
      <c r="BL72" s="144"/>
      <c r="BM72" s="144"/>
      <c r="BN72" s="145"/>
    </row>
    <row r="73" spans="1:66" s="15" customFormat="1" ht="9" customHeigh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5"/>
      <c r="L73" s="137"/>
      <c r="M73" s="143"/>
      <c r="N73" s="144"/>
      <c r="O73" s="144"/>
      <c r="P73" s="144"/>
      <c r="Q73" s="144"/>
      <c r="R73" s="144"/>
      <c r="S73" s="144"/>
      <c r="T73" s="144"/>
      <c r="U73" s="144"/>
      <c r="V73" s="145"/>
      <c r="W73" s="137"/>
      <c r="X73" s="143"/>
      <c r="Y73" s="144"/>
      <c r="Z73" s="144"/>
      <c r="AA73" s="144"/>
      <c r="AB73" s="144"/>
      <c r="AC73" s="144"/>
      <c r="AD73" s="144"/>
      <c r="AE73" s="144"/>
      <c r="AF73" s="144"/>
      <c r="AG73" s="145"/>
      <c r="AH73" s="137"/>
      <c r="AI73" s="143"/>
      <c r="AJ73" s="144"/>
      <c r="AK73" s="144"/>
      <c r="AL73" s="144"/>
      <c r="AM73" s="144"/>
      <c r="AN73" s="144"/>
      <c r="AO73" s="144"/>
      <c r="AP73" s="144"/>
      <c r="AQ73" s="144"/>
      <c r="AR73" s="145"/>
      <c r="AS73" s="137"/>
      <c r="AT73" s="143"/>
      <c r="AU73" s="144"/>
      <c r="AV73" s="144"/>
      <c r="AW73" s="144"/>
      <c r="AX73" s="144"/>
      <c r="AY73" s="294" t="s">
        <v>139</v>
      </c>
      <c r="AZ73" s="295"/>
      <c r="BA73" s="294"/>
      <c r="BB73" s="296"/>
      <c r="BC73" s="295"/>
      <c r="BD73" s="137"/>
      <c r="BE73" s="143"/>
      <c r="BF73" s="144"/>
      <c r="BG73" s="144"/>
      <c r="BH73" s="144"/>
      <c r="BI73" s="144"/>
      <c r="BJ73" s="144"/>
      <c r="BK73" s="144"/>
      <c r="BL73" s="144"/>
      <c r="BM73" s="144"/>
      <c r="BN73" s="145"/>
    </row>
    <row r="74" spans="1:66" s="15" customFormat="1" ht="9" customHeigh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5"/>
      <c r="L74" s="137"/>
      <c r="M74" s="143"/>
      <c r="N74" s="144"/>
      <c r="O74" s="144"/>
      <c r="P74" s="144"/>
      <c r="Q74" s="144"/>
      <c r="R74" s="144"/>
      <c r="S74" s="144"/>
      <c r="T74" s="144"/>
      <c r="U74" s="144"/>
      <c r="V74" s="145"/>
      <c r="W74" s="137"/>
      <c r="X74" s="143"/>
      <c r="Y74" s="144"/>
      <c r="Z74" s="144"/>
      <c r="AA74" s="144"/>
      <c r="AB74" s="144"/>
      <c r="AC74" s="144"/>
      <c r="AD74" s="144"/>
      <c r="AE74" s="144"/>
      <c r="AF74" s="144"/>
      <c r="AG74" s="145"/>
      <c r="AH74" s="137"/>
      <c r="AI74" s="143"/>
      <c r="AJ74" s="144"/>
      <c r="AK74" s="144"/>
      <c r="AL74" s="144"/>
      <c r="AM74" s="144"/>
      <c r="AN74" s="144"/>
      <c r="AO74" s="144"/>
      <c r="AP74" s="144"/>
      <c r="AQ74" s="144"/>
      <c r="AR74" s="145"/>
      <c r="AS74" s="137"/>
      <c r="AT74" s="297" t="s">
        <v>155</v>
      </c>
      <c r="AU74" s="297"/>
      <c r="AV74" s="297"/>
      <c r="AW74" s="297"/>
      <c r="AX74" s="297"/>
      <c r="AY74" s="298">
        <v>710</v>
      </c>
      <c r="AZ74" s="298"/>
      <c r="BA74" s="298"/>
      <c r="BB74" s="298"/>
      <c r="BC74" s="298"/>
      <c r="BD74" s="137"/>
      <c r="BE74" s="143"/>
      <c r="BF74" s="144"/>
      <c r="BG74" s="144"/>
      <c r="BH74" s="144"/>
      <c r="BI74" s="144"/>
      <c r="BJ74" s="294" t="s">
        <v>139</v>
      </c>
      <c r="BK74" s="296"/>
      <c r="BL74" s="294"/>
      <c r="BM74" s="296"/>
      <c r="BN74" s="295"/>
    </row>
    <row r="75" spans="1:66" s="15" customFormat="1" ht="9" customHeight="1" x14ac:dyDescent="0.25">
      <c r="B75" s="261" t="s">
        <v>31</v>
      </c>
      <c r="C75" s="261"/>
      <c r="D75" s="261"/>
      <c r="E75" s="261"/>
      <c r="F75" s="261"/>
      <c r="G75" s="261"/>
      <c r="H75" s="262">
        <f>CEILING(1071*B5,1)</f>
        <v>1500</v>
      </c>
      <c r="I75" s="262"/>
      <c r="J75" s="262"/>
      <c r="K75" s="262"/>
      <c r="L75" s="205"/>
      <c r="M75" s="261" t="s">
        <v>34</v>
      </c>
      <c r="N75" s="261"/>
      <c r="O75" s="261"/>
      <c r="P75" s="261"/>
      <c r="Q75" s="261"/>
      <c r="R75" s="261"/>
      <c r="S75" s="262">
        <f>CEILING(2354*B5,1)</f>
        <v>3296</v>
      </c>
      <c r="T75" s="262"/>
      <c r="U75" s="262"/>
      <c r="V75" s="262"/>
      <c r="W75" s="205"/>
      <c r="X75" s="261" t="s">
        <v>34</v>
      </c>
      <c r="Y75" s="261"/>
      <c r="Z75" s="261"/>
      <c r="AA75" s="261"/>
      <c r="AB75" s="261"/>
      <c r="AC75" s="261"/>
      <c r="AD75" s="262">
        <f>CEILING(2433*B5,1)</f>
        <v>3407</v>
      </c>
      <c r="AE75" s="262"/>
      <c r="AF75" s="262"/>
      <c r="AG75" s="262"/>
      <c r="AH75" s="205"/>
      <c r="AI75" s="261" t="s">
        <v>147</v>
      </c>
      <c r="AJ75" s="261"/>
      <c r="AK75" s="261"/>
      <c r="AL75" s="261"/>
      <c r="AM75" s="261"/>
      <c r="AN75" s="261"/>
      <c r="AO75" s="262">
        <v>450</v>
      </c>
      <c r="AP75" s="262"/>
      <c r="AQ75" s="262"/>
      <c r="AR75" s="262"/>
      <c r="AS75" s="206"/>
      <c r="AT75" s="261" t="s">
        <v>154</v>
      </c>
      <c r="AU75" s="261"/>
      <c r="AV75" s="261"/>
      <c r="AW75" s="261"/>
      <c r="AX75" s="261"/>
      <c r="AY75" s="262">
        <v>1300</v>
      </c>
      <c r="AZ75" s="262"/>
      <c r="BA75" s="262"/>
      <c r="BB75" s="262"/>
      <c r="BC75" s="262"/>
      <c r="BD75" s="206"/>
      <c r="BE75" s="205" t="s">
        <v>626</v>
      </c>
      <c r="BF75" s="205"/>
      <c r="BG75" s="205"/>
      <c r="BH75" s="205"/>
      <c r="BI75" s="205"/>
      <c r="BJ75" s="262">
        <v>755</v>
      </c>
      <c r="BK75" s="262"/>
      <c r="BL75" s="262"/>
      <c r="BM75" s="262"/>
      <c r="BN75" s="262"/>
    </row>
    <row r="76" spans="1:66" s="15" customFormat="1" ht="2.1" customHeight="1" x14ac:dyDescent="0.25">
      <c r="B76" s="137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  <c r="AX76" s="137"/>
      <c r="AY76" s="137"/>
      <c r="AZ76" s="137"/>
      <c r="BA76" s="137"/>
      <c r="BB76" s="137"/>
      <c r="BC76" s="137"/>
      <c r="BD76" s="137"/>
      <c r="BE76" s="137"/>
      <c r="BF76" s="137"/>
      <c r="BG76" s="137"/>
      <c r="BH76" s="137"/>
      <c r="BI76" s="137"/>
      <c r="BJ76" s="137"/>
      <c r="BK76" s="137"/>
      <c r="BL76" s="137"/>
      <c r="BM76" s="137"/>
      <c r="BN76" s="137"/>
    </row>
    <row r="77" spans="1:66" s="15" customFormat="1" ht="9" customHeight="1" x14ac:dyDescent="0.25">
      <c r="A77" s="58"/>
      <c r="B77" s="269" t="s">
        <v>784</v>
      </c>
      <c r="C77" s="270"/>
      <c r="D77" s="271"/>
      <c r="E77" s="253" t="s">
        <v>785</v>
      </c>
      <c r="F77" s="254"/>
      <c r="G77" s="254"/>
      <c r="H77" s="254"/>
      <c r="I77" s="254"/>
      <c r="J77" s="254"/>
      <c r="K77" s="255"/>
      <c r="L77" s="137"/>
      <c r="M77" s="269" t="s">
        <v>786</v>
      </c>
      <c r="N77" s="270"/>
      <c r="O77" s="271"/>
      <c r="P77" s="253" t="s">
        <v>785</v>
      </c>
      <c r="Q77" s="254"/>
      <c r="R77" s="254"/>
      <c r="S77" s="254"/>
      <c r="T77" s="254"/>
      <c r="U77" s="254"/>
      <c r="V77" s="255"/>
      <c r="W77" s="137"/>
      <c r="X77" s="269" t="s">
        <v>132</v>
      </c>
      <c r="Y77" s="270"/>
      <c r="Z77" s="271"/>
      <c r="AA77" s="253" t="s">
        <v>135</v>
      </c>
      <c r="AB77" s="254"/>
      <c r="AC77" s="254"/>
      <c r="AD77" s="254"/>
      <c r="AE77" s="254"/>
      <c r="AF77" s="254"/>
      <c r="AG77" s="255"/>
      <c r="AH77" s="137"/>
      <c r="AI77" s="269" t="s">
        <v>141</v>
      </c>
      <c r="AJ77" s="270"/>
      <c r="AK77" s="271"/>
      <c r="AL77" s="253" t="s">
        <v>135</v>
      </c>
      <c r="AM77" s="254"/>
      <c r="AN77" s="254"/>
      <c r="AO77" s="254"/>
      <c r="AP77" s="254"/>
      <c r="AQ77" s="254"/>
      <c r="AR77" s="255"/>
      <c r="AS77" s="137"/>
      <c r="AT77" s="269" t="s">
        <v>133</v>
      </c>
      <c r="AU77" s="270"/>
      <c r="AV77" s="271"/>
      <c r="AW77" s="299" t="s">
        <v>136</v>
      </c>
      <c r="AX77" s="259"/>
      <c r="AY77" s="259"/>
      <c r="AZ77" s="259"/>
      <c r="BA77" s="259"/>
      <c r="BB77" s="259"/>
      <c r="BC77" s="260"/>
      <c r="BD77" s="137"/>
      <c r="BE77" s="269" t="s">
        <v>142</v>
      </c>
      <c r="BF77" s="270"/>
      <c r="BG77" s="271"/>
      <c r="BH77" s="299" t="s">
        <v>136</v>
      </c>
      <c r="BI77" s="259"/>
      <c r="BJ77" s="259"/>
      <c r="BK77" s="259"/>
      <c r="BL77" s="259"/>
      <c r="BM77" s="259"/>
      <c r="BN77" s="260"/>
    </row>
    <row r="78" spans="1:66" s="15" customFormat="1" ht="9" customHeight="1" x14ac:dyDescent="0.25">
      <c r="A78" s="58"/>
      <c r="B78" s="266"/>
      <c r="C78" s="267"/>
      <c r="D78" s="267"/>
      <c r="E78" s="267"/>
      <c r="F78" s="267"/>
      <c r="G78" s="267"/>
      <c r="H78" s="267"/>
      <c r="I78" s="267"/>
      <c r="J78" s="267"/>
      <c r="K78" s="268"/>
      <c r="L78" s="137"/>
      <c r="M78" s="266"/>
      <c r="N78" s="267"/>
      <c r="O78" s="267"/>
      <c r="P78" s="267"/>
      <c r="Q78" s="267"/>
      <c r="R78" s="267"/>
      <c r="S78" s="267"/>
      <c r="T78" s="267"/>
      <c r="U78" s="267"/>
      <c r="V78" s="268"/>
      <c r="W78" s="137"/>
      <c r="X78" s="266"/>
      <c r="Y78" s="267"/>
      <c r="Z78" s="267"/>
      <c r="AA78" s="267"/>
      <c r="AB78" s="267"/>
      <c r="AC78" s="267"/>
      <c r="AD78" s="267"/>
      <c r="AE78" s="267"/>
      <c r="AF78" s="267"/>
      <c r="AG78" s="268"/>
      <c r="AH78" s="137"/>
      <c r="AI78" s="266" t="s">
        <v>99</v>
      </c>
      <c r="AJ78" s="267"/>
      <c r="AK78" s="267"/>
      <c r="AL78" s="267"/>
      <c r="AM78" s="267"/>
      <c r="AN78" s="267"/>
      <c r="AO78" s="267"/>
      <c r="AP78" s="267"/>
      <c r="AQ78" s="267"/>
      <c r="AR78" s="268"/>
      <c r="AS78" s="137"/>
      <c r="AT78" s="266"/>
      <c r="AU78" s="267"/>
      <c r="AV78" s="267"/>
      <c r="AW78" s="267"/>
      <c r="AX78" s="267"/>
      <c r="AY78" s="267"/>
      <c r="AZ78" s="267"/>
      <c r="BA78" s="267"/>
      <c r="BB78" s="267"/>
      <c r="BC78" s="268"/>
      <c r="BD78" s="137"/>
      <c r="BE78" s="266" t="s">
        <v>99</v>
      </c>
      <c r="BF78" s="267"/>
      <c r="BG78" s="267"/>
      <c r="BH78" s="267"/>
      <c r="BI78" s="267"/>
      <c r="BJ78" s="267"/>
      <c r="BK78" s="267"/>
      <c r="BL78" s="267"/>
      <c r="BM78" s="267"/>
      <c r="BN78" s="268"/>
    </row>
    <row r="79" spans="1:66" s="15" customFormat="1" ht="9" customHeigh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5"/>
      <c r="L79" s="137"/>
      <c r="M79" s="143"/>
      <c r="N79" s="144"/>
      <c r="O79" s="144"/>
      <c r="P79" s="144"/>
      <c r="Q79" s="144"/>
      <c r="R79" s="144"/>
      <c r="S79" s="144"/>
      <c r="T79" s="144"/>
      <c r="U79" s="144"/>
      <c r="V79" s="145"/>
      <c r="W79" s="137"/>
      <c r="X79" s="143"/>
      <c r="Y79" s="144"/>
      <c r="Z79" s="144"/>
      <c r="AA79" s="144"/>
      <c r="AB79" s="144"/>
      <c r="AC79" s="144"/>
      <c r="AD79" s="144"/>
      <c r="AE79" s="144"/>
      <c r="AF79" s="144"/>
      <c r="AG79" s="145"/>
      <c r="AH79" s="137"/>
      <c r="AI79" s="143"/>
      <c r="AJ79" s="144"/>
      <c r="AK79" s="144"/>
      <c r="AL79" s="144"/>
      <c r="AM79" s="144"/>
      <c r="AN79" s="144"/>
      <c r="AO79" s="144"/>
      <c r="AP79" s="144"/>
      <c r="AQ79" s="144"/>
      <c r="AR79" s="145"/>
      <c r="AS79" s="137"/>
      <c r="AT79" s="143"/>
      <c r="AU79" s="144"/>
      <c r="AV79" s="144"/>
      <c r="AW79" s="144"/>
      <c r="AX79" s="144"/>
      <c r="AY79" s="144"/>
      <c r="AZ79" s="144"/>
      <c r="BA79" s="144"/>
      <c r="BB79" s="144"/>
      <c r="BC79" s="145"/>
      <c r="BD79" s="137"/>
      <c r="BE79" s="143"/>
      <c r="BF79" s="144"/>
      <c r="BG79" s="144"/>
      <c r="BH79" s="144"/>
      <c r="BI79" s="144"/>
      <c r="BJ79" s="144"/>
      <c r="BK79" s="144"/>
      <c r="BL79" s="144"/>
      <c r="BM79" s="144"/>
      <c r="BN79" s="145"/>
    </row>
    <row r="80" spans="1:66" s="15" customFormat="1" ht="9" customHeigh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5"/>
      <c r="L80" s="137"/>
      <c r="M80" s="143"/>
      <c r="N80" s="144"/>
      <c r="O80" s="144"/>
      <c r="P80" s="144"/>
      <c r="Q80" s="144"/>
      <c r="R80" s="144"/>
      <c r="S80" s="144"/>
      <c r="T80" s="144"/>
      <c r="U80" s="144"/>
      <c r="V80" s="145"/>
      <c r="W80" s="137"/>
      <c r="X80" s="143"/>
      <c r="Y80" s="144"/>
      <c r="Z80" s="144"/>
      <c r="AA80" s="144"/>
      <c r="AB80" s="144"/>
      <c r="AC80" s="144"/>
      <c r="AD80" s="144"/>
      <c r="AE80" s="144"/>
      <c r="AF80" s="144"/>
      <c r="AG80" s="145"/>
      <c r="AH80" s="137"/>
      <c r="AI80" s="143"/>
      <c r="AJ80" s="144"/>
      <c r="AK80" s="144"/>
      <c r="AL80" s="144"/>
      <c r="AM80" s="144"/>
      <c r="AN80" s="144"/>
      <c r="AO80" s="144"/>
      <c r="AP80" s="144"/>
      <c r="AQ80" s="144"/>
      <c r="AR80" s="145"/>
      <c r="AS80" s="137"/>
      <c r="AT80" s="143"/>
      <c r="AU80" s="144"/>
      <c r="AV80" s="144"/>
      <c r="AW80" s="144"/>
      <c r="AX80" s="144"/>
      <c r="AY80" s="144"/>
      <c r="AZ80" s="144"/>
      <c r="BA80" s="144"/>
      <c r="BB80" s="144"/>
      <c r="BC80" s="145"/>
      <c r="BD80" s="137"/>
      <c r="BE80" s="143"/>
      <c r="BF80" s="144"/>
      <c r="BG80" s="144"/>
      <c r="BH80" s="144"/>
      <c r="BI80" s="144"/>
      <c r="BJ80" s="144"/>
      <c r="BK80" s="144"/>
      <c r="BL80" s="144"/>
      <c r="BM80" s="144"/>
      <c r="BN80" s="145"/>
    </row>
    <row r="81" spans="1:66" s="15" customFormat="1" ht="9" customHeight="1" x14ac:dyDescent="0.25">
      <c r="B81" s="143"/>
      <c r="C81" s="144"/>
      <c r="D81" s="144"/>
      <c r="E81" s="144"/>
      <c r="F81" s="144"/>
      <c r="G81" s="144"/>
      <c r="H81" s="144"/>
      <c r="I81" s="144"/>
      <c r="J81" s="144"/>
      <c r="K81" s="145"/>
      <c r="L81" s="137"/>
      <c r="M81" s="143"/>
      <c r="N81" s="144"/>
      <c r="O81" s="144"/>
      <c r="P81" s="144"/>
      <c r="Q81" s="144"/>
      <c r="R81" s="144"/>
      <c r="S81" s="144"/>
      <c r="T81" s="144"/>
      <c r="U81" s="144"/>
      <c r="V81" s="145"/>
      <c r="W81" s="137"/>
      <c r="X81" s="143"/>
      <c r="Y81" s="144"/>
      <c r="Z81" s="144"/>
      <c r="AA81" s="144"/>
      <c r="AB81" s="144"/>
      <c r="AC81" s="144"/>
      <c r="AD81" s="144"/>
      <c r="AE81" s="144"/>
      <c r="AF81" s="144"/>
      <c r="AG81" s="145"/>
      <c r="AH81" s="137"/>
      <c r="AI81" s="143"/>
      <c r="AJ81" s="144"/>
      <c r="AK81" s="144"/>
      <c r="AL81" s="144"/>
      <c r="AM81" s="144"/>
      <c r="AN81" s="144"/>
      <c r="AO81" s="144"/>
      <c r="AP81" s="144"/>
      <c r="AQ81" s="144"/>
      <c r="AR81" s="145"/>
      <c r="AS81" s="137"/>
      <c r="AT81" s="143"/>
      <c r="AU81" s="144"/>
      <c r="AV81" s="144"/>
      <c r="AW81" s="144"/>
      <c r="AX81" s="144"/>
      <c r="AY81" s="144"/>
      <c r="AZ81" s="144"/>
      <c r="BA81" s="144"/>
      <c r="BB81" s="144"/>
      <c r="BC81" s="145"/>
      <c r="BD81" s="137"/>
      <c r="BE81" s="143"/>
      <c r="BF81" s="144"/>
      <c r="BG81" s="144"/>
      <c r="BH81" s="144"/>
      <c r="BI81" s="144"/>
      <c r="BJ81" s="144"/>
      <c r="BK81" s="144"/>
      <c r="BL81" s="144"/>
      <c r="BM81" s="144"/>
      <c r="BN81" s="145"/>
    </row>
    <row r="82" spans="1:66" s="15" customFormat="1" ht="9" customHeigh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5"/>
      <c r="L82" s="137"/>
      <c r="M82" s="143"/>
      <c r="N82" s="144"/>
      <c r="O82" s="144"/>
      <c r="P82" s="144"/>
      <c r="Q82" s="144"/>
      <c r="R82" s="144"/>
      <c r="S82" s="144"/>
      <c r="T82" s="144"/>
      <c r="U82" s="144"/>
      <c r="V82" s="145"/>
      <c r="W82" s="137"/>
      <c r="X82" s="143"/>
      <c r="Y82" s="144"/>
      <c r="Z82" s="144"/>
      <c r="AA82" s="144"/>
      <c r="AB82" s="144"/>
      <c r="AC82" s="144"/>
      <c r="AD82" s="144"/>
      <c r="AE82" s="144"/>
      <c r="AF82" s="144"/>
      <c r="AG82" s="145"/>
      <c r="AH82" s="137"/>
      <c r="AI82" s="143"/>
      <c r="AJ82" s="144"/>
      <c r="AK82" s="144"/>
      <c r="AL82" s="144"/>
      <c r="AM82" s="144"/>
      <c r="AN82" s="144"/>
      <c r="AO82" s="144"/>
      <c r="AP82" s="144"/>
      <c r="AQ82" s="144"/>
      <c r="AR82" s="145"/>
      <c r="AS82" s="137"/>
      <c r="AT82" s="143"/>
      <c r="AU82" s="144"/>
      <c r="AV82" s="144"/>
      <c r="AW82" s="144"/>
      <c r="AX82" s="144"/>
      <c r="AY82" s="144"/>
      <c r="AZ82" s="144"/>
      <c r="BA82" s="144"/>
      <c r="BB82" s="144"/>
      <c r="BC82" s="145"/>
      <c r="BD82" s="137"/>
      <c r="BE82" s="143"/>
      <c r="BF82" s="144"/>
      <c r="BG82" s="144"/>
      <c r="BH82" s="144"/>
      <c r="BI82" s="144"/>
      <c r="BJ82" s="144"/>
      <c r="BK82" s="144"/>
      <c r="BL82" s="144"/>
      <c r="BM82" s="144"/>
      <c r="BN82" s="145"/>
    </row>
    <row r="83" spans="1:66" s="15" customFormat="1" ht="9" customHeigh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5"/>
      <c r="L83" s="137"/>
      <c r="M83" s="143"/>
      <c r="N83" s="144"/>
      <c r="O83" s="144"/>
      <c r="P83" s="144"/>
      <c r="Q83" s="144"/>
      <c r="R83" s="144"/>
      <c r="S83" s="144"/>
      <c r="T83" s="144"/>
      <c r="U83" s="144"/>
      <c r="V83" s="145"/>
      <c r="W83" s="137"/>
      <c r="X83" s="143"/>
      <c r="Y83" s="144"/>
      <c r="Z83" s="144"/>
      <c r="AA83" s="144"/>
      <c r="AB83" s="144"/>
      <c r="AC83" s="144"/>
      <c r="AD83" s="144"/>
      <c r="AE83" s="144"/>
      <c r="AF83" s="144"/>
      <c r="AG83" s="145"/>
      <c r="AH83" s="137"/>
      <c r="AI83" s="143"/>
      <c r="AJ83" s="144"/>
      <c r="AK83" s="144"/>
      <c r="AL83" s="144"/>
      <c r="AM83" s="144"/>
      <c r="AN83" s="144"/>
      <c r="AO83" s="144"/>
      <c r="AP83" s="144"/>
      <c r="AQ83" s="144"/>
      <c r="AR83" s="145"/>
      <c r="AS83" s="137"/>
      <c r="AT83" s="143"/>
      <c r="AU83" s="144"/>
      <c r="AV83" s="144"/>
      <c r="AW83" s="144"/>
      <c r="AX83" s="144"/>
      <c r="AY83" s="144"/>
      <c r="AZ83" s="144"/>
      <c r="BA83" s="144"/>
      <c r="BB83" s="144"/>
      <c r="BC83" s="145"/>
      <c r="BD83" s="137"/>
      <c r="BE83" s="143"/>
      <c r="BF83" s="144"/>
      <c r="BG83" s="144"/>
      <c r="BH83" s="144"/>
      <c r="BI83" s="144"/>
      <c r="BJ83" s="144"/>
      <c r="BK83" s="144"/>
      <c r="BL83" s="144"/>
      <c r="BM83" s="144"/>
      <c r="BN83" s="145"/>
    </row>
    <row r="84" spans="1:66" s="15" customFormat="1" ht="9" customHeigh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5"/>
      <c r="L84" s="137"/>
      <c r="M84" s="143"/>
      <c r="N84" s="144"/>
      <c r="O84" s="144"/>
      <c r="P84" s="144"/>
      <c r="Q84" s="144"/>
      <c r="R84" s="144"/>
      <c r="S84" s="144"/>
      <c r="T84" s="144"/>
      <c r="U84" s="144"/>
      <c r="V84" s="145"/>
      <c r="W84" s="137"/>
      <c r="X84" s="143"/>
      <c r="Y84" s="144"/>
      <c r="Z84" s="144"/>
      <c r="AA84" s="144"/>
      <c r="AB84" s="144"/>
      <c r="AC84" s="144"/>
      <c r="AD84" s="144"/>
      <c r="AE84" s="144"/>
      <c r="AF84" s="144"/>
      <c r="AG84" s="145"/>
      <c r="AH84" s="137"/>
      <c r="AI84" s="143"/>
      <c r="AJ84" s="144"/>
      <c r="AK84" s="144"/>
      <c r="AL84" s="144"/>
      <c r="AM84" s="144"/>
      <c r="AN84" s="144"/>
      <c r="AO84" s="144"/>
      <c r="AP84" s="144"/>
      <c r="AQ84" s="144"/>
      <c r="AR84" s="145"/>
      <c r="AS84" s="137"/>
      <c r="AT84" s="143"/>
      <c r="AU84" s="144"/>
      <c r="AV84" s="144"/>
      <c r="AW84" s="144"/>
      <c r="AX84" s="144"/>
      <c r="AY84" s="144"/>
      <c r="AZ84" s="144"/>
      <c r="BA84" s="144"/>
      <c r="BB84" s="144"/>
      <c r="BC84" s="145"/>
      <c r="BD84" s="137"/>
      <c r="BE84" s="143"/>
      <c r="BF84" s="144"/>
      <c r="BG84" s="144"/>
      <c r="BH84" s="144"/>
      <c r="BI84" s="144"/>
      <c r="BJ84" s="144"/>
      <c r="BK84" s="144"/>
      <c r="BL84" s="144"/>
      <c r="BM84" s="144"/>
      <c r="BN84" s="145"/>
    </row>
    <row r="85" spans="1:66" s="15" customFormat="1" ht="9" customHeigh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5"/>
      <c r="L85" s="137"/>
      <c r="M85" s="143"/>
      <c r="N85" s="144"/>
      <c r="O85" s="144"/>
      <c r="P85" s="144"/>
      <c r="Q85" s="144"/>
      <c r="R85" s="144"/>
      <c r="S85" s="144"/>
      <c r="T85" s="144"/>
      <c r="U85" s="144"/>
      <c r="V85" s="145"/>
      <c r="W85" s="137"/>
      <c r="X85" s="143"/>
      <c r="Y85" s="144"/>
      <c r="Z85" s="144"/>
      <c r="AA85" s="144"/>
      <c r="AB85" s="144"/>
      <c r="AC85" s="144"/>
      <c r="AD85" s="144"/>
      <c r="AE85" s="144"/>
      <c r="AF85" s="144"/>
      <c r="AG85" s="145"/>
      <c r="AH85" s="137"/>
      <c r="AI85" s="143"/>
      <c r="AJ85" s="144"/>
      <c r="AK85" s="144"/>
      <c r="AL85" s="144"/>
      <c r="AM85" s="144"/>
      <c r="AN85" s="144"/>
      <c r="AO85" s="144"/>
      <c r="AP85" s="144"/>
      <c r="AQ85" s="144"/>
      <c r="AR85" s="145"/>
      <c r="AS85" s="137"/>
      <c r="AT85" s="143"/>
      <c r="AU85" s="144"/>
      <c r="AV85" s="144"/>
      <c r="AW85" s="144"/>
      <c r="AX85" s="144"/>
      <c r="AY85" s="144"/>
      <c r="AZ85" s="144"/>
      <c r="BA85" s="144"/>
      <c r="BB85" s="144"/>
      <c r="BC85" s="145"/>
      <c r="BD85" s="137"/>
      <c r="BE85" s="143"/>
      <c r="BF85" s="144"/>
      <c r="BG85" s="144"/>
      <c r="BH85" s="144"/>
      <c r="BI85" s="144"/>
      <c r="BJ85" s="144"/>
      <c r="BK85" s="144"/>
      <c r="BL85" s="144"/>
      <c r="BM85" s="144"/>
      <c r="BN85" s="145"/>
    </row>
    <row r="86" spans="1:66" s="15" customFormat="1" ht="9" customHeigh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5"/>
      <c r="L86" s="137"/>
      <c r="M86" s="143"/>
      <c r="N86" s="144"/>
      <c r="O86" s="144"/>
      <c r="P86" s="144"/>
      <c r="Q86" s="144"/>
      <c r="R86" s="144"/>
      <c r="S86" s="144"/>
      <c r="T86" s="144"/>
      <c r="U86" s="144"/>
      <c r="V86" s="145"/>
      <c r="W86" s="137"/>
      <c r="X86" s="143"/>
      <c r="Y86" s="144"/>
      <c r="Z86" s="144"/>
      <c r="AA86" s="144"/>
      <c r="AB86" s="144"/>
      <c r="AC86" s="144"/>
      <c r="AD86" s="144"/>
      <c r="AE86" s="144"/>
      <c r="AF86" s="144"/>
      <c r="AG86" s="145"/>
      <c r="AH86" s="137"/>
      <c r="AI86" s="143"/>
      <c r="AJ86" s="144"/>
      <c r="AK86" s="144"/>
      <c r="AL86" s="144"/>
      <c r="AM86" s="144"/>
      <c r="AN86" s="144"/>
      <c r="AO86" s="144"/>
      <c r="AP86" s="144"/>
      <c r="AQ86" s="144"/>
      <c r="AR86" s="145"/>
      <c r="AS86" s="137"/>
      <c r="AT86" s="143"/>
      <c r="AU86" s="144"/>
      <c r="AV86" s="144"/>
      <c r="AW86" s="144"/>
      <c r="AX86" s="144"/>
      <c r="AY86" s="144"/>
      <c r="AZ86" s="144"/>
      <c r="BA86" s="144"/>
      <c r="BB86" s="144"/>
      <c r="BC86" s="145"/>
      <c r="BD86" s="137"/>
      <c r="BE86" s="143"/>
      <c r="BF86" s="144"/>
      <c r="BG86" s="144"/>
      <c r="BH86" s="144"/>
      <c r="BI86" s="144"/>
      <c r="BJ86" s="144"/>
      <c r="BK86" s="144"/>
      <c r="BL86" s="144"/>
      <c r="BM86" s="144"/>
      <c r="BN86" s="145"/>
    </row>
    <row r="87" spans="1:66" s="15" customFormat="1" ht="9" customHeigh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5"/>
      <c r="L87" s="137"/>
      <c r="M87" s="143"/>
      <c r="N87" s="144"/>
      <c r="O87" s="144"/>
      <c r="P87" s="144"/>
      <c r="Q87" s="144"/>
      <c r="R87" s="144"/>
      <c r="S87" s="144"/>
      <c r="T87" s="144"/>
      <c r="U87" s="144"/>
      <c r="V87" s="145"/>
      <c r="W87" s="137"/>
      <c r="X87" s="143"/>
      <c r="Y87" s="144"/>
      <c r="Z87" s="144"/>
      <c r="AA87" s="144"/>
      <c r="AB87" s="144"/>
      <c r="AC87" s="144"/>
      <c r="AD87" s="144"/>
      <c r="AE87" s="144"/>
      <c r="AF87" s="144"/>
      <c r="AG87" s="145"/>
      <c r="AH87" s="137"/>
      <c r="AI87" s="143"/>
      <c r="AJ87" s="144"/>
      <c r="AK87" s="144"/>
      <c r="AL87" s="144"/>
      <c r="AM87" s="144"/>
      <c r="AN87" s="144"/>
      <c r="AO87" s="144"/>
      <c r="AP87" s="144"/>
      <c r="AQ87" s="144"/>
      <c r="AR87" s="145"/>
      <c r="AS87" s="137"/>
      <c r="AT87" s="143"/>
      <c r="AU87" s="144"/>
      <c r="AV87" s="144"/>
      <c r="AW87" s="144"/>
      <c r="AX87" s="144"/>
      <c r="AY87" s="144"/>
      <c r="AZ87" s="144"/>
      <c r="BA87" s="144"/>
      <c r="BB87" s="144"/>
      <c r="BC87" s="145"/>
      <c r="BD87" s="137"/>
      <c r="BE87" s="143"/>
      <c r="BF87" s="144"/>
      <c r="BG87" s="144"/>
      <c r="BH87" s="144"/>
      <c r="BI87" s="144"/>
      <c r="BJ87" s="144"/>
      <c r="BK87" s="144"/>
      <c r="BL87" s="144"/>
      <c r="BM87" s="144"/>
      <c r="BN87" s="145"/>
    </row>
    <row r="88" spans="1:66" s="15" customFormat="1" ht="9" customHeight="1" x14ac:dyDescent="0.25">
      <c r="A88" s="207"/>
      <c r="B88" s="300" t="s">
        <v>134</v>
      </c>
      <c r="C88" s="300"/>
      <c r="D88" s="300"/>
      <c r="E88" s="300"/>
      <c r="F88" s="300"/>
      <c r="G88" s="300"/>
      <c r="H88" s="262">
        <v>130</v>
      </c>
      <c r="I88" s="262"/>
      <c r="J88" s="262"/>
      <c r="K88" s="262"/>
      <c r="L88" s="205"/>
      <c r="M88" s="300" t="s">
        <v>134</v>
      </c>
      <c r="N88" s="300"/>
      <c r="O88" s="300"/>
      <c r="P88" s="300"/>
      <c r="Q88" s="300"/>
      <c r="R88" s="300"/>
      <c r="S88" s="262">
        <v>85</v>
      </c>
      <c r="T88" s="262"/>
      <c r="U88" s="262"/>
      <c r="V88" s="262"/>
      <c r="W88" s="205"/>
      <c r="X88" s="300" t="s">
        <v>134</v>
      </c>
      <c r="Y88" s="300"/>
      <c r="Z88" s="300"/>
      <c r="AA88" s="300"/>
      <c r="AB88" s="300"/>
      <c r="AC88" s="300"/>
      <c r="AD88" s="262">
        <v>130</v>
      </c>
      <c r="AE88" s="262"/>
      <c r="AF88" s="262"/>
      <c r="AG88" s="262"/>
      <c r="AH88" s="205"/>
      <c r="AI88" s="300" t="s">
        <v>134</v>
      </c>
      <c r="AJ88" s="300"/>
      <c r="AK88" s="300"/>
      <c r="AL88" s="300"/>
      <c r="AM88" s="300"/>
      <c r="AN88" s="300"/>
      <c r="AO88" s="301">
        <v>130</v>
      </c>
      <c r="AP88" s="302"/>
      <c r="AQ88" s="302"/>
      <c r="AR88" s="303"/>
      <c r="AS88" s="205"/>
      <c r="AT88" s="300" t="s">
        <v>134</v>
      </c>
      <c r="AU88" s="300"/>
      <c r="AV88" s="300"/>
      <c r="AW88" s="300"/>
      <c r="AX88" s="300"/>
      <c r="AY88" s="300"/>
      <c r="AZ88" s="262">
        <v>170</v>
      </c>
      <c r="BA88" s="262"/>
      <c r="BB88" s="262"/>
      <c r="BC88" s="262"/>
      <c r="BD88" s="205"/>
      <c r="BE88" s="300" t="s">
        <v>134</v>
      </c>
      <c r="BF88" s="300"/>
      <c r="BG88" s="300"/>
      <c r="BH88" s="300"/>
      <c r="BI88" s="300"/>
      <c r="BJ88" s="300"/>
      <c r="BK88" s="262">
        <v>170</v>
      </c>
      <c r="BL88" s="262"/>
      <c r="BM88" s="262"/>
      <c r="BN88" s="262"/>
    </row>
    <row r="89" spans="1:66" s="15" customFormat="1" ht="9" customHeight="1" x14ac:dyDescent="0.25">
      <c r="A89" s="207"/>
      <c r="B89" s="261" t="s">
        <v>787</v>
      </c>
      <c r="C89" s="261"/>
      <c r="D89" s="261"/>
      <c r="E89" s="261"/>
      <c r="F89" s="261"/>
      <c r="G89" s="261"/>
      <c r="H89" s="262">
        <v>955</v>
      </c>
      <c r="I89" s="262"/>
      <c r="J89" s="262"/>
      <c r="K89" s="262"/>
      <c r="L89" s="205"/>
      <c r="M89" s="261" t="s">
        <v>788</v>
      </c>
      <c r="N89" s="261"/>
      <c r="O89" s="261"/>
      <c r="P89" s="261"/>
      <c r="Q89" s="261"/>
      <c r="R89" s="261"/>
      <c r="S89" s="262">
        <v>780</v>
      </c>
      <c r="T89" s="262"/>
      <c r="U89" s="262"/>
      <c r="V89" s="262"/>
      <c r="W89" s="205"/>
      <c r="X89" s="261" t="s">
        <v>163</v>
      </c>
      <c r="Y89" s="261"/>
      <c r="Z89" s="261"/>
      <c r="AA89" s="261"/>
      <c r="AB89" s="261"/>
      <c r="AC89" s="261"/>
      <c r="AD89" s="262">
        <v>830</v>
      </c>
      <c r="AE89" s="262"/>
      <c r="AF89" s="262"/>
      <c r="AG89" s="262"/>
      <c r="AH89" s="205"/>
      <c r="AI89" s="261" t="s">
        <v>164</v>
      </c>
      <c r="AJ89" s="261"/>
      <c r="AK89" s="261"/>
      <c r="AL89" s="261"/>
      <c r="AM89" s="261"/>
      <c r="AN89" s="261"/>
      <c r="AO89" s="301">
        <v>920</v>
      </c>
      <c r="AP89" s="302"/>
      <c r="AQ89" s="302"/>
      <c r="AR89" s="303"/>
      <c r="AS89" s="205"/>
      <c r="AT89" s="261" t="s">
        <v>163</v>
      </c>
      <c r="AU89" s="261"/>
      <c r="AV89" s="261"/>
      <c r="AW89" s="261"/>
      <c r="AX89" s="261"/>
      <c r="AY89" s="261"/>
      <c r="AZ89" s="262">
        <v>1070</v>
      </c>
      <c r="BA89" s="262"/>
      <c r="BB89" s="262"/>
      <c r="BC89" s="262"/>
      <c r="BD89" s="205"/>
      <c r="BE89" s="261" t="s">
        <v>164</v>
      </c>
      <c r="BF89" s="261"/>
      <c r="BG89" s="261"/>
      <c r="BH89" s="261"/>
      <c r="BI89" s="261"/>
      <c r="BJ89" s="261"/>
      <c r="BK89" s="262">
        <v>1190</v>
      </c>
      <c r="BL89" s="262"/>
      <c r="BM89" s="262"/>
      <c r="BN89" s="262"/>
    </row>
    <row r="90" spans="1:66" s="15" customFormat="1" ht="2.1" customHeight="1" x14ac:dyDescent="0.25">
      <c r="B90" s="137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  <c r="AV90" s="137"/>
      <c r="AW90" s="137"/>
      <c r="AX90" s="137"/>
      <c r="AY90" s="137"/>
      <c r="AZ90" s="137"/>
      <c r="BA90" s="137"/>
      <c r="BB90" s="137"/>
      <c r="BC90" s="137"/>
      <c r="BD90" s="137"/>
      <c r="BE90" s="137"/>
      <c r="BF90" s="137"/>
      <c r="BG90" s="137"/>
      <c r="BH90" s="137"/>
      <c r="BI90" s="137"/>
      <c r="BJ90" s="137"/>
      <c r="BK90" s="137"/>
      <c r="BL90" s="137"/>
      <c r="BM90" s="137"/>
      <c r="BN90" s="137"/>
    </row>
    <row r="91" spans="1:66" s="15" customFormat="1" ht="9" customHeight="1" x14ac:dyDescent="0.25">
      <c r="B91" s="304" t="s">
        <v>117</v>
      </c>
      <c r="C91" s="304"/>
      <c r="D91" s="304"/>
      <c r="E91" s="304"/>
      <c r="F91" s="304"/>
      <c r="G91" s="304"/>
      <c r="H91" s="262">
        <v>1340</v>
      </c>
      <c r="I91" s="262"/>
      <c r="J91" s="262"/>
      <c r="K91" s="262"/>
      <c r="L91" s="211"/>
      <c r="M91" s="304" t="s">
        <v>118</v>
      </c>
      <c r="N91" s="304"/>
      <c r="O91" s="304"/>
      <c r="P91" s="304"/>
      <c r="Q91" s="304"/>
      <c r="R91" s="304"/>
      <c r="S91" s="262">
        <v>750</v>
      </c>
      <c r="T91" s="262"/>
      <c r="U91" s="262"/>
      <c r="V91" s="262"/>
      <c r="W91" s="211"/>
      <c r="X91" s="304" t="s">
        <v>127</v>
      </c>
      <c r="Y91" s="304"/>
      <c r="Z91" s="304"/>
      <c r="AA91" s="304"/>
      <c r="AB91" s="304"/>
      <c r="AC91" s="304"/>
      <c r="AD91" s="304"/>
      <c r="AE91" s="304"/>
      <c r="AF91" s="304"/>
      <c r="AG91" s="304"/>
      <c r="AH91" s="304"/>
      <c r="AI91" s="304"/>
      <c r="AJ91" s="304"/>
      <c r="AK91" s="304"/>
      <c r="AL91" s="304"/>
      <c r="AM91" s="304"/>
      <c r="AN91" s="304"/>
      <c r="AO91" s="305" t="s">
        <v>826</v>
      </c>
      <c r="AP91" s="306"/>
      <c r="AQ91" s="306"/>
      <c r="AR91" s="307"/>
      <c r="AS91" s="211"/>
      <c r="AT91" s="304" t="s">
        <v>622</v>
      </c>
      <c r="AU91" s="304"/>
      <c r="AV91" s="304"/>
      <c r="AW91" s="304"/>
      <c r="AX91" s="304"/>
      <c r="AY91" s="304"/>
      <c r="AZ91" s="304"/>
      <c r="BA91" s="304"/>
      <c r="BB91" s="304"/>
      <c r="BC91" s="304"/>
      <c r="BD91" s="304"/>
      <c r="BE91" s="304"/>
      <c r="BF91" s="304"/>
      <c r="BG91" s="304"/>
      <c r="BH91" s="304"/>
      <c r="BI91" s="304"/>
      <c r="BJ91" s="304"/>
      <c r="BK91" s="262">
        <v>785</v>
      </c>
      <c r="BL91" s="262"/>
      <c r="BM91" s="262"/>
      <c r="BN91" s="262"/>
    </row>
    <row r="92" spans="1:66" s="15" customFormat="1" ht="9" customHeight="1" x14ac:dyDescent="0.25">
      <c r="B92" s="304" t="s">
        <v>131</v>
      </c>
      <c r="C92" s="304"/>
      <c r="D92" s="304"/>
      <c r="E92" s="304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262">
        <v>1100</v>
      </c>
      <c r="T92" s="262"/>
      <c r="U92" s="262"/>
      <c r="V92" s="262"/>
      <c r="W92" s="211"/>
      <c r="X92" s="304" t="s">
        <v>128</v>
      </c>
      <c r="Y92" s="304"/>
      <c r="Z92" s="304"/>
      <c r="AA92" s="304"/>
      <c r="AB92" s="304"/>
      <c r="AC92" s="304"/>
      <c r="AD92" s="304"/>
      <c r="AE92" s="304"/>
      <c r="AF92" s="304"/>
      <c r="AG92" s="304"/>
      <c r="AH92" s="304"/>
      <c r="AI92" s="304"/>
      <c r="AJ92" s="304"/>
      <c r="AK92" s="304"/>
      <c r="AL92" s="304"/>
      <c r="AM92" s="304"/>
      <c r="AN92" s="304"/>
      <c r="AO92" s="305" t="s">
        <v>827</v>
      </c>
      <c r="AP92" s="306"/>
      <c r="AQ92" s="306"/>
      <c r="AR92" s="307"/>
      <c r="AS92" s="211"/>
      <c r="AT92" s="308" t="s">
        <v>741</v>
      </c>
      <c r="AU92" s="308"/>
      <c r="AV92" s="308"/>
      <c r="AW92" s="308"/>
      <c r="AX92" s="308"/>
      <c r="AY92" s="308"/>
      <c r="AZ92" s="308"/>
      <c r="BA92" s="308"/>
      <c r="BB92" s="308"/>
      <c r="BC92" s="308"/>
      <c r="BD92" s="308"/>
      <c r="BE92" s="308"/>
      <c r="BF92" s="308"/>
      <c r="BG92" s="308"/>
      <c r="BH92" s="308"/>
      <c r="BI92" s="308"/>
      <c r="BJ92" s="308"/>
      <c r="BK92" s="262">
        <v>385</v>
      </c>
      <c r="BL92" s="262"/>
      <c r="BM92" s="262"/>
      <c r="BN92" s="262"/>
    </row>
    <row r="93" spans="1:66" s="15" customFormat="1" ht="9" customHeight="1" x14ac:dyDescent="0.25">
      <c r="B93" s="304" t="s">
        <v>820</v>
      </c>
      <c r="C93" s="304"/>
      <c r="D93" s="304"/>
      <c r="E93" s="304"/>
      <c r="F93" s="304"/>
      <c r="G93" s="304"/>
      <c r="H93" s="304"/>
      <c r="I93" s="304"/>
      <c r="J93" s="304"/>
      <c r="K93" s="304"/>
      <c r="L93" s="304"/>
      <c r="M93" s="304"/>
      <c r="N93" s="304"/>
      <c r="O93" s="304"/>
      <c r="P93" s="304"/>
      <c r="Q93" s="304"/>
      <c r="R93" s="304"/>
      <c r="S93" s="262">
        <v>180</v>
      </c>
      <c r="T93" s="262"/>
      <c r="U93" s="262"/>
      <c r="V93" s="262"/>
      <c r="W93" s="211"/>
      <c r="X93" s="304" t="s">
        <v>125</v>
      </c>
      <c r="Y93" s="304"/>
      <c r="Z93" s="304"/>
      <c r="AA93" s="304"/>
      <c r="AB93" s="304"/>
      <c r="AC93" s="304"/>
      <c r="AD93" s="304"/>
      <c r="AE93" s="304"/>
      <c r="AF93" s="304"/>
      <c r="AG93" s="304"/>
      <c r="AH93" s="304"/>
      <c r="AI93" s="304"/>
      <c r="AJ93" s="304"/>
      <c r="AK93" s="304"/>
      <c r="AL93" s="304"/>
      <c r="AM93" s="304"/>
      <c r="AN93" s="304"/>
      <c r="AO93" s="301">
        <v>210</v>
      </c>
      <c r="AP93" s="302"/>
      <c r="AQ93" s="302"/>
      <c r="AR93" s="303"/>
      <c r="AS93" s="211"/>
      <c r="AT93" s="304" t="s">
        <v>120</v>
      </c>
      <c r="AU93" s="304"/>
      <c r="AV93" s="304"/>
      <c r="AW93" s="304"/>
      <c r="AX93" s="304"/>
      <c r="AY93" s="304"/>
      <c r="AZ93" s="304"/>
      <c r="BA93" s="304"/>
      <c r="BB93" s="304"/>
      <c r="BC93" s="304"/>
      <c r="BD93" s="304"/>
      <c r="BE93" s="304"/>
      <c r="BF93" s="304"/>
      <c r="BG93" s="304"/>
      <c r="BH93" s="304"/>
      <c r="BI93" s="304"/>
      <c r="BJ93" s="304"/>
      <c r="BK93" s="262">
        <v>170</v>
      </c>
      <c r="BL93" s="262"/>
      <c r="BM93" s="262"/>
      <c r="BN93" s="262"/>
    </row>
    <row r="94" spans="1:66" s="15" customFormat="1" ht="9" customHeight="1" x14ac:dyDescent="0.25">
      <c r="B94" s="304" t="s">
        <v>819</v>
      </c>
      <c r="C94" s="304"/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4"/>
      <c r="P94" s="304"/>
      <c r="Q94" s="304"/>
      <c r="R94" s="304"/>
      <c r="S94" s="262">
        <v>420</v>
      </c>
      <c r="T94" s="262"/>
      <c r="U94" s="262"/>
      <c r="V94" s="262"/>
      <c r="W94" s="211"/>
      <c r="X94" s="304" t="s">
        <v>130</v>
      </c>
      <c r="Y94" s="304"/>
      <c r="Z94" s="304"/>
      <c r="AA94" s="304"/>
      <c r="AB94" s="304"/>
      <c r="AC94" s="304"/>
      <c r="AD94" s="304"/>
      <c r="AE94" s="304"/>
      <c r="AF94" s="304"/>
      <c r="AG94" s="304"/>
      <c r="AH94" s="304"/>
      <c r="AI94" s="304"/>
      <c r="AJ94" s="304"/>
      <c r="AK94" s="304"/>
      <c r="AL94" s="304"/>
      <c r="AM94" s="304"/>
      <c r="AN94" s="304"/>
      <c r="AO94" s="301">
        <v>205</v>
      </c>
      <c r="AP94" s="302"/>
      <c r="AQ94" s="302"/>
      <c r="AR94" s="303"/>
      <c r="AS94" s="211"/>
      <c r="AT94" s="304" t="s">
        <v>119</v>
      </c>
      <c r="AU94" s="304"/>
      <c r="AV94" s="304"/>
      <c r="AW94" s="304"/>
      <c r="AX94" s="304"/>
      <c r="AY94" s="304"/>
      <c r="AZ94" s="304"/>
      <c r="BA94" s="304"/>
      <c r="BB94" s="304"/>
      <c r="BC94" s="304"/>
      <c r="BD94" s="304"/>
      <c r="BE94" s="304"/>
      <c r="BF94" s="304"/>
      <c r="BG94" s="304"/>
      <c r="BH94" s="304"/>
      <c r="BI94" s="304"/>
      <c r="BJ94" s="304"/>
      <c r="BK94" s="262">
        <v>125</v>
      </c>
      <c r="BL94" s="262"/>
      <c r="BM94" s="262"/>
      <c r="BN94" s="262"/>
    </row>
    <row r="95" spans="1:66" s="15" customFormat="1" ht="9" customHeight="1" x14ac:dyDescent="0.25">
      <c r="B95" s="304" t="s">
        <v>742</v>
      </c>
      <c r="C95" s="304"/>
      <c r="D95" s="304"/>
      <c r="E95" s="304"/>
      <c r="F95" s="304"/>
      <c r="G95" s="304"/>
      <c r="H95" s="304"/>
      <c r="I95" s="304"/>
      <c r="J95" s="304"/>
      <c r="K95" s="304"/>
      <c r="L95" s="304"/>
      <c r="M95" s="304"/>
      <c r="N95" s="304"/>
      <c r="O95" s="304"/>
      <c r="P95" s="304"/>
      <c r="Q95" s="304"/>
      <c r="R95" s="304"/>
      <c r="S95" s="262">
        <v>205</v>
      </c>
      <c r="T95" s="262"/>
      <c r="U95" s="262"/>
      <c r="V95" s="262"/>
      <c r="W95" s="211"/>
      <c r="X95" s="304" t="s">
        <v>129</v>
      </c>
      <c r="Y95" s="304"/>
      <c r="Z95" s="304"/>
      <c r="AA95" s="304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304"/>
      <c r="AO95" s="301">
        <v>110</v>
      </c>
      <c r="AP95" s="302"/>
      <c r="AQ95" s="302"/>
      <c r="AR95" s="303"/>
      <c r="AS95" s="211"/>
      <c r="AT95" s="304" t="s">
        <v>780</v>
      </c>
      <c r="AU95" s="304"/>
      <c r="AV95" s="304"/>
      <c r="AW95" s="304"/>
      <c r="AX95" s="304"/>
      <c r="AY95" s="304"/>
      <c r="AZ95" s="304"/>
      <c r="BA95" s="304"/>
      <c r="BB95" s="304"/>
      <c r="BC95" s="304"/>
      <c r="BD95" s="304"/>
      <c r="BE95" s="304"/>
      <c r="BF95" s="304"/>
      <c r="BG95" s="304"/>
      <c r="BH95" s="304"/>
      <c r="BI95" s="304"/>
      <c r="BJ95" s="304"/>
      <c r="BK95" s="262">
        <v>35</v>
      </c>
      <c r="BL95" s="262"/>
      <c r="BM95" s="262"/>
      <c r="BN95" s="262"/>
    </row>
    <row r="96" spans="1:66" s="15" customFormat="1" ht="9" customHeight="1" x14ac:dyDescent="0.25">
      <c r="B96" s="309" t="s">
        <v>123</v>
      </c>
      <c r="C96" s="310"/>
      <c r="D96" s="310"/>
      <c r="E96" s="310"/>
      <c r="F96" s="310"/>
      <c r="G96" s="310"/>
      <c r="H96" s="310"/>
      <c r="I96" s="310"/>
      <c r="J96" s="310"/>
      <c r="K96" s="310"/>
      <c r="L96" s="310"/>
      <c r="M96" s="310"/>
      <c r="N96" s="310"/>
      <c r="O96" s="310"/>
      <c r="P96" s="310"/>
      <c r="Q96" s="310"/>
      <c r="R96" s="311"/>
      <c r="S96" s="262">
        <v>525</v>
      </c>
      <c r="T96" s="262"/>
      <c r="U96" s="262"/>
      <c r="V96" s="262"/>
      <c r="W96" s="211"/>
      <c r="X96" s="304" t="s">
        <v>126</v>
      </c>
      <c r="Y96" s="304"/>
      <c r="Z96" s="304"/>
      <c r="AA96" s="304"/>
      <c r="AB96" s="304"/>
      <c r="AC96" s="304"/>
      <c r="AD96" s="304"/>
      <c r="AE96" s="304"/>
      <c r="AF96" s="304"/>
      <c r="AG96" s="304"/>
      <c r="AH96" s="304"/>
      <c r="AI96" s="304"/>
      <c r="AJ96" s="304"/>
      <c r="AK96" s="304"/>
      <c r="AL96" s="304"/>
      <c r="AM96" s="304"/>
      <c r="AN96" s="304"/>
      <c r="AO96" s="301">
        <v>30</v>
      </c>
      <c r="AP96" s="302"/>
      <c r="AQ96" s="302"/>
      <c r="AR96" s="303"/>
      <c r="AS96" s="211"/>
      <c r="AT96" s="304" t="s">
        <v>121</v>
      </c>
      <c r="AU96" s="304"/>
      <c r="AV96" s="304"/>
      <c r="AW96" s="304"/>
      <c r="AX96" s="304"/>
      <c r="AY96" s="304"/>
      <c r="AZ96" s="304"/>
      <c r="BA96" s="304"/>
      <c r="BB96" s="304"/>
      <c r="BC96" s="304"/>
      <c r="BD96" s="304"/>
      <c r="BE96" s="304"/>
      <c r="BF96" s="304"/>
      <c r="BG96" s="304"/>
      <c r="BH96" s="304"/>
      <c r="BI96" s="304"/>
      <c r="BJ96" s="304"/>
      <c r="BK96" s="262">
        <v>10</v>
      </c>
      <c r="BL96" s="262"/>
      <c r="BM96" s="262"/>
      <c r="BN96" s="262"/>
    </row>
    <row r="97" spans="2:66" s="15" customFormat="1" ht="9" customHeight="1" x14ac:dyDescent="0.25">
      <c r="B97" s="309" t="s">
        <v>124</v>
      </c>
      <c r="C97" s="310"/>
      <c r="D97" s="310"/>
      <c r="E97" s="310"/>
      <c r="F97" s="310"/>
      <c r="G97" s="310"/>
      <c r="H97" s="310"/>
      <c r="I97" s="310"/>
      <c r="J97" s="310"/>
      <c r="K97" s="310"/>
      <c r="L97" s="310"/>
      <c r="M97" s="310"/>
      <c r="N97" s="310"/>
      <c r="O97" s="310"/>
      <c r="P97" s="310"/>
      <c r="Q97" s="310"/>
      <c r="R97" s="311"/>
      <c r="S97" s="262">
        <v>600</v>
      </c>
      <c r="T97" s="262"/>
      <c r="U97" s="262"/>
      <c r="V97" s="262"/>
      <c r="W97" s="211"/>
      <c r="X97" s="304" t="s">
        <v>808</v>
      </c>
      <c r="Y97" s="304"/>
      <c r="Z97" s="304"/>
      <c r="AA97" s="304"/>
      <c r="AB97" s="304"/>
      <c r="AC97" s="304"/>
      <c r="AD97" s="304"/>
      <c r="AE97" s="304"/>
      <c r="AF97" s="304"/>
      <c r="AG97" s="304"/>
      <c r="AH97" s="304"/>
      <c r="AI97" s="304"/>
      <c r="AJ97" s="304"/>
      <c r="AK97" s="304"/>
      <c r="AL97" s="304"/>
      <c r="AM97" s="304"/>
      <c r="AN97" s="304"/>
      <c r="AO97" s="301">
        <v>35</v>
      </c>
      <c r="AP97" s="302"/>
      <c r="AQ97" s="302"/>
      <c r="AR97" s="303"/>
      <c r="AS97" s="211"/>
      <c r="AT97" s="304" t="s">
        <v>122</v>
      </c>
      <c r="AU97" s="304"/>
      <c r="AV97" s="304"/>
      <c r="AW97" s="304"/>
      <c r="AX97" s="304"/>
      <c r="AY97" s="304"/>
      <c r="AZ97" s="304"/>
      <c r="BA97" s="304"/>
      <c r="BB97" s="304"/>
      <c r="BC97" s="304"/>
      <c r="BD97" s="304"/>
      <c r="BE97" s="304"/>
      <c r="BF97" s="304"/>
      <c r="BG97" s="304"/>
      <c r="BH97" s="304"/>
      <c r="BI97" s="304"/>
      <c r="BJ97" s="304"/>
      <c r="BK97" s="262">
        <v>15</v>
      </c>
      <c r="BL97" s="262"/>
      <c r="BM97" s="262"/>
      <c r="BN97" s="262"/>
    </row>
    <row r="98" spans="2:66" ht="10.5" customHeight="1" x14ac:dyDescent="0.25">
      <c r="B98" s="304" t="s">
        <v>746</v>
      </c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262">
        <v>1490</v>
      </c>
      <c r="T98" s="262"/>
      <c r="U98" s="262"/>
      <c r="V98" s="262"/>
      <c r="W98" s="249"/>
      <c r="X98" s="262" t="s">
        <v>828</v>
      </c>
      <c r="Y98" s="262"/>
      <c r="Z98" s="262"/>
      <c r="AA98" s="262"/>
      <c r="AB98" s="262"/>
      <c r="AC98" s="262"/>
      <c r="AD98" s="262"/>
      <c r="AE98" s="262"/>
      <c r="AF98" s="262"/>
      <c r="AG98" s="262"/>
      <c r="AH98" s="262"/>
      <c r="AI98" s="262"/>
      <c r="AJ98" s="262"/>
      <c r="AK98" s="262"/>
      <c r="AL98" s="262"/>
      <c r="AM98" s="262"/>
      <c r="AN98" s="262"/>
      <c r="AO98" s="262"/>
      <c r="AP98" s="262"/>
      <c r="AQ98" s="262"/>
      <c r="AR98" s="262"/>
      <c r="AS98" s="249"/>
      <c r="AT98" s="304" t="s">
        <v>763</v>
      </c>
      <c r="AU98" s="304"/>
      <c r="AV98" s="304"/>
      <c r="AW98" s="304"/>
      <c r="AX98" s="304"/>
      <c r="AY98" s="304"/>
      <c r="AZ98" s="304"/>
      <c r="BA98" s="304"/>
      <c r="BB98" s="304"/>
      <c r="BC98" s="304"/>
      <c r="BD98" s="304"/>
      <c r="BE98" s="304"/>
      <c r="BF98" s="304"/>
      <c r="BG98" s="304"/>
      <c r="BH98" s="304"/>
      <c r="BI98" s="304"/>
      <c r="BJ98" s="304"/>
      <c r="BK98" s="262">
        <v>570</v>
      </c>
      <c r="BL98" s="262"/>
      <c r="BM98" s="262"/>
      <c r="BN98" s="262"/>
    </row>
    <row r="99" spans="2:66" ht="9" customHeight="1" x14ac:dyDescent="0.25"/>
    <row r="100" spans="2:66" ht="9" customHeight="1" x14ac:dyDescent="0.25"/>
    <row r="101" spans="2:66" ht="9" customHeight="1" x14ac:dyDescent="0.25"/>
    <row r="102" spans="2:66" ht="9" customHeight="1" x14ac:dyDescent="0.25"/>
    <row r="103" spans="2:66" ht="9" customHeight="1" x14ac:dyDescent="0.25"/>
    <row r="104" spans="2:66" ht="9" customHeight="1" x14ac:dyDescent="0.25"/>
    <row r="105" spans="2:66" ht="9" customHeight="1" x14ac:dyDescent="0.25"/>
    <row r="106" spans="2:66" ht="9" customHeight="1" x14ac:dyDescent="0.25"/>
    <row r="107" spans="2:66" ht="9" customHeight="1" x14ac:dyDescent="0.25"/>
    <row r="108" spans="2:66" ht="9" customHeight="1" x14ac:dyDescent="0.25"/>
    <row r="109" spans="2:66" ht="9" customHeight="1" x14ac:dyDescent="0.25"/>
    <row r="110" spans="2:66" ht="9" customHeight="1" x14ac:dyDescent="0.25"/>
    <row r="111" spans="2:66" ht="9" customHeight="1" x14ac:dyDescent="0.25"/>
    <row r="112" spans="2:66" ht="9" customHeight="1" x14ac:dyDescent="0.25"/>
    <row r="113" ht="9" customHeight="1" x14ac:dyDescent="0.25"/>
    <row r="114" ht="9" customHeight="1" x14ac:dyDescent="0.25"/>
    <row r="115" ht="9" customHeight="1" x14ac:dyDescent="0.25"/>
    <row r="116" ht="9" customHeight="1" x14ac:dyDescent="0.25"/>
    <row r="117" ht="9" customHeight="1" x14ac:dyDescent="0.25"/>
    <row r="118" ht="9" customHeight="1" x14ac:dyDescent="0.25"/>
    <row r="119" ht="9" customHeight="1" x14ac:dyDescent="0.25"/>
    <row r="120" ht="9" customHeight="1" x14ac:dyDescent="0.25"/>
    <row r="121" ht="9" customHeight="1" x14ac:dyDescent="0.25"/>
    <row r="122" ht="9" customHeight="1" x14ac:dyDescent="0.25"/>
    <row r="123" ht="9" customHeight="1" x14ac:dyDescent="0.25"/>
    <row r="124" ht="9" customHeight="1" x14ac:dyDescent="0.25"/>
    <row r="125" ht="9" customHeight="1" x14ac:dyDescent="0.25"/>
    <row r="126" ht="9" customHeight="1" x14ac:dyDescent="0.25"/>
    <row r="127" ht="9" customHeight="1" x14ac:dyDescent="0.25"/>
    <row r="128" ht="9" customHeight="1" x14ac:dyDescent="0.25"/>
    <row r="129" ht="9" customHeight="1" x14ac:dyDescent="0.25"/>
    <row r="130" ht="9" customHeight="1" x14ac:dyDescent="0.25"/>
    <row r="131" ht="9" customHeight="1" x14ac:dyDescent="0.25"/>
    <row r="132" ht="9" customHeight="1" x14ac:dyDescent="0.25"/>
    <row r="133" ht="9" customHeight="1" x14ac:dyDescent="0.25"/>
    <row r="134" ht="9" customHeight="1" x14ac:dyDescent="0.25"/>
    <row r="135" ht="9" customHeight="1" x14ac:dyDescent="0.25"/>
    <row r="136" ht="9" customHeight="1" x14ac:dyDescent="0.25"/>
    <row r="137" ht="9" customHeight="1" x14ac:dyDescent="0.25"/>
    <row r="138" ht="9" customHeight="1" x14ac:dyDescent="0.25"/>
    <row r="139" ht="9" customHeight="1" x14ac:dyDescent="0.25"/>
    <row r="140" ht="9" customHeight="1" x14ac:dyDescent="0.25"/>
    <row r="141" ht="9" customHeight="1" x14ac:dyDescent="0.25"/>
    <row r="142" ht="9" customHeight="1" x14ac:dyDescent="0.25"/>
    <row r="143" ht="9" customHeight="1" x14ac:dyDescent="0.25"/>
    <row r="144" ht="9" customHeight="1" x14ac:dyDescent="0.25"/>
    <row r="145" ht="9" customHeight="1" x14ac:dyDescent="0.25"/>
    <row r="146" ht="9" customHeight="1" x14ac:dyDescent="0.25"/>
    <row r="147" ht="9" customHeight="1" x14ac:dyDescent="0.25"/>
    <row r="148" ht="9" customHeight="1" x14ac:dyDescent="0.25"/>
    <row r="149" ht="9" customHeight="1" x14ac:dyDescent="0.25"/>
    <row r="150" ht="9" customHeight="1" x14ac:dyDescent="0.25"/>
    <row r="151" ht="9" customHeight="1" x14ac:dyDescent="0.25"/>
    <row r="152" ht="9" customHeight="1" x14ac:dyDescent="0.25"/>
    <row r="153" ht="9" customHeight="1" x14ac:dyDescent="0.25"/>
    <row r="154" ht="9" customHeight="1" x14ac:dyDescent="0.25"/>
    <row r="155" ht="9" customHeight="1" x14ac:dyDescent="0.25"/>
    <row r="156" ht="9" customHeight="1" x14ac:dyDescent="0.25"/>
    <row r="157" ht="9" customHeight="1" x14ac:dyDescent="0.25"/>
    <row r="158" ht="9" customHeight="1" x14ac:dyDescent="0.25"/>
    <row r="159" ht="9" customHeight="1" x14ac:dyDescent="0.25"/>
    <row r="160" ht="9" customHeight="1" x14ac:dyDescent="0.25"/>
    <row r="161" ht="9" customHeight="1" x14ac:dyDescent="0.25"/>
    <row r="162" ht="9" customHeight="1" x14ac:dyDescent="0.25"/>
    <row r="163" ht="9" customHeight="1" x14ac:dyDescent="0.25"/>
    <row r="164" ht="9" customHeight="1" x14ac:dyDescent="0.25"/>
    <row r="165" ht="9" customHeight="1" x14ac:dyDescent="0.25"/>
    <row r="166" ht="9" customHeight="1" x14ac:dyDescent="0.25"/>
    <row r="167" ht="9" customHeight="1" x14ac:dyDescent="0.25"/>
    <row r="168" ht="9" customHeight="1" x14ac:dyDescent="0.25"/>
    <row r="169" ht="9" customHeight="1" x14ac:dyDescent="0.25"/>
    <row r="170" ht="9" customHeight="1" x14ac:dyDescent="0.25"/>
    <row r="171" ht="9" customHeight="1" x14ac:dyDescent="0.25"/>
    <row r="172" ht="9" customHeight="1" x14ac:dyDescent="0.25"/>
    <row r="173" ht="9" customHeight="1" x14ac:dyDescent="0.25"/>
    <row r="174" ht="9" customHeight="1" x14ac:dyDescent="0.25"/>
    <row r="175" ht="9" customHeight="1" x14ac:dyDescent="0.25"/>
    <row r="176" ht="9" customHeight="1" x14ac:dyDescent="0.25"/>
    <row r="177" ht="9" customHeight="1" x14ac:dyDescent="0.25"/>
    <row r="178" ht="9" customHeight="1" x14ac:dyDescent="0.25"/>
    <row r="179" ht="9" customHeight="1" x14ac:dyDescent="0.25"/>
    <row r="180" ht="9" customHeight="1" x14ac:dyDescent="0.25"/>
    <row r="181" ht="9" customHeight="1" x14ac:dyDescent="0.25"/>
    <row r="182" ht="9" customHeight="1" x14ac:dyDescent="0.25"/>
    <row r="183" ht="9" customHeight="1" x14ac:dyDescent="0.25"/>
    <row r="184" ht="9" customHeight="1" x14ac:dyDescent="0.25"/>
    <row r="185" ht="9" customHeight="1" x14ac:dyDescent="0.25"/>
    <row r="186" ht="9" customHeight="1" x14ac:dyDescent="0.25"/>
    <row r="187" ht="9" customHeight="1" x14ac:dyDescent="0.25"/>
    <row r="188" ht="9" customHeight="1" x14ac:dyDescent="0.25"/>
    <row r="189" ht="9" customHeight="1" x14ac:dyDescent="0.25"/>
    <row r="190" ht="9" customHeight="1" x14ac:dyDescent="0.25"/>
    <row r="191" ht="9" customHeight="1" x14ac:dyDescent="0.25"/>
    <row r="192" ht="9" customHeight="1" x14ac:dyDescent="0.25"/>
    <row r="193" ht="9" customHeight="1" x14ac:dyDescent="0.25"/>
    <row r="194" ht="9" customHeight="1" x14ac:dyDescent="0.25"/>
    <row r="195" ht="9" customHeight="1" x14ac:dyDescent="0.25"/>
    <row r="196" ht="9" customHeight="1" x14ac:dyDescent="0.25"/>
    <row r="197" ht="9" customHeight="1" x14ac:dyDescent="0.25"/>
    <row r="198" ht="9" customHeight="1" x14ac:dyDescent="0.25"/>
    <row r="199" ht="9" customHeight="1" x14ac:dyDescent="0.25"/>
    <row r="200" ht="9" customHeight="1" x14ac:dyDescent="0.25"/>
    <row r="201" ht="9" customHeight="1" x14ac:dyDescent="0.25"/>
    <row r="202" ht="9" customHeight="1" x14ac:dyDescent="0.25"/>
    <row r="203" ht="9" customHeight="1" x14ac:dyDescent="0.25"/>
    <row r="204" ht="9" customHeight="1" x14ac:dyDescent="0.25"/>
    <row r="205" ht="9" customHeight="1" x14ac:dyDescent="0.25"/>
    <row r="206" ht="9" customHeight="1" x14ac:dyDescent="0.25"/>
    <row r="207" ht="9" customHeight="1" x14ac:dyDescent="0.25"/>
    <row r="208" ht="9" customHeight="1" x14ac:dyDescent="0.25"/>
    <row r="209" ht="9" customHeight="1" x14ac:dyDescent="0.25"/>
    <row r="210" ht="9" customHeight="1" x14ac:dyDescent="0.25"/>
    <row r="211" ht="9" customHeight="1" x14ac:dyDescent="0.25"/>
    <row r="212" ht="9" customHeight="1" x14ac:dyDescent="0.25"/>
    <row r="213" ht="9" customHeight="1" x14ac:dyDescent="0.25"/>
    <row r="214" ht="9" customHeight="1" x14ac:dyDescent="0.25"/>
    <row r="215" ht="9" customHeight="1" x14ac:dyDescent="0.25"/>
    <row r="216" ht="9" customHeight="1" x14ac:dyDescent="0.25"/>
    <row r="217" ht="9" customHeight="1" x14ac:dyDescent="0.25"/>
    <row r="218" ht="9" customHeight="1" x14ac:dyDescent="0.25"/>
    <row r="219" ht="9" customHeight="1" x14ac:dyDescent="0.25"/>
    <row r="220" ht="9" customHeight="1" x14ac:dyDescent="0.25"/>
    <row r="221" ht="9" customHeight="1" x14ac:dyDescent="0.25"/>
    <row r="222" ht="9" customHeight="1" x14ac:dyDescent="0.25"/>
    <row r="223" ht="9" customHeight="1" x14ac:dyDescent="0.25"/>
    <row r="224" ht="9" customHeight="1" x14ac:dyDescent="0.25"/>
    <row r="225" ht="9" customHeight="1" x14ac:dyDescent="0.25"/>
    <row r="226" ht="9" customHeight="1" x14ac:dyDescent="0.25"/>
    <row r="227" ht="9" customHeight="1" x14ac:dyDescent="0.25"/>
    <row r="228" ht="9" customHeight="1" x14ac:dyDescent="0.25"/>
    <row r="229" ht="9" customHeight="1" x14ac:dyDescent="0.25"/>
    <row r="230" ht="9" customHeight="1" x14ac:dyDescent="0.25"/>
    <row r="231" ht="9" customHeight="1" x14ac:dyDescent="0.25"/>
    <row r="232" ht="9" customHeight="1" x14ac:dyDescent="0.25"/>
    <row r="233" ht="9" customHeight="1" x14ac:dyDescent="0.25"/>
    <row r="234" ht="9" customHeight="1" x14ac:dyDescent="0.25"/>
    <row r="235" ht="9" customHeight="1" x14ac:dyDescent="0.25"/>
    <row r="236" ht="9" customHeight="1" x14ac:dyDescent="0.25"/>
    <row r="237" ht="9" customHeight="1" x14ac:dyDescent="0.25"/>
    <row r="238" ht="9" customHeight="1" x14ac:dyDescent="0.25"/>
    <row r="239" ht="9" customHeight="1" x14ac:dyDescent="0.25"/>
    <row r="240" ht="9" customHeight="1" x14ac:dyDescent="0.25"/>
    <row r="241" ht="9" customHeight="1" x14ac:dyDescent="0.25"/>
    <row r="242" ht="9" customHeight="1" x14ac:dyDescent="0.25"/>
    <row r="243" ht="9" customHeight="1" x14ac:dyDescent="0.25"/>
    <row r="244" ht="9" customHeight="1" x14ac:dyDescent="0.25"/>
    <row r="245" ht="9" customHeight="1" x14ac:dyDescent="0.25"/>
    <row r="246" ht="9" customHeight="1" x14ac:dyDescent="0.25"/>
    <row r="247" ht="9" customHeight="1" x14ac:dyDescent="0.25"/>
    <row r="248" ht="9" customHeight="1" x14ac:dyDescent="0.25"/>
    <row r="249" ht="9" customHeight="1" x14ac:dyDescent="0.25"/>
    <row r="250" ht="9" customHeight="1" x14ac:dyDescent="0.25"/>
    <row r="251" ht="9" customHeight="1" x14ac:dyDescent="0.25"/>
    <row r="252" ht="9" customHeight="1" x14ac:dyDescent="0.25"/>
    <row r="253" ht="9" customHeight="1" x14ac:dyDescent="0.25"/>
    <row r="254" ht="9" customHeight="1" x14ac:dyDescent="0.25"/>
    <row r="255" ht="9" customHeight="1" x14ac:dyDescent="0.25"/>
    <row r="256" ht="9" customHeight="1" x14ac:dyDescent="0.25"/>
    <row r="257" ht="9" customHeight="1" x14ac:dyDescent="0.25"/>
    <row r="258" ht="9" customHeight="1" x14ac:dyDescent="0.25"/>
    <row r="259" ht="9" customHeight="1" x14ac:dyDescent="0.25"/>
    <row r="260" ht="9" customHeight="1" x14ac:dyDescent="0.25"/>
    <row r="261" ht="9" customHeight="1" x14ac:dyDescent="0.25"/>
    <row r="262" ht="9" customHeight="1" x14ac:dyDescent="0.25"/>
    <row r="263" ht="9" customHeight="1" x14ac:dyDescent="0.25"/>
    <row r="264" ht="9" customHeight="1" x14ac:dyDescent="0.25"/>
    <row r="265" ht="9" customHeight="1" x14ac:dyDescent="0.25"/>
    <row r="266" ht="9" customHeight="1" x14ac:dyDescent="0.25"/>
    <row r="267" ht="9" customHeight="1" x14ac:dyDescent="0.25"/>
    <row r="268" ht="9" customHeight="1" x14ac:dyDescent="0.25"/>
    <row r="269" ht="9" customHeight="1" x14ac:dyDescent="0.25"/>
    <row r="270" ht="9" customHeight="1" x14ac:dyDescent="0.25"/>
    <row r="271" ht="9" customHeight="1" x14ac:dyDescent="0.25"/>
    <row r="272" ht="9" customHeight="1" x14ac:dyDescent="0.25"/>
    <row r="273" ht="9" customHeight="1" x14ac:dyDescent="0.25"/>
    <row r="274" ht="9" customHeight="1" x14ac:dyDescent="0.25"/>
    <row r="275" ht="9" customHeight="1" x14ac:dyDescent="0.25"/>
    <row r="276" ht="9" customHeight="1" x14ac:dyDescent="0.25"/>
    <row r="277" ht="9" customHeight="1" x14ac:dyDescent="0.25"/>
    <row r="278" ht="9" customHeight="1" x14ac:dyDescent="0.25"/>
    <row r="279" ht="9" customHeight="1" x14ac:dyDescent="0.25"/>
    <row r="280" ht="9" customHeight="1" x14ac:dyDescent="0.25"/>
    <row r="281" ht="9" customHeight="1" x14ac:dyDescent="0.25"/>
    <row r="282" ht="9" customHeight="1" x14ac:dyDescent="0.25"/>
    <row r="283" ht="9" customHeight="1" x14ac:dyDescent="0.25"/>
    <row r="284" ht="9" customHeight="1" x14ac:dyDescent="0.25"/>
    <row r="285" ht="9" customHeight="1" x14ac:dyDescent="0.25"/>
    <row r="286" ht="9" customHeight="1" x14ac:dyDescent="0.25"/>
    <row r="287" ht="9" customHeight="1" x14ac:dyDescent="0.25"/>
    <row r="288" ht="9" customHeight="1" x14ac:dyDescent="0.25"/>
    <row r="289" ht="9" customHeight="1" x14ac:dyDescent="0.25"/>
    <row r="290" ht="9" customHeight="1" x14ac:dyDescent="0.25"/>
    <row r="291" ht="9" customHeight="1" x14ac:dyDescent="0.25"/>
    <row r="292" ht="9" customHeight="1" x14ac:dyDescent="0.25"/>
    <row r="293" ht="9" customHeight="1" x14ac:dyDescent="0.25"/>
    <row r="294" ht="9" customHeight="1" x14ac:dyDescent="0.25"/>
    <row r="295" ht="9" customHeight="1" x14ac:dyDescent="0.25"/>
    <row r="296" ht="9" customHeight="1" x14ac:dyDescent="0.25"/>
    <row r="297" ht="9" customHeight="1" x14ac:dyDescent="0.25"/>
    <row r="298" ht="9" customHeight="1" x14ac:dyDescent="0.25"/>
    <row r="299" ht="9" customHeight="1" x14ac:dyDescent="0.25"/>
    <row r="300" ht="9" customHeight="1" x14ac:dyDescent="0.25"/>
    <row r="301" ht="9" customHeight="1" x14ac:dyDescent="0.25"/>
    <row r="302" ht="9" customHeight="1" x14ac:dyDescent="0.25"/>
    <row r="303" ht="9" customHeight="1" x14ac:dyDescent="0.25"/>
    <row r="304" ht="9" customHeight="1" x14ac:dyDescent="0.25"/>
    <row r="305" ht="9" customHeight="1" x14ac:dyDescent="0.25"/>
    <row r="306" ht="9" customHeight="1" x14ac:dyDescent="0.25"/>
    <row r="307" ht="9" customHeight="1" x14ac:dyDescent="0.25"/>
    <row r="308" ht="9" customHeight="1" x14ac:dyDescent="0.25"/>
    <row r="309" ht="9" customHeight="1" x14ac:dyDescent="0.25"/>
    <row r="310" ht="9" customHeight="1" x14ac:dyDescent="0.25"/>
    <row r="311" ht="9" customHeight="1" x14ac:dyDescent="0.25"/>
    <row r="312" ht="9" customHeight="1" x14ac:dyDescent="0.25"/>
    <row r="313" ht="9" customHeight="1" x14ac:dyDescent="0.25"/>
    <row r="314" ht="9" customHeight="1" x14ac:dyDescent="0.25"/>
    <row r="315" ht="9" customHeight="1" x14ac:dyDescent="0.25"/>
    <row r="316" ht="9" customHeight="1" x14ac:dyDescent="0.25"/>
    <row r="317" ht="9" customHeight="1" x14ac:dyDescent="0.25"/>
    <row r="318" ht="9" customHeight="1" x14ac:dyDescent="0.25"/>
    <row r="319" ht="9" customHeight="1" x14ac:dyDescent="0.25"/>
    <row r="320" ht="9" customHeight="1" x14ac:dyDescent="0.25"/>
    <row r="321" ht="9" customHeight="1" x14ac:dyDescent="0.25"/>
  </sheetData>
  <mergeCells count="273">
    <mergeCell ref="S16:T16"/>
    <mergeCell ref="U16:V16"/>
    <mergeCell ref="S60:V60"/>
    <mergeCell ref="B98:R98"/>
    <mergeCell ref="S98:V98"/>
    <mergeCell ref="B8:K16"/>
    <mergeCell ref="S95:V95"/>
    <mergeCell ref="B94:R94"/>
    <mergeCell ref="S94:V94"/>
    <mergeCell ref="B50:K50"/>
    <mergeCell ref="M50:V50"/>
    <mergeCell ref="B49:D49"/>
    <mergeCell ref="E49:K49"/>
    <mergeCell ref="M49:O49"/>
    <mergeCell ref="P49:V49"/>
    <mergeCell ref="B35:D35"/>
    <mergeCell ref="B93:R93"/>
    <mergeCell ref="S93:V93"/>
    <mergeCell ref="B60:G60"/>
    <mergeCell ref="H60:K60"/>
    <mergeCell ref="M60:R60"/>
    <mergeCell ref="BK98:BN98"/>
    <mergeCell ref="AT97:BJ97"/>
    <mergeCell ref="X97:AN97"/>
    <mergeCell ref="AO97:AR97"/>
    <mergeCell ref="AT98:BJ98"/>
    <mergeCell ref="BK97:BN97"/>
    <mergeCell ref="X96:AN96"/>
    <mergeCell ref="AO96:AR96"/>
    <mergeCell ref="AT96:BJ96"/>
    <mergeCell ref="BK96:BN96"/>
    <mergeCell ref="X98:AR98"/>
    <mergeCell ref="X95:AN95"/>
    <mergeCell ref="AO95:AR95"/>
    <mergeCell ref="AT95:BJ95"/>
    <mergeCell ref="BK95:BN95"/>
    <mergeCell ref="X94:AN94"/>
    <mergeCell ref="AO94:AR94"/>
    <mergeCell ref="B97:R97"/>
    <mergeCell ref="S97:V97"/>
    <mergeCell ref="B96:R96"/>
    <mergeCell ref="S96:V96"/>
    <mergeCell ref="B95:R95"/>
    <mergeCell ref="BK94:BN94"/>
    <mergeCell ref="AT94:BJ94"/>
    <mergeCell ref="X93:AN93"/>
    <mergeCell ref="AO93:AR93"/>
    <mergeCell ref="AT93:BJ93"/>
    <mergeCell ref="BK93:BN93"/>
    <mergeCell ref="AT91:BJ91"/>
    <mergeCell ref="BK91:BN91"/>
    <mergeCell ref="B92:R92"/>
    <mergeCell ref="S92:V92"/>
    <mergeCell ref="X92:AN92"/>
    <mergeCell ref="AO92:AR92"/>
    <mergeCell ref="AT92:BJ92"/>
    <mergeCell ref="BK92:BN92"/>
    <mergeCell ref="B91:G91"/>
    <mergeCell ref="H91:K91"/>
    <mergeCell ref="M91:R91"/>
    <mergeCell ref="S91:V91"/>
    <mergeCell ref="X91:AN91"/>
    <mergeCell ref="AO91:AR91"/>
    <mergeCell ref="AT89:AY89"/>
    <mergeCell ref="AZ89:BC89"/>
    <mergeCell ref="BE89:BJ89"/>
    <mergeCell ref="BK89:BN89"/>
    <mergeCell ref="B89:G89"/>
    <mergeCell ref="H89:K89"/>
    <mergeCell ref="M89:R89"/>
    <mergeCell ref="S89:V89"/>
    <mergeCell ref="X89:AC89"/>
    <mergeCell ref="AD89:AG89"/>
    <mergeCell ref="AI89:AN89"/>
    <mergeCell ref="AO89:AR89"/>
    <mergeCell ref="BH77:BN77"/>
    <mergeCell ref="B78:K78"/>
    <mergeCell ref="M78:V78"/>
    <mergeCell ref="X78:AG78"/>
    <mergeCell ref="AI78:AR78"/>
    <mergeCell ref="AT78:BC78"/>
    <mergeCell ref="BE78:BN78"/>
    <mergeCell ref="AI88:AN88"/>
    <mergeCell ref="AO88:AR88"/>
    <mergeCell ref="AT88:AY88"/>
    <mergeCell ref="AZ88:BC88"/>
    <mergeCell ref="BE88:BJ88"/>
    <mergeCell ref="BK88:BN88"/>
    <mergeCell ref="B88:G88"/>
    <mergeCell ref="H88:K88"/>
    <mergeCell ref="M88:R88"/>
    <mergeCell ref="S88:V88"/>
    <mergeCell ref="X88:AC88"/>
    <mergeCell ref="AD88:AG88"/>
    <mergeCell ref="BL75:BN75"/>
    <mergeCell ref="B77:D77"/>
    <mergeCell ref="E77:K77"/>
    <mergeCell ref="M77:O77"/>
    <mergeCell ref="P77:V77"/>
    <mergeCell ref="X77:Z77"/>
    <mergeCell ref="AA77:AG77"/>
    <mergeCell ref="AI77:AK77"/>
    <mergeCell ref="AL77:AR77"/>
    <mergeCell ref="AT77:AV77"/>
    <mergeCell ref="AI75:AN75"/>
    <mergeCell ref="AO75:AR75"/>
    <mergeCell ref="AT75:AX75"/>
    <mergeCell ref="AY75:AZ75"/>
    <mergeCell ref="BA75:BC75"/>
    <mergeCell ref="BJ75:BK75"/>
    <mergeCell ref="B75:G75"/>
    <mergeCell ref="H75:K75"/>
    <mergeCell ref="M75:R75"/>
    <mergeCell ref="S75:V75"/>
    <mergeCell ref="X75:AC75"/>
    <mergeCell ref="AD75:AG75"/>
    <mergeCell ref="AW77:BC77"/>
    <mergeCell ref="BE77:BG77"/>
    <mergeCell ref="BE64:BN64"/>
    <mergeCell ref="AY73:AZ73"/>
    <mergeCell ref="BA73:BC73"/>
    <mergeCell ref="AT74:AX74"/>
    <mergeCell ref="AY74:AZ74"/>
    <mergeCell ref="BA74:BC74"/>
    <mergeCell ref="BJ74:BK74"/>
    <mergeCell ref="BL74:BN74"/>
    <mergeCell ref="B64:K64"/>
    <mergeCell ref="M64:V64"/>
    <mergeCell ref="X64:AG64"/>
    <mergeCell ref="AI64:AR64"/>
    <mergeCell ref="AT64:AV64"/>
    <mergeCell ref="AW64:BC64"/>
    <mergeCell ref="AI65:AR65"/>
    <mergeCell ref="AI63:AK63"/>
    <mergeCell ref="AL63:AR63"/>
    <mergeCell ref="AT63:AV63"/>
    <mergeCell ref="AW63:BC63"/>
    <mergeCell ref="BE63:BG63"/>
    <mergeCell ref="BH63:BN63"/>
    <mergeCell ref="B63:D63"/>
    <mergeCell ref="E63:K63"/>
    <mergeCell ref="M63:O63"/>
    <mergeCell ref="P63:V63"/>
    <mergeCell ref="X63:Z63"/>
    <mergeCell ref="AA63:AG63"/>
    <mergeCell ref="AI61:AN61"/>
    <mergeCell ref="AO61:AR61"/>
    <mergeCell ref="AT61:AY61"/>
    <mergeCell ref="AZ61:BC61"/>
    <mergeCell ref="BE61:BJ61"/>
    <mergeCell ref="BK61:BN61"/>
    <mergeCell ref="B61:G61"/>
    <mergeCell ref="H61:K61"/>
    <mergeCell ref="M61:R61"/>
    <mergeCell ref="S61:V61"/>
    <mergeCell ref="X61:AC61"/>
    <mergeCell ref="AD61:AG61"/>
    <mergeCell ref="X50:AG50"/>
    <mergeCell ref="AI50:AR50"/>
    <mergeCell ref="AT50:BC50"/>
    <mergeCell ref="BE50:BN50"/>
    <mergeCell ref="AI49:AK49"/>
    <mergeCell ref="AL49:AR49"/>
    <mergeCell ref="AT49:AV49"/>
    <mergeCell ref="AW49:BC49"/>
    <mergeCell ref="BE49:BG49"/>
    <mergeCell ref="BH49:BN49"/>
    <mergeCell ref="X49:Z49"/>
    <mergeCell ref="AA49:AG49"/>
    <mergeCell ref="AI47:AN47"/>
    <mergeCell ref="AO47:AR47"/>
    <mergeCell ref="AT47:AY47"/>
    <mergeCell ref="AZ47:BC47"/>
    <mergeCell ref="BE47:BJ47"/>
    <mergeCell ref="BK47:BN47"/>
    <mergeCell ref="B36:K36"/>
    <mergeCell ref="M36:V36"/>
    <mergeCell ref="X36:AG36"/>
    <mergeCell ref="AI36:AR36"/>
    <mergeCell ref="B47:G47"/>
    <mergeCell ref="H47:K47"/>
    <mergeCell ref="M47:R47"/>
    <mergeCell ref="S47:V47"/>
    <mergeCell ref="X47:AC47"/>
    <mergeCell ref="AD47:AG47"/>
    <mergeCell ref="B37:K37"/>
    <mergeCell ref="M37:V37"/>
    <mergeCell ref="BE36:BN36"/>
    <mergeCell ref="X46:AG46"/>
    <mergeCell ref="AI46:AR46"/>
    <mergeCell ref="AI37:AR37"/>
    <mergeCell ref="AI35:AK35"/>
    <mergeCell ref="AL35:AR35"/>
    <mergeCell ref="AT35:AV35"/>
    <mergeCell ref="AW35:BC35"/>
    <mergeCell ref="BE35:BG35"/>
    <mergeCell ref="BH35:BN35"/>
    <mergeCell ref="AT33:AY33"/>
    <mergeCell ref="AZ33:BC33"/>
    <mergeCell ref="BE33:BJ33"/>
    <mergeCell ref="BK33:BN33"/>
    <mergeCell ref="AI33:AN33"/>
    <mergeCell ref="AO33:AR33"/>
    <mergeCell ref="X35:Z35"/>
    <mergeCell ref="AA35:AG35"/>
    <mergeCell ref="M33:R33"/>
    <mergeCell ref="S33:V33"/>
    <mergeCell ref="X33:AC33"/>
    <mergeCell ref="AD33:AG33"/>
    <mergeCell ref="B21:K33"/>
    <mergeCell ref="M21:O21"/>
    <mergeCell ref="P21:V21"/>
    <mergeCell ref="X21:Z21"/>
    <mergeCell ref="AA21:AG21"/>
    <mergeCell ref="M23:V23"/>
    <mergeCell ref="X23:AG23"/>
    <mergeCell ref="M35:O35"/>
    <mergeCell ref="E35:K35"/>
    <mergeCell ref="P35:V35"/>
    <mergeCell ref="BE21:BG21"/>
    <mergeCell ref="BH21:BN21"/>
    <mergeCell ref="M22:V22"/>
    <mergeCell ref="X22:AG22"/>
    <mergeCell ref="AI22:AR22"/>
    <mergeCell ref="AT22:BC22"/>
    <mergeCell ref="BE22:BN22"/>
    <mergeCell ref="BK19:BN19"/>
    <mergeCell ref="AT19:AY19"/>
    <mergeCell ref="BE19:BJ19"/>
    <mergeCell ref="M19:R19"/>
    <mergeCell ref="X19:AC19"/>
    <mergeCell ref="AI19:AN19"/>
    <mergeCell ref="AI23:AR23"/>
    <mergeCell ref="AZ18:BC18"/>
    <mergeCell ref="AZ19:BC19"/>
    <mergeCell ref="AT18:AY18"/>
    <mergeCell ref="M18:R18"/>
    <mergeCell ref="S18:V18"/>
    <mergeCell ref="AD18:AE18"/>
    <mergeCell ref="AF18:AG18"/>
    <mergeCell ref="AO18:AP18"/>
    <mergeCell ref="AQ18:AR18"/>
    <mergeCell ref="S19:V19"/>
    <mergeCell ref="AD19:AG19"/>
    <mergeCell ref="AO19:AR19"/>
    <mergeCell ref="AI21:AK21"/>
    <mergeCell ref="AL21:AR21"/>
    <mergeCell ref="AT21:AV21"/>
    <mergeCell ref="AW21:BC21"/>
    <mergeCell ref="A1:BN4"/>
    <mergeCell ref="BH7:BN7"/>
    <mergeCell ref="B5:K5"/>
    <mergeCell ref="AZ17:BA17"/>
    <mergeCell ref="BB17:BC17"/>
    <mergeCell ref="M17:R17"/>
    <mergeCell ref="S17:V17"/>
    <mergeCell ref="M8:V8"/>
    <mergeCell ref="X8:AG8"/>
    <mergeCell ref="AI8:AR8"/>
    <mergeCell ref="AT8:BC8"/>
    <mergeCell ref="BE8:BN8"/>
    <mergeCell ref="M7:O7"/>
    <mergeCell ref="P7:V7"/>
    <mergeCell ref="X7:Z7"/>
    <mergeCell ref="AA7:AG7"/>
    <mergeCell ref="M5:BN5"/>
    <mergeCell ref="AI7:AK7"/>
    <mergeCell ref="AL7:AR7"/>
    <mergeCell ref="AT7:AV7"/>
    <mergeCell ref="AW7:BC7"/>
    <mergeCell ref="BE7:BG7"/>
    <mergeCell ref="B7:K7"/>
    <mergeCell ref="B17:K19"/>
  </mergeCells>
  <pageMargins left="0.23622047244094491" right="0.23622047244094491" top="0.23622047244094491" bottom="0.23622047244094491" header="0.31496062992125984" footer="0.31496062992125984"/>
  <pageSetup paperSize="9" scale="8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P266"/>
  <sheetViews>
    <sheetView showGridLines="0" view="pageBreakPreview" zoomScaleSheetLayoutView="100" workbookViewId="0">
      <selection activeCell="M5" sqref="M5:BN5"/>
    </sheetView>
  </sheetViews>
  <sheetFormatPr defaultColWidth="9.140625" defaultRowHeight="8.25" x14ac:dyDescent="0.25"/>
  <cols>
    <col min="1" max="1" width="0.28515625" style="2" customWidth="1"/>
    <col min="2" max="6" width="1.7109375" style="2" customWidth="1"/>
    <col min="7" max="7" width="2.7109375" style="2" customWidth="1"/>
    <col min="8" max="8" width="2.5703125" style="2" customWidth="1"/>
    <col min="9" max="9" width="1.7109375" style="2" customWidth="1"/>
    <col min="10" max="10" width="2.140625" style="2" customWidth="1"/>
    <col min="11" max="11" width="1.7109375" style="2" customWidth="1"/>
    <col min="12" max="12" width="0.28515625" style="2" customWidth="1"/>
    <col min="13" max="17" width="1.7109375" style="2" customWidth="1"/>
    <col min="18" max="18" width="3.140625" style="2" customWidth="1"/>
    <col min="19" max="19" width="2.5703125" style="2" customWidth="1"/>
    <col min="20" max="20" width="2.7109375" style="2" customWidth="1"/>
    <col min="21" max="21" width="2.85546875" style="2" customWidth="1"/>
    <col min="22" max="22" width="2.42578125" style="2" customWidth="1"/>
    <col min="23" max="23" width="0.28515625" style="2" customWidth="1"/>
    <col min="24" max="28" width="1.7109375" style="2" customWidth="1"/>
    <col min="29" max="29" width="2.7109375" style="2" customWidth="1"/>
    <col min="30" max="30" width="2.5703125" style="2" customWidth="1"/>
    <col min="31" max="31" width="1.7109375" style="2" customWidth="1"/>
    <col min="32" max="32" width="2.5703125" style="2" customWidth="1"/>
    <col min="33" max="33" width="1.7109375" style="2" customWidth="1"/>
    <col min="34" max="34" width="0.28515625" style="2" customWidth="1"/>
    <col min="35" max="44" width="1.7109375" style="2" customWidth="1"/>
    <col min="45" max="45" width="0.28515625" style="2" customWidth="1"/>
    <col min="46" max="50" width="1.7109375" style="2" customWidth="1"/>
    <col min="51" max="51" width="2.85546875" style="2" customWidth="1"/>
    <col min="52" max="52" width="2.7109375" style="2" customWidth="1"/>
    <col min="53" max="53" width="1.7109375" style="2" customWidth="1"/>
    <col min="54" max="54" width="2" style="2" customWidth="1"/>
    <col min="55" max="55" width="1.7109375" style="2" customWidth="1"/>
    <col min="56" max="56" width="0.28515625" style="2" customWidth="1"/>
    <col min="57" max="62" width="1.7109375" style="2" customWidth="1"/>
    <col min="63" max="63" width="3" style="2" customWidth="1"/>
    <col min="64" max="64" width="2.42578125" style="2" customWidth="1"/>
    <col min="65" max="65" width="3.140625" style="2" customWidth="1"/>
    <col min="66" max="66" width="2.28515625" style="2" customWidth="1"/>
    <col min="67" max="67" width="0.28515625" style="2" customWidth="1"/>
    <col min="68" max="16384" width="9.140625" style="2"/>
  </cols>
  <sheetData>
    <row r="1" spans="1:66" ht="19.5" customHeight="1" x14ac:dyDescent="0.25">
      <c r="A1" s="250" t="s">
        <v>830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  <c r="BL1" s="251"/>
      <c r="BM1" s="251"/>
      <c r="BN1" s="252"/>
    </row>
    <row r="2" spans="1:66" ht="19.5" customHeight="1" x14ac:dyDescent="0.25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251"/>
      <c r="BN2" s="252"/>
    </row>
    <row r="3" spans="1:66" ht="19.5" customHeight="1" x14ac:dyDescent="0.25">
      <c r="A3" s="251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251"/>
      <c r="BM3" s="251"/>
      <c r="BN3" s="252"/>
    </row>
    <row r="4" spans="1:66" ht="19.5" customHeight="1" x14ac:dyDescent="0.25">
      <c r="A4" s="251"/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2"/>
    </row>
    <row r="5" spans="1:66" ht="18" customHeight="1" x14ac:dyDescent="0.25">
      <c r="A5" s="1"/>
      <c r="B5" s="332">
        <v>1.4</v>
      </c>
      <c r="C5" s="257"/>
      <c r="D5" s="257"/>
      <c r="E5" s="257"/>
      <c r="F5" s="257"/>
      <c r="G5" s="257"/>
      <c r="H5" s="257"/>
      <c r="I5" s="257"/>
      <c r="J5" s="257"/>
      <c r="K5" s="257"/>
      <c r="L5" s="246"/>
      <c r="M5" s="331" t="s">
        <v>95</v>
      </c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275"/>
    </row>
    <row r="6" spans="1:66" ht="1.5" customHeight="1" x14ac:dyDescent="0.25">
      <c r="A6" s="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</row>
    <row r="7" spans="1:66" s="15" customFormat="1" ht="9" customHeight="1" x14ac:dyDescent="0.25">
      <c r="B7" s="269" t="s">
        <v>50</v>
      </c>
      <c r="C7" s="270"/>
      <c r="D7" s="271"/>
      <c r="E7" s="253" t="s">
        <v>52</v>
      </c>
      <c r="F7" s="254"/>
      <c r="G7" s="254"/>
      <c r="H7" s="254"/>
      <c r="I7" s="254"/>
      <c r="J7" s="254"/>
      <c r="K7" s="255"/>
      <c r="L7" s="136"/>
      <c r="M7" s="269" t="s">
        <v>97</v>
      </c>
      <c r="N7" s="270"/>
      <c r="O7" s="271"/>
      <c r="P7" s="253" t="s">
        <v>52</v>
      </c>
      <c r="Q7" s="254"/>
      <c r="R7" s="254"/>
      <c r="S7" s="254"/>
      <c r="T7" s="254"/>
      <c r="U7" s="254"/>
      <c r="V7" s="255"/>
      <c r="W7" s="136"/>
      <c r="X7" s="269" t="s">
        <v>104</v>
      </c>
      <c r="Y7" s="270"/>
      <c r="Z7" s="271"/>
      <c r="AA7" s="253" t="s">
        <v>52</v>
      </c>
      <c r="AB7" s="254"/>
      <c r="AC7" s="254"/>
      <c r="AD7" s="254"/>
      <c r="AE7" s="254"/>
      <c r="AF7" s="254"/>
      <c r="AG7" s="255"/>
      <c r="AH7" s="137"/>
      <c r="AI7" s="327" t="s">
        <v>100</v>
      </c>
      <c r="AJ7" s="328"/>
      <c r="AK7" s="329"/>
      <c r="AL7" s="253" t="s">
        <v>52</v>
      </c>
      <c r="AM7" s="254"/>
      <c r="AN7" s="254"/>
      <c r="AO7" s="254"/>
      <c r="AP7" s="254"/>
      <c r="AQ7" s="254"/>
      <c r="AR7" s="255"/>
      <c r="AS7" s="137"/>
      <c r="AT7" s="327" t="s">
        <v>97</v>
      </c>
      <c r="AU7" s="328"/>
      <c r="AV7" s="329"/>
      <c r="AW7" s="253" t="s">
        <v>52</v>
      </c>
      <c r="AX7" s="254"/>
      <c r="AY7" s="254"/>
      <c r="AZ7" s="254"/>
      <c r="BA7" s="254"/>
      <c r="BB7" s="254"/>
      <c r="BC7" s="255"/>
      <c r="BD7" s="137"/>
      <c r="BE7" s="330" t="s">
        <v>100</v>
      </c>
      <c r="BF7" s="330"/>
      <c r="BG7" s="330"/>
      <c r="BH7" s="330"/>
      <c r="BI7" s="253" t="s">
        <v>52</v>
      </c>
      <c r="BJ7" s="254"/>
      <c r="BK7" s="254"/>
      <c r="BL7" s="254"/>
      <c r="BM7" s="254"/>
      <c r="BN7" s="326"/>
    </row>
    <row r="8" spans="1:66" s="15" customFormat="1" ht="9" customHeight="1" x14ac:dyDescent="0.25">
      <c r="B8" s="269" t="s">
        <v>51</v>
      </c>
      <c r="C8" s="270"/>
      <c r="D8" s="271"/>
      <c r="E8" s="146"/>
      <c r="F8" s="144"/>
      <c r="G8" s="144"/>
      <c r="H8" s="144"/>
      <c r="I8" s="144"/>
      <c r="J8" s="144"/>
      <c r="K8" s="145"/>
      <c r="L8" s="136"/>
      <c r="M8" s="269" t="s">
        <v>98</v>
      </c>
      <c r="N8" s="270"/>
      <c r="O8" s="271"/>
      <c r="P8" s="338" t="s">
        <v>157</v>
      </c>
      <c r="Q8" s="267"/>
      <c r="R8" s="267"/>
      <c r="S8" s="267"/>
      <c r="T8" s="267"/>
      <c r="U8" s="267"/>
      <c r="V8" s="268"/>
      <c r="W8" s="136"/>
      <c r="X8" s="269" t="s">
        <v>105</v>
      </c>
      <c r="Y8" s="270"/>
      <c r="Z8" s="271"/>
      <c r="AA8" s="338" t="s">
        <v>99</v>
      </c>
      <c r="AB8" s="267"/>
      <c r="AC8" s="267"/>
      <c r="AD8" s="267"/>
      <c r="AE8" s="267"/>
      <c r="AF8" s="267"/>
      <c r="AG8" s="268"/>
      <c r="AH8" s="137"/>
      <c r="AI8" s="327" t="s">
        <v>101</v>
      </c>
      <c r="AJ8" s="328"/>
      <c r="AK8" s="329"/>
      <c r="AL8" s="342" t="s">
        <v>159</v>
      </c>
      <c r="AM8" s="343"/>
      <c r="AN8" s="343"/>
      <c r="AO8" s="343"/>
      <c r="AP8" s="343"/>
      <c r="AQ8" s="343"/>
      <c r="AR8" s="344"/>
      <c r="AS8" s="137"/>
      <c r="AT8" s="327" t="s">
        <v>98</v>
      </c>
      <c r="AU8" s="328"/>
      <c r="AV8" s="329"/>
      <c r="AW8" s="335" t="s">
        <v>102</v>
      </c>
      <c r="AX8" s="336"/>
      <c r="AY8" s="336"/>
      <c r="AZ8" s="336"/>
      <c r="BA8" s="336"/>
      <c r="BB8" s="336"/>
      <c r="BC8" s="345"/>
      <c r="BD8" s="137"/>
      <c r="BE8" s="333" t="s">
        <v>101</v>
      </c>
      <c r="BF8" s="333"/>
      <c r="BG8" s="333"/>
      <c r="BH8" s="334"/>
      <c r="BI8" s="335" t="s">
        <v>102</v>
      </c>
      <c r="BJ8" s="336"/>
      <c r="BK8" s="336"/>
      <c r="BL8" s="336"/>
      <c r="BM8" s="336"/>
      <c r="BN8" s="337"/>
    </row>
    <row r="9" spans="1:66" s="15" customFormat="1" ht="9" customHeight="1" x14ac:dyDescent="0.25">
      <c r="B9" s="143"/>
      <c r="C9" s="144"/>
      <c r="D9" s="144"/>
      <c r="E9" s="144"/>
      <c r="F9" s="144"/>
      <c r="G9" s="144"/>
      <c r="H9" s="144"/>
      <c r="I9" s="144"/>
      <c r="J9" s="144"/>
      <c r="K9" s="145"/>
      <c r="L9" s="136"/>
      <c r="M9" s="143"/>
      <c r="N9" s="144"/>
      <c r="O9" s="144"/>
      <c r="P9" s="144"/>
      <c r="Q9" s="144"/>
      <c r="R9" s="144"/>
      <c r="S9" s="144"/>
      <c r="T9" s="144"/>
      <c r="U9" s="144"/>
      <c r="V9" s="145"/>
      <c r="W9" s="136"/>
      <c r="X9" s="143"/>
      <c r="Y9" s="144"/>
      <c r="Z9" s="144"/>
      <c r="AA9" s="144"/>
      <c r="AB9" s="144"/>
      <c r="AC9" s="144"/>
      <c r="AD9" s="144"/>
      <c r="AE9" s="144"/>
      <c r="AF9" s="144"/>
      <c r="AG9" s="145"/>
      <c r="AH9" s="137"/>
      <c r="AI9" s="143"/>
      <c r="AJ9" s="144"/>
      <c r="AK9" s="144"/>
      <c r="AL9" s="144"/>
      <c r="AM9" s="144"/>
      <c r="AN9" s="144"/>
      <c r="AO9" s="144"/>
      <c r="AP9" s="144"/>
      <c r="AQ9" s="144"/>
      <c r="AR9" s="145"/>
      <c r="AS9" s="137"/>
      <c r="AT9" s="266" t="s">
        <v>158</v>
      </c>
      <c r="AU9" s="267"/>
      <c r="AV9" s="267"/>
      <c r="AW9" s="267"/>
      <c r="AX9" s="267"/>
      <c r="AY9" s="267"/>
      <c r="AZ9" s="267"/>
      <c r="BA9" s="267"/>
      <c r="BB9" s="267"/>
      <c r="BC9" s="268"/>
      <c r="BD9" s="137"/>
      <c r="BE9" s="338" t="s">
        <v>159</v>
      </c>
      <c r="BF9" s="267"/>
      <c r="BG9" s="267"/>
      <c r="BH9" s="267"/>
      <c r="BI9" s="267"/>
      <c r="BJ9" s="267"/>
      <c r="BK9" s="267"/>
      <c r="BL9" s="267"/>
      <c r="BM9" s="267"/>
      <c r="BN9" s="339"/>
    </row>
    <row r="10" spans="1:66" s="15" customFormat="1" ht="9" customHeight="1" x14ac:dyDescent="0.25">
      <c r="B10" s="141"/>
      <c r="C10" s="139"/>
      <c r="D10" s="139"/>
      <c r="E10" s="139"/>
      <c r="F10" s="139"/>
      <c r="G10" s="139"/>
      <c r="H10" s="139"/>
      <c r="I10" s="139"/>
      <c r="J10" s="139"/>
      <c r="K10" s="142"/>
      <c r="L10" s="136"/>
      <c r="M10" s="149"/>
      <c r="N10" s="150"/>
      <c r="O10" s="150"/>
      <c r="P10" s="150"/>
      <c r="Q10" s="150"/>
      <c r="R10" s="150"/>
      <c r="S10" s="150"/>
      <c r="T10" s="150"/>
      <c r="U10" s="150"/>
      <c r="V10" s="151"/>
      <c r="W10" s="136"/>
      <c r="X10" s="149"/>
      <c r="Y10" s="150"/>
      <c r="Z10" s="150"/>
      <c r="AA10" s="150"/>
      <c r="AB10" s="150"/>
      <c r="AC10" s="150"/>
      <c r="AD10" s="150"/>
      <c r="AE10" s="150"/>
      <c r="AF10" s="150"/>
      <c r="AG10" s="151"/>
      <c r="AH10" s="137"/>
      <c r="AI10" s="143"/>
      <c r="AJ10" s="144"/>
      <c r="AK10" s="144"/>
      <c r="AL10" s="144"/>
      <c r="AM10" s="144"/>
      <c r="AN10" s="144"/>
      <c r="AO10" s="144"/>
      <c r="AP10" s="144"/>
      <c r="AQ10" s="144"/>
      <c r="AR10" s="145"/>
      <c r="AS10" s="137"/>
      <c r="AT10" s="143"/>
      <c r="AU10" s="144"/>
      <c r="AV10" s="144"/>
      <c r="AW10" s="144"/>
      <c r="AX10" s="144"/>
      <c r="AY10" s="144"/>
      <c r="AZ10" s="144"/>
      <c r="BA10" s="144"/>
      <c r="BB10" s="144"/>
      <c r="BC10" s="145"/>
      <c r="BD10" s="137"/>
      <c r="BE10" s="143"/>
      <c r="BF10" s="144"/>
      <c r="BG10" s="144"/>
      <c r="BH10" s="144"/>
      <c r="BI10" s="144"/>
      <c r="BJ10" s="144"/>
      <c r="BK10" s="144"/>
      <c r="BL10" s="144"/>
      <c r="BM10" s="144"/>
      <c r="BN10" s="145"/>
    </row>
    <row r="11" spans="1:66" s="15" customFormat="1" ht="9" customHeight="1" x14ac:dyDescent="0.25">
      <c r="B11" s="143"/>
      <c r="C11" s="144"/>
      <c r="D11" s="144"/>
      <c r="E11" s="144"/>
      <c r="F11" s="144"/>
      <c r="G11" s="144"/>
      <c r="H11" s="144"/>
      <c r="I11" s="144"/>
      <c r="J11" s="144"/>
      <c r="K11" s="145"/>
      <c r="L11" s="136"/>
      <c r="M11" s="143"/>
      <c r="N11" s="144"/>
      <c r="O11" s="144"/>
      <c r="P11" s="144"/>
      <c r="Q11" s="144"/>
      <c r="R11" s="144"/>
      <c r="S11" s="144"/>
      <c r="T11" s="144"/>
      <c r="U11" s="144"/>
      <c r="V11" s="145"/>
      <c r="W11" s="136"/>
      <c r="X11" s="143"/>
      <c r="Y11" s="144"/>
      <c r="Z11" s="144"/>
      <c r="AA11" s="144"/>
      <c r="AB11" s="144"/>
      <c r="AC11" s="144"/>
      <c r="AD11" s="144"/>
      <c r="AE11" s="144"/>
      <c r="AF11" s="144"/>
      <c r="AG11" s="145"/>
      <c r="AH11" s="137"/>
      <c r="AI11" s="143"/>
      <c r="AJ11" s="144"/>
      <c r="AK11" s="144"/>
      <c r="AL11" s="144"/>
      <c r="AM11" s="144"/>
      <c r="AN11" s="144"/>
      <c r="AO11" s="144"/>
      <c r="AP11" s="144"/>
      <c r="AQ11" s="144"/>
      <c r="AR11" s="145"/>
      <c r="AS11" s="137"/>
      <c r="AT11" s="143"/>
      <c r="AU11" s="144"/>
      <c r="AV11" s="144"/>
      <c r="AW11" s="144"/>
      <c r="AX11" s="144"/>
      <c r="AY11" s="144"/>
      <c r="AZ11" s="144"/>
      <c r="BA11" s="144"/>
      <c r="BB11" s="144"/>
      <c r="BC11" s="145"/>
      <c r="BD11" s="137"/>
      <c r="BE11" s="143"/>
      <c r="BF11" s="144"/>
      <c r="BG11" s="144"/>
      <c r="BH11" s="144"/>
      <c r="BI11" s="144"/>
      <c r="BJ11" s="144"/>
      <c r="BK11" s="144"/>
      <c r="BL11" s="144"/>
      <c r="BM11" s="144"/>
      <c r="BN11" s="145"/>
    </row>
    <row r="12" spans="1:66" s="15" customFormat="1" ht="9" customHeight="1" x14ac:dyDescent="0.25">
      <c r="B12" s="143"/>
      <c r="C12" s="144"/>
      <c r="D12" s="144"/>
      <c r="E12" s="144"/>
      <c r="F12" s="144"/>
      <c r="G12" s="144"/>
      <c r="H12" s="144"/>
      <c r="I12" s="144"/>
      <c r="J12" s="144"/>
      <c r="K12" s="145"/>
      <c r="L12" s="136"/>
      <c r="M12" s="143"/>
      <c r="N12" s="144"/>
      <c r="O12" s="144"/>
      <c r="P12" s="144"/>
      <c r="Q12" s="144"/>
      <c r="R12" s="144"/>
      <c r="S12" s="144"/>
      <c r="T12" s="144"/>
      <c r="U12" s="144"/>
      <c r="V12" s="145"/>
      <c r="W12" s="136"/>
      <c r="X12" s="143"/>
      <c r="Y12" s="144"/>
      <c r="Z12" s="144"/>
      <c r="AA12" s="144"/>
      <c r="AB12" s="144"/>
      <c r="AC12" s="144"/>
      <c r="AD12" s="144"/>
      <c r="AE12" s="144"/>
      <c r="AF12" s="144"/>
      <c r="AG12" s="145"/>
      <c r="AH12" s="137"/>
      <c r="AI12" s="143"/>
      <c r="AJ12" s="144"/>
      <c r="AK12" s="144"/>
      <c r="AL12" s="144"/>
      <c r="AM12" s="144"/>
      <c r="AN12" s="144"/>
      <c r="AO12" s="144"/>
      <c r="AP12" s="144"/>
      <c r="AQ12" s="144"/>
      <c r="AR12" s="145"/>
      <c r="AS12" s="137"/>
      <c r="AT12" s="143"/>
      <c r="AU12" s="144"/>
      <c r="AV12" s="144"/>
      <c r="AW12" s="144"/>
      <c r="AX12" s="144"/>
      <c r="AY12" s="144"/>
      <c r="AZ12" s="144"/>
      <c r="BA12" s="144"/>
      <c r="BB12" s="144"/>
      <c r="BC12" s="145"/>
      <c r="BD12" s="137"/>
      <c r="BE12" s="143"/>
      <c r="BF12" s="144"/>
      <c r="BG12" s="144"/>
      <c r="BH12" s="144"/>
      <c r="BI12" s="144"/>
      <c r="BJ12" s="144"/>
      <c r="BK12" s="144"/>
      <c r="BL12" s="144"/>
      <c r="BM12" s="144"/>
      <c r="BN12" s="145"/>
    </row>
    <row r="13" spans="1:66" s="15" customFormat="1" ht="9" customHeight="1" x14ac:dyDescent="0.25">
      <c r="B13" s="143"/>
      <c r="C13" s="144"/>
      <c r="D13" s="144"/>
      <c r="E13" s="144"/>
      <c r="F13" s="144"/>
      <c r="G13" s="144"/>
      <c r="H13" s="144"/>
      <c r="I13" s="144"/>
      <c r="J13" s="144"/>
      <c r="K13" s="145"/>
      <c r="L13" s="136"/>
      <c r="M13" s="143"/>
      <c r="N13" s="144"/>
      <c r="O13" s="144"/>
      <c r="P13" s="144"/>
      <c r="Q13" s="144"/>
      <c r="R13" s="144"/>
      <c r="S13" s="144"/>
      <c r="T13" s="144"/>
      <c r="U13" s="144"/>
      <c r="V13" s="145"/>
      <c r="W13" s="136"/>
      <c r="X13" s="143"/>
      <c r="Y13" s="144"/>
      <c r="Z13" s="144"/>
      <c r="AA13" s="144"/>
      <c r="AB13" s="144"/>
      <c r="AC13" s="144"/>
      <c r="AD13" s="144"/>
      <c r="AE13" s="144"/>
      <c r="AF13" s="144"/>
      <c r="AG13" s="145"/>
      <c r="AH13" s="137"/>
      <c r="AI13" s="143"/>
      <c r="AJ13" s="144"/>
      <c r="AK13" s="144"/>
      <c r="AL13" s="144"/>
      <c r="AM13" s="144"/>
      <c r="AN13" s="144"/>
      <c r="AO13" s="144"/>
      <c r="AP13" s="144"/>
      <c r="AQ13" s="144"/>
      <c r="AR13" s="145"/>
      <c r="AS13" s="137"/>
      <c r="AT13" s="143"/>
      <c r="AU13" s="144"/>
      <c r="AV13" s="144"/>
      <c r="AW13" s="144"/>
      <c r="AX13" s="144"/>
      <c r="AY13" s="144"/>
      <c r="AZ13" s="144"/>
      <c r="BA13" s="144"/>
      <c r="BB13" s="144"/>
      <c r="BC13" s="145"/>
      <c r="BD13" s="137"/>
      <c r="BE13" s="143"/>
      <c r="BF13" s="144"/>
      <c r="BG13" s="144"/>
      <c r="BH13" s="144"/>
      <c r="BI13" s="144"/>
      <c r="BJ13" s="144"/>
      <c r="BK13" s="144"/>
      <c r="BL13" s="144"/>
      <c r="BM13" s="144"/>
      <c r="BN13" s="145"/>
    </row>
    <row r="14" spans="1:66" s="15" customFormat="1" ht="9" customHeight="1" x14ac:dyDescent="0.25">
      <c r="B14" s="143"/>
      <c r="C14" s="144"/>
      <c r="D14" s="144"/>
      <c r="E14" s="144"/>
      <c r="F14" s="144"/>
      <c r="G14" s="144"/>
      <c r="H14" s="144"/>
      <c r="I14" s="144"/>
      <c r="J14" s="144"/>
      <c r="K14" s="145"/>
      <c r="L14" s="136"/>
      <c r="M14" s="143"/>
      <c r="N14" s="144"/>
      <c r="O14" s="144"/>
      <c r="P14" s="144"/>
      <c r="Q14" s="144"/>
      <c r="R14" s="144"/>
      <c r="S14" s="144"/>
      <c r="T14" s="144"/>
      <c r="U14" s="144"/>
      <c r="V14" s="145"/>
      <c r="W14" s="136"/>
      <c r="X14" s="143"/>
      <c r="Y14" s="144"/>
      <c r="Z14" s="144"/>
      <c r="AA14" s="144"/>
      <c r="AB14" s="144"/>
      <c r="AC14" s="144"/>
      <c r="AD14" s="144"/>
      <c r="AE14" s="144"/>
      <c r="AF14" s="144"/>
      <c r="AG14" s="145"/>
      <c r="AH14" s="137"/>
      <c r="AI14" s="143"/>
      <c r="AJ14" s="144"/>
      <c r="AK14" s="144"/>
      <c r="AL14" s="144"/>
      <c r="AM14" s="144"/>
      <c r="AN14" s="144"/>
      <c r="AO14" s="144"/>
      <c r="AP14" s="144"/>
      <c r="AQ14" s="144"/>
      <c r="AR14" s="145"/>
      <c r="AS14" s="137"/>
      <c r="AT14" s="143"/>
      <c r="AU14" s="144"/>
      <c r="AV14" s="144"/>
      <c r="AW14" s="144"/>
      <c r="AX14" s="144"/>
      <c r="AY14" s="144"/>
      <c r="AZ14" s="144"/>
      <c r="BA14" s="144"/>
      <c r="BB14" s="144"/>
      <c r="BC14" s="145"/>
      <c r="BD14" s="137"/>
      <c r="BE14" s="143"/>
      <c r="BF14" s="144"/>
      <c r="BG14" s="144"/>
      <c r="BH14" s="144"/>
      <c r="BI14" s="144"/>
      <c r="BJ14" s="144"/>
      <c r="BK14" s="144"/>
      <c r="BL14" s="144"/>
      <c r="BM14" s="144"/>
      <c r="BN14" s="145"/>
    </row>
    <row r="15" spans="1:66" s="15" customFormat="1" ht="9" customHeight="1" x14ac:dyDescent="0.25">
      <c r="B15" s="143"/>
      <c r="C15" s="144"/>
      <c r="D15" s="144"/>
      <c r="E15" s="144"/>
      <c r="F15" s="144"/>
      <c r="G15" s="144"/>
      <c r="H15" s="144"/>
      <c r="I15" s="144"/>
      <c r="J15" s="144"/>
      <c r="K15" s="145"/>
      <c r="L15" s="136"/>
      <c r="M15" s="143"/>
      <c r="N15" s="144"/>
      <c r="O15" s="144"/>
      <c r="P15" s="144"/>
      <c r="Q15" s="144"/>
      <c r="R15" s="144"/>
      <c r="S15" s="144"/>
      <c r="T15" s="144"/>
      <c r="U15" s="144"/>
      <c r="V15" s="145"/>
      <c r="W15" s="136"/>
      <c r="X15" s="143"/>
      <c r="Y15" s="144"/>
      <c r="Z15" s="144"/>
      <c r="AA15" s="144"/>
      <c r="AB15" s="144"/>
      <c r="AC15" s="144"/>
      <c r="AD15" s="144"/>
      <c r="AE15" s="144"/>
      <c r="AF15" s="144"/>
      <c r="AG15" s="145"/>
      <c r="AH15" s="137"/>
      <c r="AI15" s="143"/>
      <c r="AJ15" s="144"/>
      <c r="AK15" s="144"/>
      <c r="AL15" s="144"/>
      <c r="AM15" s="144"/>
      <c r="AN15" s="144"/>
      <c r="AO15" s="144"/>
      <c r="AP15" s="144"/>
      <c r="AQ15" s="144"/>
      <c r="AR15" s="145"/>
      <c r="AS15" s="137"/>
      <c r="AT15" s="143"/>
      <c r="AU15" s="144"/>
      <c r="AV15" s="144"/>
      <c r="AW15" s="144"/>
      <c r="AX15" s="144"/>
      <c r="AY15" s="144"/>
      <c r="AZ15" s="144"/>
      <c r="BA15" s="144"/>
      <c r="BB15" s="144"/>
      <c r="BC15" s="145"/>
      <c r="BD15" s="137"/>
      <c r="BE15" s="143"/>
      <c r="BF15" s="144"/>
      <c r="BG15" s="144"/>
      <c r="BH15" s="144"/>
      <c r="BI15" s="144"/>
      <c r="BJ15" s="144"/>
      <c r="BK15" s="144"/>
      <c r="BL15" s="144"/>
      <c r="BM15" s="144"/>
      <c r="BN15" s="145"/>
    </row>
    <row r="16" spans="1:66" s="15" customFormat="1" ht="9" customHeight="1" x14ac:dyDescent="0.25">
      <c r="B16" s="143"/>
      <c r="C16" s="144"/>
      <c r="D16" s="144"/>
      <c r="E16" s="144"/>
      <c r="F16" s="144"/>
      <c r="G16" s="144"/>
      <c r="H16" s="144"/>
      <c r="I16" s="144"/>
      <c r="J16" s="144"/>
      <c r="K16" s="145"/>
      <c r="L16" s="136"/>
      <c r="M16" s="143"/>
      <c r="N16" s="144"/>
      <c r="O16" s="144"/>
      <c r="P16" s="144"/>
      <c r="Q16" s="144"/>
      <c r="R16" s="144"/>
      <c r="S16" s="144"/>
      <c r="T16" s="144"/>
      <c r="U16" s="144"/>
      <c r="V16" s="145"/>
      <c r="W16" s="136"/>
      <c r="X16" s="143"/>
      <c r="Y16" s="144"/>
      <c r="Z16" s="144"/>
      <c r="AA16" s="144"/>
      <c r="AB16" s="144"/>
      <c r="AC16" s="144"/>
      <c r="AD16" s="144"/>
      <c r="AE16" s="144"/>
      <c r="AF16" s="144"/>
      <c r="AG16" s="145"/>
      <c r="AH16" s="137"/>
      <c r="AI16" s="143"/>
      <c r="AJ16" s="144"/>
      <c r="AK16" s="144"/>
      <c r="AL16" s="144"/>
      <c r="AM16" s="144"/>
      <c r="AN16" s="144"/>
      <c r="AO16" s="144"/>
      <c r="AP16" s="144"/>
      <c r="AQ16" s="144"/>
      <c r="AR16" s="145"/>
      <c r="AS16" s="137"/>
      <c r="AT16" s="143"/>
      <c r="AU16" s="144"/>
      <c r="AV16" s="144"/>
      <c r="AW16" s="144"/>
      <c r="AX16" s="144"/>
      <c r="AY16" s="144"/>
      <c r="AZ16" s="144"/>
      <c r="BA16" s="144"/>
      <c r="BB16" s="144"/>
      <c r="BC16" s="145"/>
      <c r="BD16" s="137"/>
      <c r="BE16" s="143"/>
      <c r="BF16" s="144"/>
      <c r="BG16" s="144"/>
      <c r="BH16" s="144"/>
      <c r="BI16" s="144"/>
      <c r="BJ16" s="144"/>
      <c r="BK16" s="144"/>
      <c r="BL16" s="144"/>
      <c r="BM16" s="144"/>
      <c r="BN16" s="145"/>
    </row>
    <row r="17" spans="2:66" s="15" customFormat="1" ht="9" customHeight="1" x14ac:dyDescent="0.25">
      <c r="B17" s="143"/>
      <c r="C17" s="144"/>
      <c r="D17" s="144"/>
      <c r="E17" s="144"/>
      <c r="F17" s="144"/>
      <c r="G17" s="144"/>
      <c r="H17" s="144"/>
      <c r="I17" s="144"/>
      <c r="J17" s="144"/>
      <c r="K17" s="145"/>
      <c r="L17" s="136"/>
      <c r="M17" s="143"/>
      <c r="N17" s="144"/>
      <c r="O17" s="144"/>
      <c r="P17" s="144"/>
      <c r="Q17" s="144"/>
      <c r="R17" s="144"/>
      <c r="S17" s="144"/>
      <c r="T17" s="144"/>
      <c r="U17" s="144"/>
      <c r="V17" s="145"/>
      <c r="W17" s="136"/>
      <c r="X17" s="346" t="s">
        <v>782</v>
      </c>
      <c r="Y17" s="346"/>
      <c r="Z17" s="346"/>
      <c r="AA17" s="346"/>
      <c r="AB17" s="346"/>
      <c r="AC17" s="346"/>
      <c r="AD17" s="346"/>
      <c r="AE17" s="346"/>
      <c r="AF17" s="346"/>
      <c r="AG17" s="346"/>
      <c r="AH17" s="346"/>
      <c r="AI17" s="346"/>
      <c r="AJ17" s="346"/>
      <c r="AK17" s="346"/>
      <c r="AL17" s="346"/>
      <c r="AM17" s="346"/>
      <c r="AN17" s="346"/>
      <c r="AO17" s="346"/>
      <c r="AP17" s="346"/>
      <c r="AQ17" s="346"/>
      <c r="AR17" s="346"/>
      <c r="AS17" s="137"/>
      <c r="AT17" s="143"/>
      <c r="AU17" s="144"/>
      <c r="AV17" s="144"/>
      <c r="AW17" s="144"/>
      <c r="AX17" s="144"/>
      <c r="AY17" s="144"/>
      <c r="AZ17" s="144"/>
      <c r="BA17" s="144"/>
      <c r="BB17" s="144"/>
      <c r="BC17" s="145"/>
      <c r="BD17" s="137"/>
      <c r="BE17" s="143"/>
      <c r="BF17" s="144"/>
      <c r="BG17" s="144"/>
      <c r="BH17" s="144"/>
      <c r="BI17" s="144"/>
      <c r="BJ17" s="144"/>
      <c r="BK17" s="144"/>
      <c r="BL17" s="144"/>
      <c r="BM17" s="144"/>
      <c r="BN17" s="145"/>
    </row>
    <row r="18" spans="2:66" s="15" customFormat="1" ht="9" customHeight="1" x14ac:dyDescent="0.25">
      <c r="B18" s="340" t="s">
        <v>792</v>
      </c>
      <c r="C18" s="264"/>
      <c r="D18" s="264"/>
      <c r="E18" s="264"/>
      <c r="F18" s="264"/>
      <c r="G18" s="264"/>
      <c r="H18" s="264"/>
      <c r="I18" s="264"/>
      <c r="J18" s="264"/>
      <c r="K18" s="341"/>
      <c r="L18" s="136"/>
      <c r="M18" s="340" t="s">
        <v>792</v>
      </c>
      <c r="N18" s="264"/>
      <c r="O18" s="264"/>
      <c r="P18" s="264"/>
      <c r="Q18" s="264"/>
      <c r="R18" s="264"/>
      <c r="S18" s="264"/>
      <c r="T18" s="264"/>
      <c r="U18" s="264"/>
      <c r="V18" s="341"/>
      <c r="W18" s="136"/>
      <c r="X18" s="340" t="s">
        <v>793</v>
      </c>
      <c r="Y18" s="264"/>
      <c r="Z18" s="264"/>
      <c r="AA18" s="264"/>
      <c r="AB18" s="264"/>
      <c r="AC18" s="264"/>
      <c r="AD18" s="264"/>
      <c r="AE18" s="264"/>
      <c r="AF18" s="264"/>
      <c r="AG18" s="341"/>
      <c r="AH18" s="137"/>
      <c r="AI18" s="340" t="s">
        <v>793</v>
      </c>
      <c r="AJ18" s="264"/>
      <c r="AK18" s="264"/>
      <c r="AL18" s="264"/>
      <c r="AM18" s="264"/>
      <c r="AN18" s="264"/>
      <c r="AO18" s="264"/>
      <c r="AP18" s="264"/>
      <c r="AQ18" s="264"/>
      <c r="AR18" s="341"/>
      <c r="AS18" s="137"/>
      <c r="AT18" s="340" t="s">
        <v>792</v>
      </c>
      <c r="AU18" s="264"/>
      <c r="AV18" s="264"/>
      <c r="AW18" s="264"/>
      <c r="AX18" s="264"/>
      <c r="AY18" s="264"/>
      <c r="AZ18" s="264"/>
      <c r="BA18" s="264"/>
      <c r="BB18" s="264"/>
      <c r="BC18" s="341"/>
      <c r="BD18" s="137"/>
      <c r="BE18" s="340" t="s">
        <v>793</v>
      </c>
      <c r="BF18" s="264"/>
      <c r="BG18" s="264"/>
      <c r="BH18" s="264"/>
      <c r="BI18" s="264"/>
      <c r="BJ18" s="264"/>
      <c r="BK18" s="264"/>
      <c r="BL18" s="264"/>
      <c r="BM18" s="264"/>
      <c r="BN18" s="341"/>
    </row>
    <row r="19" spans="2:66" s="15" customFormat="1" ht="9" customHeight="1" x14ac:dyDescent="0.25">
      <c r="B19" s="261" t="s">
        <v>53</v>
      </c>
      <c r="C19" s="261"/>
      <c r="D19" s="261"/>
      <c r="E19" s="261"/>
      <c r="F19" s="261"/>
      <c r="G19" s="261"/>
      <c r="H19" s="262">
        <f>CEILING(1154*B5,1)</f>
        <v>1616</v>
      </c>
      <c r="I19" s="262"/>
      <c r="J19" s="262"/>
      <c r="K19" s="262"/>
      <c r="L19" s="204"/>
      <c r="M19" s="261" t="s">
        <v>53</v>
      </c>
      <c r="N19" s="261"/>
      <c r="O19" s="261"/>
      <c r="P19" s="261"/>
      <c r="Q19" s="261"/>
      <c r="R19" s="261"/>
      <c r="S19" s="262">
        <f>CEILING(1768*B5,1)</f>
        <v>2476</v>
      </c>
      <c r="T19" s="262"/>
      <c r="U19" s="262"/>
      <c r="V19" s="262"/>
      <c r="W19" s="204"/>
      <c r="X19" s="261" t="s">
        <v>53</v>
      </c>
      <c r="Y19" s="261"/>
      <c r="Z19" s="261"/>
      <c r="AA19" s="261"/>
      <c r="AB19" s="261"/>
      <c r="AC19" s="261"/>
      <c r="AD19" s="262">
        <f>CEILING(1221*B5,1)</f>
        <v>1710</v>
      </c>
      <c r="AE19" s="262"/>
      <c r="AF19" s="262"/>
      <c r="AG19" s="262"/>
      <c r="AH19" s="205"/>
      <c r="AI19" s="261" t="s">
        <v>53</v>
      </c>
      <c r="AJ19" s="261"/>
      <c r="AK19" s="261"/>
      <c r="AL19" s="261"/>
      <c r="AM19" s="261"/>
      <c r="AN19" s="261"/>
      <c r="AO19" s="262">
        <f>CEILING(1836*B5,1)</f>
        <v>2571</v>
      </c>
      <c r="AP19" s="262"/>
      <c r="AQ19" s="262"/>
      <c r="AR19" s="262"/>
      <c r="AS19" s="205"/>
      <c r="AT19" s="261" t="s">
        <v>53</v>
      </c>
      <c r="AU19" s="261"/>
      <c r="AV19" s="261"/>
      <c r="AW19" s="261"/>
      <c r="AX19" s="261"/>
      <c r="AY19" s="261"/>
      <c r="AZ19" s="262">
        <f>CEILING(1953*B5,1)</f>
        <v>2735</v>
      </c>
      <c r="BA19" s="262"/>
      <c r="BB19" s="262"/>
      <c r="BC19" s="262"/>
      <c r="BD19" s="205"/>
      <c r="BE19" s="261" t="s">
        <v>53</v>
      </c>
      <c r="BF19" s="261"/>
      <c r="BG19" s="261"/>
      <c r="BH19" s="261"/>
      <c r="BI19" s="261"/>
      <c r="BJ19" s="261"/>
      <c r="BK19" s="262">
        <f>CEILING(2026*B5,1)</f>
        <v>2837</v>
      </c>
      <c r="BL19" s="262"/>
      <c r="BM19" s="262"/>
      <c r="BN19" s="262"/>
    </row>
    <row r="20" spans="2:66" s="15" customFormat="1" ht="9" customHeight="1" x14ac:dyDescent="0.25">
      <c r="B20" s="261" t="s">
        <v>54</v>
      </c>
      <c r="C20" s="261"/>
      <c r="D20" s="261"/>
      <c r="E20" s="261"/>
      <c r="F20" s="261"/>
      <c r="G20" s="261"/>
      <c r="H20" s="262">
        <f>CEILING(1551*B5,1)</f>
        <v>2172</v>
      </c>
      <c r="I20" s="262"/>
      <c r="J20" s="262"/>
      <c r="K20" s="262"/>
      <c r="L20" s="204"/>
      <c r="M20" s="261" t="s">
        <v>54</v>
      </c>
      <c r="N20" s="261"/>
      <c r="O20" s="261"/>
      <c r="P20" s="261"/>
      <c r="Q20" s="261"/>
      <c r="R20" s="261"/>
      <c r="S20" s="262">
        <f>CEILING(2167*B5,1)</f>
        <v>3034</v>
      </c>
      <c r="T20" s="262"/>
      <c r="U20" s="262"/>
      <c r="V20" s="262"/>
      <c r="W20" s="204"/>
      <c r="X20" s="261" t="s">
        <v>54</v>
      </c>
      <c r="Y20" s="261"/>
      <c r="Z20" s="261"/>
      <c r="AA20" s="261"/>
      <c r="AB20" s="261"/>
      <c r="AC20" s="261"/>
      <c r="AD20" s="262">
        <f>CEILING(1641*B5,1)</f>
        <v>2298</v>
      </c>
      <c r="AE20" s="262"/>
      <c r="AF20" s="262"/>
      <c r="AG20" s="262"/>
      <c r="AH20" s="205"/>
      <c r="AI20" s="261" t="s">
        <v>54</v>
      </c>
      <c r="AJ20" s="261"/>
      <c r="AK20" s="261"/>
      <c r="AL20" s="261"/>
      <c r="AM20" s="261"/>
      <c r="AN20" s="261"/>
      <c r="AO20" s="262">
        <f>CEILING(2257*B5,1)</f>
        <v>3160</v>
      </c>
      <c r="AP20" s="262"/>
      <c r="AQ20" s="262"/>
      <c r="AR20" s="262"/>
      <c r="AS20" s="205"/>
      <c r="AT20" s="261" t="s">
        <v>54</v>
      </c>
      <c r="AU20" s="261"/>
      <c r="AV20" s="261"/>
      <c r="AW20" s="261"/>
      <c r="AX20" s="261"/>
      <c r="AY20" s="261"/>
      <c r="AZ20" s="262">
        <f>CEILING(2370*B5,1)</f>
        <v>3318</v>
      </c>
      <c r="BA20" s="262"/>
      <c r="BB20" s="262"/>
      <c r="BC20" s="262"/>
      <c r="BD20" s="205"/>
      <c r="BE20" s="261" t="s">
        <v>54</v>
      </c>
      <c r="BF20" s="261"/>
      <c r="BG20" s="261"/>
      <c r="BH20" s="261"/>
      <c r="BI20" s="261"/>
      <c r="BJ20" s="261"/>
      <c r="BK20" s="262">
        <f>CEILING(2479*B5,1)</f>
        <v>3471</v>
      </c>
      <c r="BL20" s="262"/>
      <c r="BM20" s="262"/>
      <c r="BN20" s="262"/>
    </row>
    <row r="21" spans="2:66" s="15" customFormat="1" ht="2.1" customHeight="1" x14ac:dyDescent="0.25"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3"/>
    </row>
    <row r="22" spans="2:66" s="15" customFormat="1" ht="9" customHeight="1" x14ac:dyDescent="0.25">
      <c r="B22" s="347" t="s">
        <v>55</v>
      </c>
      <c r="C22" s="348"/>
      <c r="D22" s="349"/>
      <c r="E22" s="350" t="s">
        <v>590</v>
      </c>
      <c r="F22" s="351"/>
      <c r="G22" s="351"/>
      <c r="H22" s="351"/>
      <c r="I22" s="351"/>
      <c r="J22" s="351"/>
      <c r="K22" s="352"/>
      <c r="L22" s="152"/>
      <c r="M22" s="347" t="s">
        <v>56</v>
      </c>
      <c r="N22" s="348"/>
      <c r="O22" s="349"/>
      <c r="P22" s="350" t="s">
        <v>590</v>
      </c>
      <c r="Q22" s="351"/>
      <c r="R22" s="351"/>
      <c r="S22" s="351"/>
      <c r="T22" s="351"/>
      <c r="U22" s="351"/>
      <c r="V22" s="352"/>
      <c r="W22" s="152"/>
      <c r="X22" s="347" t="s">
        <v>106</v>
      </c>
      <c r="Y22" s="348"/>
      <c r="Z22" s="349"/>
      <c r="AA22" s="350" t="s">
        <v>590</v>
      </c>
      <c r="AB22" s="351"/>
      <c r="AC22" s="351"/>
      <c r="AD22" s="351"/>
      <c r="AE22" s="351"/>
      <c r="AF22" s="351"/>
      <c r="AG22" s="352"/>
      <c r="AH22" s="153"/>
      <c r="AI22" s="347" t="s">
        <v>114</v>
      </c>
      <c r="AJ22" s="348"/>
      <c r="AK22" s="349"/>
      <c r="AL22" s="350" t="s">
        <v>590</v>
      </c>
      <c r="AM22" s="351"/>
      <c r="AN22" s="351"/>
      <c r="AO22" s="351"/>
      <c r="AP22" s="351"/>
      <c r="AQ22" s="351"/>
      <c r="AR22" s="352"/>
      <c r="AS22" s="153"/>
      <c r="AT22" s="347" t="s">
        <v>108</v>
      </c>
      <c r="AU22" s="348"/>
      <c r="AV22" s="349"/>
      <c r="AW22" s="350" t="s">
        <v>107</v>
      </c>
      <c r="AX22" s="351"/>
      <c r="AY22" s="351"/>
      <c r="AZ22" s="351"/>
      <c r="BA22" s="351"/>
      <c r="BB22" s="351"/>
      <c r="BC22" s="352"/>
      <c r="BD22" s="153"/>
      <c r="BE22" s="347" t="s">
        <v>109</v>
      </c>
      <c r="BF22" s="348"/>
      <c r="BG22" s="349"/>
      <c r="BH22" s="350" t="s">
        <v>107</v>
      </c>
      <c r="BI22" s="351"/>
      <c r="BJ22" s="351"/>
      <c r="BK22" s="351"/>
      <c r="BL22" s="351"/>
      <c r="BM22" s="351"/>
      <c r="BN22" s="352"/>
    </row>
    <row r="23" spans="2:66" s="15" customFormat="1" ht="9" customHeight="1" x14ac:dyDescent="0.25">
      <c r="B23" s="353" t="s">
        <v>589</v>
      </c>
      <c r="C23" s="354"/>
      <c r="D23" s="354"/>
      <c r="E23" s="354"/>
      <c r="F23" s="354"/>
      <c r="G23" s="354"/>
      <c r="H23" s="354"/>
      <c r="I23" s="354"/>
      <c r="J23" s="354"/>
      <c r="K23" s="355"/>
      <c r="L23" s="153"/>
      <c r="M23" s="353" t="s">
        <v>589</v>
      </c>
      <c r="N23" s="354"/>
      <c r="O23" s="354"/>
      <c r="P23" s="354"/>
      <c r="Q23" s="354"/>
      <c r="R23" s="354"/>
      <c r="S23" s="354"/>
      <c r="T23" s="354"/>
      <c r="U23" s="354"/>
      <c r="V23" s="355"/>
      <c r="W23" s="153"/>
      <c r="X23" s="353" t="s">
        <v>591</v>
      </c>
      <c r="Y23" s="354"/>
      <c r="Z23" s="354"/>
      <c r="AA23" s="354"/>
      <c r="AB23" s="354"/>
      <c r="AC23" s="354"/>
      <c r="AD23" s="354"/>
      <c r="AE23" s="354"/>
      <c r="AF23" s="354"/>
      <c r="AG23" s="355"/>
      <c r="AH23" s="153"/>
      <c r="AI23" s="353" t="s">
        <v>591</v>
      </c>
      <c r="AJ23" s="354"/>
      <c r="AK23" s="354"/>
      <c r="AL23" s="354"/>
      <c r="AM23" s="354"/>
      <c r="AN23" s="354"/>
      <c r="AO23" s="354"/>
      <c r="AP23" s="354"/>
      <c r="AQ23" s="354"/>
      <c r="AR23" s="355"/>
      <c r="AS23" s="153"/>
      <c r="AT23" s="154"/>
      <c r="AU23" s="155"/>
      <c r="AV23" s="155"/>
      <c r="AW23" s="155"/>
      <c r="AX23" s="155"/>
      <c r="AY23" s="155"/>
      <c r="AZ23" s="155"/>
      <c r="BA23" s="155"/>
      <c r="BB23" s="155"/>
      <c r="BC23" s="156"/>
      <c r="BD23" s="153"/>
      <c r="BE23" s="353" t="s">
        <v>160</v>
      </c>
      <c r="BF23" s="354"/>
      <c r="BG23" s="354"/>
      <c r="BH23" s="354"/>
      <c r="BI23" s="354"/>
      <c r="BJ23" s="354"/>
      <c r="BK23" s="354"/>
      <c r="BL23" s="354"/>
      <c r="BM23" s="354"/>
      <c r="BN23" s="355"/>
    </row>
    <row r="24" spans="2:66" s="15" customFormat="1" ht="9" customHeight="1" x14ac:dyDescent="0.25">
      <c r="B24" s="154"/>
      <c r="C24" s="155"/>
      <c r="D24" s="155"/>
      <c r="E24" s="155"/>
      <c r="F24" s="155"/>
      <c r="G24" s="155"/>
      <c r="H24" s="155"/>
      <c r="I24" s="155"/>
      <c r="J24" s="155"/>
      <c r="K24" s="156"/>
      <c r="L24" s="153"/>
      <c r="M24" s="154"/>
      <c r="N24" s="155"/>
      <c r="O24" s="155"/>
      <c r="P24" s="155"/>
      <c r="Q24" s="155"/>
      <c r="R24" s="155"/>
      <c r="S24" s="155"/>
      <c r="T24" s="155"/>
      <c r="U24" s="155"/>
      <c r="V24" s="156"/>
      <c r="W24" s="153"/>
      <c r="X24" s="154"/>
      <c r="Y24" s="155"/>
      <c r="Z24" s="155"/>
      <c r="AA24" s="155"/>
      <c r="AB24" s="155"/>
      <c r="AC24" s="155"/>
      <c r="AD24" s="155"/>
      <c r="AE24" s="155"/>
      <c r="AF24" s="155"/>
      <c r="AG24" s="156"/>
      <c r="AH24" s="153"/>
      <c r="AI24" s="154"/>
      <c r="AJ24" s="155"/>
      <c r="AK24" s="155"/>
      <c r="AL24" s="155"/>
      <c r="AM24" s="155"/>
      <c r="AN24" s="155"/>
      <c r="AO24" s="155"/>
      <c r="AP24" s="155"/>
      <c r="AQ24" s="155"/>
      <c r="AR24" s="156"/>
      <c r="AS24" s="153"/>
      <c r="AT24" s="154"/>
      <c r="AU24" s="155"/>
      <c r="AV24" s="155"/>
      <c r="AW24" s="155"/>
      <c r="AX24" s="155"/>
      <c r="AY24" s="155"/>
      <c r="AZ24" s="155"/>
      <c r="BA24" s="155"/>
      <c r="BB24" s="155"/>
      <c r="BC24" s="156"/>
      <c r="BD24" s="153"/>
      <c r="BE24" s="154"/>
      <c r="BF24" s="155"/>
      <c r="BG24" s="155"/>
      <c r="BH24" s="155"/>
      <c r="BI24" s="155"/>
      <c r="BJ24" s="155"/>
      <c r="BK24" s="155"/>
      <c r="BL24" s="155"/>
      <c r="BM24" s="155"/>
      <c r="BN24" s="156"/>
    </row>
    <row r="25" spans="2:66" s="15" customFormat="1" ht="9" customHeight="1" x14ac:dyDescent="0.25">
      <c r="B25" s="154"/>
      <c r="C25" s="155"/>
      <c r="D25" s="155"/>
      <c r="E25" s="155"/>
      <c r="F25" s="155"/>
      <c r="G25" s="155"/>
      <c r="H25" s="155"/>
      <c r="I25" s="155"/>
      <c r="J25" s="155"/>
      <c r="K25" s="156"/>
      <c r="L25" s="153"/>
      <c r="M25" s="154"/>
      <c r="N25" s="155"/>
      <c r="O25" s="155"/>
      <c r="P25" s="155"/>
      <c r="Q25" s="155"/>
      <c r="R25" s="155"/>
      <c r="S25" s="155"/>
      <c r="T25" s="155"/>
      <c r="U25" s="155"/>
      <c r="V25" s="156"/>
      <c r="W25" s="153"/>
      <c r="X25" s="154"/>
      <c r="Y25" s="155"/>
      <c r="Z25" s="155"/>
      <c r="AA25" s="155"/>
      <c r="AB25" s="155"/>
      <c r="AC25" s="155"/>
      <c r="AD25" s="155"/>
      <c r="AE25" s="155"/>
      <c r="AF25" s="155"/>
      <c r="AG25" s="156"/>
      <c r="AH25" s="153"/>
      <c r="AI25" s="154"/>
      <c r="AJ25" s="155"/>
      <c r="AK25" s="155"/>
      <c r="AL25" s="155"/>
      <c r="AM25" s="155"/>
      <c r="AN25" s="155"/>
      <c r="AO25" s="155"/>
      <c r="AP25" s="155"/>
      <c r="AQ25" s="155"/>
      <c r="AR25" s="156"/>
      <c r="AS25" s="153"/>
      <c r="AT25" s="154"/>
      <c r="AU25" s="155"/>
      <c r="AV25" s="155"/>
      <c r="AW25" s="155"/>
      <c r="AX25" s="155"/>
      <c r="AY25" s="155"/>
      <c r="AZ25" s="155"/>
      <c r="BA25" s="155"/>
      <c r="BB25" s="155"/>
      <c r="BC25" s="156"/>
      <c r="BD25" s="153"/>
      <c r="BE25" s="154"/>
      <c r="BF25" s="155"/>
      <c r="BG25" s="155"/>
      <c r="BH25" s="155"/>
      <c r="BI25" s="155"/>
      <c r="BJ25" s="155"/>
      <c r="BK25" s="155"/>
      <c r="BL25" s="155"/>
      <c r="BM25" s="155"/>
      <c r="BN25" s="156"/>
    </row>
    <row r="26" spans="2:66" s="15" customFormat="1" ht="9" customHeight="1" x14ac:dyDescent="0.25">
      <c r="B26" s="154"/>
      <c r="C26" s="155"/>
      <c r="D26" s="155"/>
      <c r="E26" s="155"/>
      <c r="F26" s="155"/>
      <c r="G26" s="155"/>
      <c r="H26" s="155"/>
      <c r="I26" s="155"/>
      <c r="J26" s="155"/>
      <c r="K26" s="156"/>
      <c r="L26" s="153"/>
      <c r="M26" s="154"/>
      <c r="N26" s="155"/>
      <c r="O26" s="155"/>
      <c r="P26" s="155"/>
      <c r="Q26" s="155"/>
      <c r="R26" s="155"/>
      <c r="S26" s="155"/>
      <c r="T26" s="155"/>
      <c r="U26" s="155"/>
      <c r="V26" s="156"/>
      <c r="W26" s="153"/>
      <c r="X26" s="154"/>
      <c r="Y26" s="155"/>
      <c r="Z26" s="155"/>
      <c r="AA26" s="155"/>
      <c r="AB26" s="155"/>
      <c r="AC26" s="155"/>
      <c r="AD26" s="155"/>
      <c r="AE26" s="155"/>
      <c r="AF26" s="155"/>
      <c r="AG26" s="156"/>
      <c r="AH26" s="153"/>
      <c r="AI26" s="154"/>
      <c r="AJ26" s="155"/>
      <c r="AK26" s="155"/>
      <c r="AL26" s="155"/>
      <c r="AM26" s="155"/>
      <c r="AN26" s="155"/>
      <c r="AO26" s="155"/>
      <c r="AP26" s="155"/>
      <c r="AQ26" s="155"/>
      <c r="AR26" s="156"/>
      <c r="AS26" s="153"/>
      <c r="AT26" s="154"/>
      <c r="AU26" s="155"/>
      <c r="AV26" s="155"/>
      <c r="AW26" s="155"/>
      <c r="AX26" s="155"/>
      <c r="AY26" s="155"/>
      <c r="AZ26" s="155"/>
      <c r="BA26" s="155"/>
      <c r="BB26" s="155"/>
      <c r="BC26" s="156"/>
      <c r="BD26" s="153"/>
      <c r="BE26" s="154"/>
      <c r="BF26" s="155"/>
      <c r="BG26" s="155"/>
      <c r="BH26" s="155"/>
      <c r="BI26" s="155"/>
      <c r="BJ26" s="155"/>
      <c r="BK26" s="155"/>
      <c r="BL26" s="155"/>
      <c r="BM26" s="155"/>
      <c r="BN26" s="156"/>
    </row>
    <row r="27" spans="2:66" s="15" customFormat="1" ht="9" customHeight="1" x14ac:dyDescent="0.25">
      <c r="B27" s="154"/>
      <c r="C27" s="155"/>
      <c r="D27" s="155"/>
      <c r="E27" s="155"/>
      <c r="F27" s="155"/>
      <c r="G27" s="155"/>
      <c r="H27" s="155"/>
      <c r="I27" s="155"/>
      <c r="J27" s="155"/>
      <c r="K27" s="156"/>
      <c r="L27" s="153"/>
      <c r="M27" s="154"/>
      <c r="N27" s="155"/>
      <c r="O27" s="155"/>
      <c r="P27" s="155"/>
      <c r="Q27" s="155"/>
      <c r="R27" s="155"/>
      <c r="S27" s="155"/>
      <c r="T27" s="155"/>
      <c r="U27" s="155"/>
      <c r="V27" s="156"/>
      <c r="W27" s="153"/>
      <c r="X27" s="154"/>
      <c r="Y27" s="155"/>
      <c r="Z27" s="155"/>
      <c r="AA27" s="155"/>
      <c r="AB27" s="155"/>
      <c r="AC27" s="155"/>
      <c r="AD27" s="155"/>
      <c r="AE27" s="155"/>
      <c r="AF27" s="155"/>
      <c r="AG27" s="156"/>
      <c r="AH27" s="153"/>
      <c r="AI27" s="154"/>
      <c r="AJ27" s="155"/>
      <c r="AK27" s="155"/>
      <c r="AL27" s="155"/>
      <c r="AM27" s="155"/>
      <c r="AN27" s="155"/>
      <c r="AO27" s="155"/>
      <c r="AP27" s="155"/>
      <c r="AQ27" s="155"/>
      <c r="AR27" s="156"/>
      <c r="AS27" s="153"/>
      <c r="AT27" s="154"/>
      <c r="AU27" s="155"/>
      <c r="AV27" s="155"/>
      <c r="AW27" s="155"/>
      <c r="AX27" s="155"/>
      <c r="AY27" s="155"/>
      <c r="AZ27" s="155"/>
      <c r="BA27" s="155"/>
      <c r="BB27" s="155"/>
      <c r="BC27" s="156"/>
      <c r="BD27" s="153"/>
      <c r="BE27" s="154"/>
      <c r="BF27" s="155"/>
      <c r="BG27" s="155"/>
      <c r="BH27" s="155"/>
      <c r="BI27" s="155"/>
      <c r="BJ27" s="155"/>
      <c r="BK27" s="155"/>
      <c r="BL27" s="155"/>
      <c r="BM27" s="155"/>
      <c r="BN27" s="156"/>
    </row>
    <row r="28" spans="2:66" s="15" customFormat="1" ht="9" customHeight="1" x14ac:dyDescent="0.25">
      <c r="B28" s="154"/>
      <c r="C28" s="155"/>
      <c r="D28" s="155"/>
      <c r="E28" s="155"/>
      <c r="F28" s="155"/>
      <c r="G28" s="155"/>
      <c r="H28" s="155"/>
      <c r="I28" s="155"/>
      <c r="J28" s="155"/>
      <c r="K28" s="156"/>
      <c r="L28" s="153"/>
      <c r="M28" s="154"/>
      <c r="N28" s="155"/>
      <c r="O28" s="155"/>
      <c r="P28" s="155"/>
      <c r="Q28" s="155"/>
      <c r="R28" s="155"/>
      <c r="S28" s="155"/>
      <c r="T28" s="155"/>
      <c r="U28" s="155"/>
      <c r="V28" s="156"/>
      <c r="W28" s="153"/>
      <c r="X28" s="154"/>
      <c r="Y28" s="155"/>
      <c r="Z28" s="155"/>
      <c r="AA28" s="155"/>
      <c r="AB28" s="155"/>
      <c r="AC28" s="155"/>
      <c r="AD28" s="155"/>
      <c r="AE28" s="155"/>
      <c r="AF28" s="155"/>
      <c r="AG28" s="156"/>
      <c r="AH28" s="153"/>
      <c r="AI28" s="154"/>
      <c r="AJ28" s="155"/>
      <c r="AK28" s="155"/>
      <c r="AL28" s="155"/>
      <c r="AM28" s="155"/>
      <c r="AN28" s="155"/>
      <c r="AO28" s="155"/>
      <c r="AP28" s="155"/>
      <c r="AQ28" s="155"/>
      <c r="AR28" s="156"/>
      <c r="AS28" s="153"/>
      <c r="AT28" s="154"/>
      <c r="AU28" s="155"/>
      <c r="AV28" s="155"/>
      <c r="AW28" s="155"/>
      <c r="AX28" s="155"/>
      <c r="AY28" s="155"/>
      <c r="AZ28" s="155"/>
      <c r="BA28" s="155"/>
      <c r="BB28" s="155"/>
      <c r="BC28" s="156"/>
      <c r="BD28" s="153"/>
      <c r="BE28" s="154"/>
      <c r="BF28" s="155"/>
      <c r="BG28" s="155"/>
      <c r="BH28" s="155"/>
      <c r="BI28" s="155"/>
      <c r="BJ28" s="155"/>
      <c r="BK28" s="155"/>
      <c r="BL28" s="155"/>
      <c r="BM28" s="155"/>
      <c r="BN28" s="156"/>
    </row>
    <row r="29" spans="2:66" s="15" customFormat="1" ht="9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  <c r="K29" s="156"/>
      <c r="L29" s="153"/>
      <c r="M29" s="154"/>
      <c r="N29" s="155"/>
      <c r="O29" s="155"/>
      <c r="P29" s="155"/>
      <c r="Q29" s="155"/>
      <c r="R29" s="155"/>
      <c r="S29" s="155"/>
      <c r="T29" s="155"/>
      <c r="U29" s="155"/>
      <c r="V29" s="156"/>
      <c r="W29" s="153"/>
      <c r="X29" s="154"/>
      <c r="Y29" s="155"/>
      <c r="Z29" s="155"/>
      <c r="AA29" s="155"/>
      <c r="AB29" s="155"/>
      <c r="AC29" s="155"/>
      <c r="AD29" s="155"/>
      <c r="AE29" s="155"/>
      <c r="AF29" s="155"/>
      <c r="AG29" s="156"/>
      <c r="AH29" s="153"/>
      <c r="AI29" s="154"/>
      <c r="AJ29" s="155"/>
      <c r="AK29" s="155"/>
      <c r="AL29" s="155"/>
      <c r="AM29" s="155"/>
      <c r="AN29" s="155"/>
      <c r="AO29" s="155"/>
      <c r="AP29" s="155"/>
      <c r="AQ29" s="155"/>
      <c r="AR29" s="156"/>
      <c r="AS29" s="153"/>
      <c r="AT29" s="154"/>
      <c r="AU29" s="155"/>
      <c r="AV29" s="155"/>
      <c r="AW29" s="155"/>
      <c r="AX29" s="155"/>
      <c r="AY29" s="155"/>
      <c r="AZ29" s="155"/>
      <c r="BA29" s="155"/>
      <c r="BB29" s="155"/>
      <c r="BC29" s="156"/>
      <c r="BD29" s="153"/>
      <c r="BE29" s="154"/>
      <c r="BF29" s="155"/>
      <c r="BG29" s="155"/>
      <c r="BH29" s="155"/>
      <c r="BI29" s="155"/>
      <c r="BJ29" s="155"/>
      <c r="BK29" s="155"/>
      <c r="BL29" s="155"/>
      <c r="BM29" s="155"/>
      <c r="BN29" s="156"/>
    </row>
    <row r="30" spans="2:66" s="15" customFormat="1" ht="9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6"/>
      <c r="L30" s="153"/>
      <c r="M30" s="154"/>
      <c r="N30" s="155"/>
      <c r="O30" s="155"/>
      <c r="P30" s="155"/>
      <c r="Q30" s="155"/>
      <c r="R30" s="155"/>
      <c r="S30" s="155"/>
      <c r="T30" s="155"/>
      <c r="U30" s="155"/>
      <c r="V30" s="156"/>
      <c r="W30" s="153"/>
      <c r="X30" s="154"/>
      <c r="Y30" s="155"/>
      <c r="Z30" s="155"/>
      <c r="AA30" s="155"/>
      <c r="AB30" s="155"/>
      <c r="AC30" s="155"/>
      <c r="AD30" s="155"/>
      <c r="AE30" s="155"/>
      <c r="AF30" s="155"/>
      <c r="AG30" s="156"/>
      <c r="AH30" s="153"/>
      <c r="AI30" s="154"/>
      <c r="AJ30" s="155"/>
      <c r="AK30" s="155"/>
      <c r="AL30" s="155"/>
      <c r="AM30" s="155"/>
      <c r="AN30" s="155"/>
      <c r="AO30" s="155"/>
      <c r="AP30" s="155"/>
      <c r="AQ30" s="155"/>
      <c r="AR30" s="156"/>
      <c r="AS30" s="153"/>
      <c r="AT30" s="154"/>
      <c r="AU30" s="155"/>
      <c r="AV30" s="155"/>
      <c r="AW30" s="155"/>
      <c r="AX30" s="155"/>
      <c r="AY30" s="155"/>
      <c r="AZ30" s="155"/>
      <c r="BA30" s="155"/>
      <c r="BB30" s="155"/>
      <c r="BC30" s="156"/>
      <c r="BD30" s="153"/>
      <c r="BE30" s="154"/>
      <c r="BF30" s="155"/>
      <c r="BG30" s="155"/>
      <c r="BH30" s="155"/>
      <c r="BI30" s="155"/>
      <c r="BJ30" s="155"/>
      <c r="BK30" s="155"/>
      <c r="BL30" s="155"/>
      <c r="BM30" s="155"/>
      <c r="BN30" s="156"/>
    </row>
    <row r="31" spans="2:66" s="15" customFormat="1" ht="9" customHeight="1" x14ac:dyDescent="0.25">
      <c r="B31" s="154"/>
      <c r="C31" s="155"/>
      <c r="D31" s="155"/>
      <c r="E31" s="155"/>
      <c r="F31" s="155"/>
      <c r="G31" s="155"/>
      <c r="H31" s="155"/>
      <c r="I31" s="155"/>
      <c r="J31" s="155"/>
      <c r="K31" s="156"/>
      <c r="L31" s="153"/>
      <c r="M31" s="154"/>
      <c r="N31" s="155"/>
      <c r="O31" s="155"/>
      <c r="P31" s="155"/>
      <c r="Q31" s="155"/>
      <c r="R31" s="155"/>
      <c r="S31" s="155"/>
      <c r="T31" s="155"/>
      <c r="U31" s="155"/>
      <c r="V31" s="156"/>
      <c r="W31" s="153"/>
      <c r="X31" s="154"/>
      <c r="Y31" s="155"/>
      <c r="Z31" s="155"/>
      <c r="AA31" s="155"/>
      <c r="AB31" s="155"/>
      <c r="AC31" s="155"/>
      <c r="AD31" s="155"/>
      <c r="AE31" s="155"/>
      <c r="AF31" s="155"/>
      <c r="AG31" s="156"/>
      <c r="AH31" s="153"/>
      <c r="AI31" s="154"/>
      <c r="AJ31" s="155"/>
      <c r="AK31" s="155"/>
      <c r="AL31" s="155"/>
      <c r="AM31" s="155"/>
      <c r="AN31" s="155"/>
      <c r="AO31" s="155"/>
      <c r="AP31" s="155"/>
      <c r="AQ31" s="155"/>
      <c r="AR31" s="156"/>
      <c r="AS31" s="153"/>
      <c r="AT31" s="154"/>
      <c r="AU31" s="155"/>
      <c r="AV31" s="155"/>
      <c r="AW31" s="155"/>
      <c r="AX31" s="155"/>
      <c r="AY31" s="155"/>
      <c r="AZ31" s="155"/>
      <c r="BA31" s="155"/>
      <c r="BB31" s="155"/>
      <c r="BC31" s="156"/>
      <c r="BD31" s="153"/>
      <c r="BE31" s="154"/>
      <c r="BF31" s="155"/>
      <c r="BG31" s="155"/>
      <c r="BH31" s="155"/>
      <c r="BI31" s="155"/>
      <c r="BJ31" s="155"/>
      <c r="BK31" s="155"/>
      <c r="BL31" s="155"/>
      <c r="BM31" s="155"/>
      <c r="BN31" s="156"/>
    </row>
    <row r="32" spans="2:66" s="15" customFormat="1" ht="9" customHeight="1" x14ac:dyDescent="0.25">
      <c r="B32" s="154"/>
      <c r="C32" s="155"/>
      <c r="D32" s="155"/>
      <c r="E32" s="155"/>
      <c r="F32" s="155"/>
      <c r="G32" s="155"/>
      <c r="H32" s="155"/>
      <c r="I32" s="155"/>
      <c r="J32" s="155"/>
      <c r="K32" s="156"/>
      <c r="L32" s="153"/>
      <c r="M32" s="154"/>
      <c r="N32" s="155"/>
      <c r="O32" s="155"/>
      <c r="P32" s="155"/>
      <c r="Q32" s="155"/>
      <c r="R32" s="155"/>
      <c r="S32" s="155"/>
      <c r="T32" s="155"/>
      <c r="U32" s="155"/>
      <c r="V32" s="156"/>
      <c r="W32" s="153"/>
      <c r="X32" s="154"/>
      <c r="Y32" s="155"/>
      <c r="Z32" s="155"/>
      <c r="AA32" s="155"/>
      <c r="AB32" s="155"/>
      <c r="AC32" s="155"/>
      <c r="AD32" s="155"/>
      <c r="AE32" s="155"/>
      <c r="AF32" s="155"/>
      <c r="AG32" s="156"/>
      <c r="AH32" s="153"/>
      <c r="AI32" s="154"/>
      <c r="AJ32" s="155"/>
      <c r="AK32" s="155"/>
      <c r="AL32" s="155"/>
      <c r="AM32" s="155"/>
      <c r="AN32" s="155"/>
      <c r="AO32" s="155"/>
      <c r="AP32" s="155"/>
      <c r="AQ32" s="155"/>
      <c r="AR32" s="156"/>
      <c r="AS32" s="153"/>
      <c r="AT32" s="154"/>
      <c r="AU32" s="155"/>
      <c r="AV32" s="155"/>
      <c r="AW32" s="155"/>
      <c r="AX32" s="155"/>
      <c r="AY32" s="155"/>
      <c r="AZ32" s="155"/>
      <c r="BA32" s="155"/>
      <c r="BB32" s="155"/>
      <c r="BC32" s="156"/>
      <c r="BD32" s="153"/>
      <c r="BE32" s="154"/>
      <c r="BF32" s="155"/>
      <c r="BG32" s="155"/>
      <c r="BH32" s="155"/>
      <c r="BI32" s="155"/>
      <c r="BJ32" s="155"/>
      <c r="BK32" s="155"/>
      <c r="BL32" s="155"/>
      <c r="BM32" s="155"/>
      <c r="BN32" s="156"/>
    </row>
    <row r="33" spans="1:68" s="15" customFormat="1" ht="9" customHeight="1" x14ac:dyDescent="0.25">
      <c r="B33" s="353" t="s">
        <v>794</v>
      </c>
      <c r="C33" s="354"/>
      <c r="D33" s="354"/>
      <c r="E33" s="354"/>
      <c r="F33" s="354"/>
      <c r="G33" s="354"/>
      <c r="H33" s="354"/>
      <c r="I33" s="354"/>
      <c r="J33" s="354"/>
      <c r="K33" s="355"/>
      <c r="L33" s="153"/>
      <c r="M33" s="353" t="s">
        <v>795</v>
      </c>
      <c r="N33" s="354"/>
      <c r="O33" s="354"/>
      <c r="P33" s="354"/>
      <c r="Q33" s="354"/>
      <c r="R33" s="354"/>
      <c r="S33" s="354"/>
      <c r="T33" s="354"/>
      <c r="U33" s="354"/>
      <c r="V33" s="355"/>
      <c r="W33" s="153"/>
      <c r="X33" s="356" t="s">
        <v>796</v>
      </c>
      <c r="Y33" s="357"/>
      <c r="Z33" s="357"/>
      <c r="AA33" s="357"/>
      <c r="AB33" s="357"/>
      <c r="AC33" s="357"/>
      <c r="AD33" s="357"/>
      <c r="AE33" s="357"/>
      <c r="AF33" s="357"/>
      <c r="AG33" s="358"/>
      <c r="AH33" s="153"/>
      <c r="AI33" s="359" t="s">
        <v>793</v>
      </c>
      <c r="AJ33" s="360"/>
      <c r="AK33" s="360"/>
      <c r="AL33" s="360"/>
      <c r="AM33" s="360"/>
      <c r="AN33" s="360"/>
      <c r="AO33" s="360"/>
      <c r="AP33" s="360"/>
      <c r="AQ33" s="360"/>
      <c r="AR33" s="361"/>
      <c r="AS33" s="153"/>
      <c r="AT33" s="353" t="s">
        <v>797</v>
      </c>
      <c r="AU33" s="354"/>
      <c r="AV33" s="354"/>
      <c r="AW33" s="354"/>
      <c r="AX33" s="354"/>
      <c r="AY33" s="354"/>
      <c r="AZ33" s="354"/>
      <c r="BA33" s="354"/>
      <c r="BB33" s="354"/>
      <c r="BC33" s="355"/>
      <c r="BD33" s="153"/>
      <c r="BE33" s="362" t="s">
        <v>798</v>
      </c>
      <c r="BF33" s="363"/>
      <c r="BG33" s="363"/>
      <c r="BH33" s="363"/>
      <c r="BI33" s="363"/>
      <c r="BJ33" s="363"/>
      <c r="BK33" s="363"/>
      <c r="BL33" s="363"/>
      <c r="BM33" s="363"/>
      <c r="BN33" s="364"/>
    </row>
    <row r="34" spans="1:68" s="15" customFormat="1" ht="9" customHeight="1" x14ac:dyDescent="0.25">
      <c r="B34" s="365" t="s">
        <v>53</v>
      </c>
      <c r="C34" s="365"/>
      <c r="D34" s="365"/>
      <c r="E34" s="365"/>
      <c r="F34" s="365"/>
      <c r="G34" s="365"/>
      <c r="H34" s="366">
        <f>CEILING(2081*B5,1)</f>
        <v>2914</v>
      </c>
      <c r="I34" s="366"/>
      <c r="J34" s="366"/>
      <c r="K34" s="366"/>
      <c r="L34" s="208"/>
      <c r="M34" s="365" t="s">
        <v>54</v>
      </c>
      <c r="N34" s="365"/>
      <c r="O34" s="365"/>
      <c r="P34" s="365"/>
      <c r="Q34" s="365"/>
      <c r="R34" s="365"/>
      <c r="S34" s="366">
        <f>CEILING(3408*B5,1)</f>
        <v>4772</v>
      </c>
      <c r="T34" s="366"/>
      <c r="U34" s="366"/>
      <c r="V34" s="366"/>
      <c r="W34" s="208"/>
      <c r="X34" s="365" t="s">
        <v>53</v>
      </c>
      <c r="Y34" s="365"/>
      <c r="Z34" s="365"/>
      <c r="AA34" s="365"/>
      <c r="AB34" s="365"/>
      <c r="AC34" s="365"/>
      <c r="AD34" s="366">
        <f>CEILING(2167*B5,1)</f>
        <v>3034</v>
      </c>
      <c r="AE34" s="366"/>
      <c r="AF34" s="366"/>
      <c r="AG34" s="366"/>
      <c r="AH34" s="208"/>
      <c r="AI34" s="365" t="s">
        <v>54</v>
      </c>
      <c r="AJ34" s="365"/>
      <c r="AK34" s="365"/>
      <c r="AL34" s="365"/>
      <c r="AM34" s="365"/>
      <c r="AN34" s="365"/>
      <c r="AO34" s="366">
        <f>CEILING(3533*B5,1)</f>
        <v>4947</v>
      </c>
      <c r="AP34" s="366"/>
      <c r="AQ34" s="366"/>
      <c r="AR34" s="366"/>
      <c r="AS34" s="208"/>
      <c r="AT34" s="365"/>
      <c r="AU34" s="365"/>
      <c r="AV34" s="365"/>
      <c r="AW34" s="365"/>
      <c r="AX34" s="365"/>
      <c r="AY34" s="365"/>
      <c r="AZ34" s="366">
        <f>CEILING(2449*B5,1)</f>
        <v>3429</v>
      </c>
      <c r="BA34" s="366"/>
      <c r="BB34" s="366"/>
      <c r="BC34" s="366"/>
      <c r="BD34" s="208"/>
      <c r="BE34" s="365"/>
      <c r="BF34" s="365"/>
      <c r="BG34" s="365"/>
      <c r="BH34" s="365"/>
      <c r="BI34" s="365"/>
      <c r="BJ34" s="365"/>
      <c r="BK34" s="366">
        <f>CEILING(2653*B5,1)</f>
        <v>3715</v>
      </c>
      <c r="BL34" s="366"/>
      <c r="BM34" s="366"/>
      <c r="BN34" s="366"/>
    </row>
    <row r="35" spans="1:68" s="15" customFormat="1" ht="2.1" customHeight="1" x14ac:dyDescent="0.25">
      <c r="B35" s="148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</row>
    <row r="36" spans="1:68" s="15" customFormat="1" ht="9" customHeight="1" x14ac:dyDescent="0.25">
      <c r="B36" s="347" t="s">
        <v>110</v>
      </c>
      <c r="C36" s="348"/>
      <c r="D36" s="349"/>
      <c r="E36" s="350" t="s">
        <v>107</v>
      </c>
      <c r="F36" s="351"/>
      <c r="G36" s="351"/>
      <c r="H36" s="351"/>
      <c r="I36" s="351"/>
      <c r="J36" s="351"/>
      <c r="K36" s="352"/>
      <c r="L36" s="153"/>
      <c r="M36" s="347" t="s">
        <v>111</v>
      </c>
      <c r="N36" s="348"/>
      <c r="O36" s="349"/>
      <c r="P36" s="350" t="s">
        <v>107</v>
      </c>
      <c r="Q36" s="351"/>
      <c r="R36" s="351"/>
      <c r="S36" s="351"/>
      <c r="T36" s="351"/>
      <c r="U36" s="351"/>
      <c r="V36" s="352"/>
      <c r="W36" s="153"/>
      <c r="X36" s="347" t="s">
        <v>108</v>
      </c>
      <c r="Y36" s="348"/>
      <c r="Z36" s="349"/>
      <c r="AA36" s="350" t="s">
        <v>107</v>
      </c>
      <c r="AB36" s="351"/>
      <c r="AC36" s="351"/>
      <c r="AD36" s="351"/>
      <c r="AE36" s="351"/>
      <c r="AF36" s="351"/>
      <c r="AG36" s="352"/>
      <c r="AH36" s="153"/>
      <c r="AI36" s="367" t="s">
        <v>109</v>
      </c>
      <c r="AJ36" s="367"/>
      <c r="AK36" s="367"/>
      <c r="AL36" s="367"/>
      <c r="AM36" s="368" t="s">
        <v>107</v>
      </c>
      <c r="AN36" s="368"/>
      <c r="AO36" s="368"/>
      <c r="AP36" s="368"/>
      <c r="AQ36" s="368"/>
      <c r="AR36" s="369"/>
      <c r="AS36" s="153"/>
      <c r="AT36" s="347" t="s">
        <v>110</v>
      </c>
      <c r="AU36" s="348"/>
      <c r="AV36" s="349"/>
      <c r="AW36" s="350" t="s">
        <v>107</v>
      </c>
      <c r="AX36" s="351"/>
      <c r="AY36" s="351"/>
      <c r="AZ36" s="351"/>
      <c r="BA36" s="351"/>
      <c r="BB36" s="351"/>
      <c r="BC36" s="352"/>
      <c r="BD36" s="153"/>
      <c r="BE36" s="367" t="s">
        <v>111</v>
      </c>
      <c r="BF36" s="367"/>
      <c r="BG36" s="367"/>
      <c r="BH36" s="367"/>
      <c r="BI36" s="368" t="s">
        <v>107</v>
      </c>
      <c r="BJ36" s="368"/>
      <c r="BK36" s="368"/>
      <c r="BL36" s="368"/>
      <c r="BM36" s="368"/>
      <c r="BN36" s="369"/>
    </row>
    <row r="37" spans="1:68" s="15" customFormat="1" ht="9" customHeight="1" x14ac:dyDescent="0.25">
      <c r="B37" s="154" t="s">
        <v>161</v>
      </c>
      <c r="C37" s="155"/>
      <c r="D37" s="155"/>
      <c r="E37" s="155"/>
      <c r="F37" s="155"/>
      <c r="G37" s="155"/>
      <c r="H37" s="155"/>
      <c r="I37" s="155"/>
      <c r="J37" s="155"/>
      <c r="K37" s="156"/>
      <c r="L37" s="153"/>
      <c r="M37" s="353" t="s">
        <v>99</v>
      </c>
      <c r="N37" s="354"/>
      <c r="O37" s="354"/>
      <c r="P37" s="354"/>
      <c r="Q37" s="354"/>
      <c r="R37" s="354"/>
      <c r="S37" s="354"/>
      <c r="T37" s="354"/>
      <c r="U37" s="354"/>
      <c r="V37" s="355"/>
      <c r="W37" s="153"/>
      <c r="X37" s="353" t="s">
        <v>739</v>
      </c>
      <c r="Y37" s="354"/>
      <c r="Z37" s="354"/>
      <c r="AA37" s="354"/>
      <c r="AB37" s="354"/>
      <c r="AC37" s="354"/>
      <c r="AD37" s="354"/>
      <c r="AE37" s="354"/>
      <c r="AF37" s="354"/>
      <c r="AG37" s="355"/>
      <c r="AH37" s="153"/>
      <c r="AI37" s="353" t="s">
        <v>740</v>
      </c>
      <c r="AJ37" s="354"/>
      <c r="AK37" s="354"/>
      <c r="AL37" s="354"/>
      <c r="AM37" s="354"/>
      <c r="AN37" s="354"/>
      <c r="AO37" s="354"/>
      <c r="AP37" s="354"/>
      <c r="AQ37" s="354"/>
      <c r="AR37" s="355"/>
      <c r="AS37" s="153"/>
      <c r="AT37" s="370" t="s">
        <v>102</v>
      </c>
      <c r="AU37" s="371"/>
      <c r="AV37" s="371"/>
      <c r="AW37" s="371"/>
      <c r="AX37" s="371"/>
      <c r="AY37" s="371"/>
      <c r="AZ37" s="371"/>
      <c r="BA37" s="371"/>
      <c r="BB37" s="371"/>
      <c r="BC37" s="372"/>
      <c r="BD37" s="153"/>
      <c r="BE37" s="353" t="s">
        <v>740</v>
      </c>
      <c r="BF37" s="354"/>
      <c r="BG37" s="354"/>
      <c r="BH37" s="354"/>
      <c r="BI37" s="354"/>
      <c r="BJ37" s="354"/>
      <c r="BK37" s="354"/>
      <c r="BL37" s="354"/>
      <c r="BM37" s="354"/>
      <c r="BN37" s="355"/>
    </row>
    <row r="38" spans="1:68" s="15" customFormat="1" ht="9" customHeight="1" x14ac:dyDescent="0.25">
      <c r="B38" s="154"/>
      <c r="C38" s="155"/>
      <c r="D38" s="155"/>
      <c r="E38" s="155"/>
      <c r="F38" s="155"/>
      <c r="G38" s="155"/>
      <c r="H38" s="155"/>
      <c r="I38" s="155"/>
      <c r="J38" s="155"/>
      <c r="K38" s="156"/>
      <c r="L38" s="153"/>
      <c r="M38" s="353"/>
      <c r="N38" s="354"/>
      <c r="O38" s="354"/>
      <c r="P38" s="354"/>
      <c r="Q38" s="354"/>
      <c r="R38" s="354"/>
      <c r="S38" s="354"/>
      <c r="T38" s="354"/>
      <c r="U38" s="354"/>
      <c r="V38" s="355"/>
      <c r="W38" s="153"/>
      <c r="X38" s="353"/>
      <c r="Y38" s="354"/>
      <c r="Z38" s="354"/>
      <c r="AA38" s="354"/>
      <c r="AB38" s="354"/>
      <c r="AC38" s="354"/>
      <c r="AD38" s="354"/>
      <c r="AE38" s="354"/>
      <c r="AF38" s="354"/>
      <c r="AG38" s="355"/>
      <c r="AH38" s="153"/>
      <c r="AI38" s="353" t="s">
        <v>157</v>
      </c>
      <c r="AJ38" s="354"/>
      <c r="AK38" s="354"/>
      <c r="AL38" s="354"/>
      <c r="AM38" s="354"/>
      <c r="AN38" s="354"/>
      <c r="AO38" s="354"/>
      <c r="AP38" s="354"/>
      <c r="AQ38" s="354"/>
      <c r="AR38" s="355"/>
      <c r="AS38" s="153"/>
      <c r="AT38" s="353" t="s">
        <v>157</v>
      </c>
      <c r="AU38" s="354"/>
      <c r="AV38" s="354"/>
      <c r="AW38" s="354"/>
      <c r="AX38" s="354"/>
      <c r="AY38" s="354"/>
      <c r="AZ38" s="354"/>
      <c r="BA38" s="354"/>
      <c r="BB38" s="354"/>
      <c r="BC38" s="355"/>
      <c r="BD38" s="153"/>
      <c r="BE38" s="353" t="s">
        <v>157</v>
      </c>
      <c r="BF38" s="354"/>
      <c r="BG38" s="354"/>
      <c r="BH38" s="354"/>
      <c r="BI38" s="354"/>
      <c r="BJ38" s="354"/>
      <c r="BK38" s="354"/>
      <c r="BL38" s="354"/>
      <c r="BM38" s="354"/>
      <c r="BN38" s="355"/>
    </row>
    <row r="39" spans="1:68" s="15" customFormat="1" ht="9" customHeight="1" x14ac:dyDescent="0.25">
      <c r="B39" s="154"/>
      <c r="C39" s="155"/>
      <c r="D39" s="155"/>
      <c r="E39" s="155"/>
      <c r="F39" s="155"/>
      <c r="G39" s="155"/>
      <c r="H39" s="155"/>
      <c r="I39" s="155"/>
      <c r="J39" s="155"/>
      <c r="K39" s="156"/>
      <c r="L39" s="153"/>
      <c r="M39" s="154"/>
      <c r="N39" s="155"/>
      <c r="O39" s="155"/>
      <c r="P39" s="155"/>
      <c r="Q39" s="155"/>
      <c r="R39" s="155"/>
      <c r="S39" s="155"/>
      <c r="T39" s="155"/>
      <c r="U39" s="155"/>
      <c r="V39" s="156"/>
      <c r="W39" s="153"/>
      <c r="X39" s="154"/>
      <c r="Y39" s="155"/>
      <c r="Z39" s="155"/>
      <c r="AA39" s="155"/>
      <c r="AB39" s="155"/>
      <c r="AC39" s="155"/>
      <c r="AD39" s="155"/>
      <c r="AE39" s="155"/>
      <c r="AF39" s="155"/>
      <c r="AG39" s="156"/>
      <c r="AH39" s="153"/>
      <c r="AI39" s="154"/>
      <c r="AJ39" s="155"/>
      <c r="AK39" s="155"/>
      <c r="AL39" s="155"/>
      <c r="AM39" s="155"/>
      <c r="AN39" s="155"/>
      <c r="AO39" s="155"/>
      <c r="AP39" s="155"/>
      <c r="AQ39" s="155"/>
      <c r="AR39" s="156"/>
      <c r="AS39" s="153"/>
      <c r="AT39" s="154"/>
      <c r="AU39" s="155"/>
      <c r="AV39" s="155"/>
      <c r="AW39" s="155"/>
      <c r="AX39" s="155"/>
      <c r="AY39" s="155"/>
      <c r="AZ39" s="155"/>
      <c r="BA39" s="155"/>
      <c r="BB39" s="155"/>
      <c r="BC39" s="156"/>
      <c r="BD39" s="153"/>
      <c r="BE39" s="154"/>
      <c r="BF39" s="155"/>
      <c r="BG39" s="155"/>
      <c r="BH39" s="155"/>
      <c r="BI39" s="155"/>
      <c r="BJ39" s="155"/>
      <c r="BK39" s="155"/>
      <c r="BL39" s="155"/>
      <c r="BM39" s="155"/>
      <c r="BN39" s="156"/>
    </row>
    <row r="40" spans="1:68" s="15" customFormat="1" ht="9" customHeight="1" x14ac:dyDescent="0.25">
      <c r="B40" s="154"/>
      <c r="C40" s="155"/>
      <c r="D40" s="155"/>
      <c r="E40" s="155"/>
      <c r="F40" s="155"/>
      <c r="G40" s="155"/>
      <c r="H40" s="155"/>
      <c r="I40" s="155"/>
      <c r="J40" s="155"/>
      <c r="K40" s="156"/>
      <c r="L40" s="153"/>
      <c r="M40" s="154"/>
      <c r="N40" s="155"/>
      <c r="O40" s="155"/>
      <c r="P40" s="155"/>
      <c r="Q40" s="155"/>
      <c r="R40" s="155"/>
      <c r="S40" s="155"/>
      <c r="T40" s="155"/>
      <c r="U40" s="155"/>
      <c r="V40" s="156"/>
      <c r="W40" s="153"/>
      <c r="X40" s="154"/>
      <c r="Y40" s="155"/>
      <c r="Z40" s="155"/>
      <c r="AA40" s="155"/>
      <c r="AB40" s="155"/>
      <c r="AC40" s="155"/>
      <c r="AD40" s="155"/>
      <c r="AE40" s="155"/>
      <c r="AF40" s="155"/>
      <c r="AG40" s="156"/>
      <c r="AH40" s="153"/>
      <c r="AI40" s="154"/>
      <c r="AJ40" s="155"/>
      <c r="AK40" s="155"/>
      <c r="AL40" s="155"/>
      <c r="AM40" s="155"/>
      <c r="AN40" s="155"/>
      <c r="AO40" s="155"/>
      <c r="AP40" s="155"/>
      <c r="AQ40" s="155"/>
      <c r="AR40" s="156"/>
      <c r="AS40" s="153"/>
      <c r="AT40" s="154"/>
      <c r="AU40" s="155"/>
      <c r="AV40" s="155"/>
      <c r="AW40" s="155"/>
      <c r="AX40" s="155"/>
      <c r="AY40" s="155"/>
      <c r="AZ40" s="155"/>
      <c r="BA40" s="155"/>
      <c r="BB40" s="155"/>
      <c r="BC40" s="156"/>
      <c r="BD40" s="153"/>
      <c r="BE40" s="154"/>
      <c r="BF40" s="155"/>
      <c r="BG40" s="155"/>
      <c r="BH40" s="155"/>
      <c r="BI40" s="155"/>
      <c r="BJ40" s="155"/>
      <c r="BK40" s="155"/>
      <c r="BL40" s="155"/>
      <c r="BM40" s="155"/>
      <c r="BN40" s="156"/>
      <c r="BP40" s="19"/>
    </row>
    <row r="41" spans="1:68" s="15" customFormat="1" ht="9" customHeight="1" x14ac:dyDescent="0.25">
      <c r="B41" s="154"/>
      <c r="C41" s="155"/>
      <c r="D41" s="155"/>
      <c r="E41" s="155"/>
      <c r="F41" s="155"/>
      <c r="G41" s="155"/>
      <c r="H41" s="155"/>
      <c r="I41" s="155"/>
      <c r="J41" s="155"/>
      <c r="K41" s="156"/>
      <c r="L41" s="153"/>
      <c r="M41" s="154"/>
      <c r="N41" s="155"/>
      <c r="O41" s="155"/>
      <c r="P41" s="155"/>
      <c r="Q41" s="155"/>
      <c r="R41" s="155"/>
      <c r="S41" s="155"/>
      <c r="T41" s="155"/>
      <c r="U41" s="155"/>
      <c r="V41" s="156"/>
      <c r="W41" s="153"/>
      <c r="X41" s="154"/>
      <c r="Y41" s="155"/>
      <c r="Z41" s="155"/>
      <c r="AA41" s="155"/>
      <c r="AB41" s="155"/>
      <c r="AC41" s="155"/>
      <c r="AD41" s="155"/>
      <c r="AE41" s="155"/>
      <c r="AF41" s="155"/>
      <c r="AG41" s="156"/>
      <c r="AH41" s="153"/>
      <c r="AI41" s="154"/>
      <c r="AJ41" s="155"/>
      <c r="AK41" s="155"/>
      <c r="AL41" s="155"/>
      <c r="AM41" s="155"/>
      <c r="AN41" s="155"/>
      <c r="AO41" s="155"/>
      <c r="AP41" s="155"/>
      <c r="AQ41" s="155"/>
      <c r="AR41" s="156"/>
      <c r="AS41" s="153"/>
      <c r="AT41" s="154"/>
      <c r="AU41" s="155"/>
      <c r="AV41" s="155"/>
      <c r="AW41" s="155"/>
      <c r="AX41" s="155"/>
      <c r="AY41" s="155"/>
      <c r="AZ41" s="155"/>
      <c r="BA41" s="155"/>
      <c r="BB41" s="155"/>
      <c r="BC41" s="156"/>
      <c r="BD41" s="153"/>
      <c r="BE41" s="154"/>
      <c r="BF41" s="155"/>
      <c r="BG41" s="155"/>
      <c r="BH41" s="155"/>
      <c r="BI41" s="155"/>
      <c r="BJ41" s="155"/>
      <c r="BK41" s="155"/>
      <c r="BL41" s="155"/>
      <c r="BM41" s="155"/>
      <c r="BN41" s="156"/>
      <c r="BP41" s="19"/>
    </row>
    <row r="42" spans="1:68" s="15" customFormat="1" ht="9" customHeight="1" x14ac:dyDescent="0.25">
      <c r="B42" s="154"/>
      <c r="C42" s="155"/>
      <c r="D42" s="155"/>
      <c r="E42" s="155"/>
      <c r="F42" s="155"/>
      <c r="G42" s="155"/>
      <c r="H42" s="155"/>
      <c r="I42" s="155"/>
      <c r="J42" s="155"/>
      <c r="K42" s="156"/>
      <c r="L42" s="153"/>
      <c r="M42" s="154"/>
      <c r="N42" s="155"/>
      <c r="O42" s="155"/>
      <c r="P42" s="155"/>
      <c r="Q42" s="155"/>
      <c r="R42" s="155"/>
      <c r="S42" s="155"/>
      <c r="T42" s="155"/>
      <c r="U42" s="155"/>
      <c r="V42" s="156"/>
      <c r="W42" s="153"/>
      <c r="X42" s="154"/>
      <c r="Y42" s="155"/>
      <c r="Z42" s="155"/>
      <c r="AA42" s="155"/>
      <c r="AB42" s="155"/>
      <c r="AC42" s="155"/>
      <c r="AD42" s="155"/>
      <c r="AE42" s="155"/>
      <c r="AF42" s="155"/>
      <c r="AG42" s="156"/>
      <c r="AH42" s="153"/>
      <c r="AI42" s="154"/>
      <c r="AJ42" s="155"/>
      <c r="AK42" s="155"/>
      <c r="AL42" s="155"/>
      <c r="AM42" s="155"/>
      <c r="AN42" s="155"/>
      <c r="AO42" s="155"/>
      <c r="AP42" s="155"/>
      <c r="AQ42" s="155"/>
      <c r="AR42" s="156"/>
      <c r="AS42" s="153"/>
      <c r="AT42" s="154"/>
      <c r="AU42" s="155"/>
      <c r="AV42" s="155"/>
      <c r="AW42" s="155"/>
      <c r="AX42" s="155"/>
      <c r="AY42" s="155"/>
      <c r="AZ42" s="155"/>
      <c r="BA42" s="155"/>
      <c r="BB42" s="155"/>
      <c r="BC42" s="156"/>
      <c r="BD42" s="153"/>
      <c r="BE42" s="154"/>
      <c r="BF42" s="155"/>
      <c r="BG42" s="155"/>
      <c r="BH42" s="155"/>
      <c r="BI42" s="155"/>
      <c r="BJ42" s="155"/>
      <c r="BK42" s="155"/>
      <c r="BL42" s="155"/>
      <c r="BM42" s="155"/>
      <c r="BN42" s="156"/>
    </row>
    <row r="43" spans="1:68" s="15" customFormat="1" ht="9" customHeight="1" x14ac:dyDescent="0.25">
      <c r="B43" s="154"/>
      <c r="C43" s="155"/>
      <c r="D43" s="155"/>
      <c r="E43" s="155"/>
      <c r="F43" s="155"/>
      <c r="G43" s="155"/>
      <c r="H43" s="155"/>
      <c r="I43" s="155"/>
      <c r="J43" s="155"/>
      <c r="K43" s="156"/>
      <c r="L43" s="153"/>
      <c r="M43" s="154"/>
      <c r="N43" s="155"/>
      <c r="O43" s="155"/>
      <c r="P43" s="155"/>
      <c r="Q43" s="155"/>
      <c r="R43" s="155"/>
      <c r="S43" s="155"/>
      <c r="T43" s="155"/>
      <c r="U43" s="155"/>
      <c r="V43" s="156"/>
      <c r="W43" s="153"/>
      <c r="X43" s="154"/>
      <c r="Y43" s="155"/>
      <c r="Z43" s="155"/>
      <c r="AA43" s="155"/>
      <c r="AB43" s="155"/>
      <c r="AC43" s="155"/>
      <c r="AD43" s="155"/>
      <c r="AE43" s="155"/>
      <c r="AF43" s="155"/>
      <c r="AG43" s="156"/>
      <c r="AH43" s="153"/>
      <c r="AI43" s="154"/>
      <c r="AJ43" s="155"/>
      <c r="AK43" s="155"/>
      <c r="AL43" s="155"/>
      <c r="AM43" s="155"/>
      <c r="AN43" s="155"/>
      <c r="AO43" s="155"/>
      <c r="AP43" s="155"/>
      <c r="AQ43" s="155"/>
      <c r="AR43" s="156"/>
      <c r="AS43" s="153"/>
      <c r="AT43" s="154"/>
      <c r="AU43" s="155"/>
      <c r="AV43" s="155"/>
      <c r="AW43" s="155"/>
      <c r="AX43" s="155"/>
      <c r="AY43" s="155"/>
      <c r="AZ43" s="155"/>
      <c r="BA43" s="155"/>
      <c r="BB43" s="155"/>
      <c r="BC43" s="156"/>
      <c r="BD43" s="153"/>
      <c r="BE43" s="154"/>
      <c r="BF43" s="155"/>
      <c r="BG43" s="155"/>
      <c r="BH43" s="155"/>
      <c r="BI43" s="155"/>
      <c r="BJ43" s="155"/>
      <c r="BK43" s="155"/>
      <c r="BL43" s="155"/>
      <c r="BM43" s="155"/>
      <c r="BN43" s="156"/>
    </row>
    <row r="44" spans="1:68" s="15" customFormat="1" ht="9" customHeight="1" x14ac:dyDescent="0.25">
      <c r="B44" s="154"/>
      <c r="C44" s="155"/>
      <c r="D44" s="155"/>
      <c r="E44" s="155"/>
      <c r="F44" s="155"/>
      <c r="G44" s="155"/>
      <c r="H44" s="155"/>
      <c r="I44" s="155"/>
      <c r="J44" s="155"/>
      <c r="K44" s="156"/>
      <c r="L44" s="153"/>
      <c r="M44" s="154"/>
      <c r="N44" s="155"/>
      <c r="O44" s="155"/>
      <c r="P44" s="155"/>
      <c r="Q44" s="155"/>
      <c r="R44" s="155"/>
      <c r="S44" s="155"/>
      <c r="T44" s="155"/>
      <c r="U44" s="155"/>
      <c r="V44" s="156"/>
      <c r="W44" s="153"/>
      <c r="X44" s="154"/>
      <c r="Y44" s="155"/>
      <c r="Z44" s="155"/>
      <c r="AA44" s="155"/>
      <c r="AB44" s="155"/>
      <c r="AC44" s="155"/>
      <c r="AD44" s="155"/>
      <c r="AE44" s="155"/>
      <c r="AF44" s="155"/>
      <c r="AG44" s="156"/>
      <c r="AH44" s="153"/>
      <c r="AI44" s="154"/>
      <c r="AJ44" s="155"/>
      <c r="AK44" s="155"/>
      <c r="AL44" s="155"/>
      <c r="AM44" s="155"/>
      <c r="AN44" s="155"/>
      <c r="AO44" s="155"/>
      <c r="AP44" s="155"/>
      <c r="AQ44" s="155"/>
      <c r="AR44" s="156"/>
      <c r="AS44" s="153"/>
      <c r="AT44" s="154"/>
      <c r="AU44" s="155"/>
      <c r="AV44" s="155"/>
      <c r="AW44" s="155"/>
      <c r="AX44" s="155"/>
      <c r="AY44" s="155"/>
      <c r="AZ44" s="155"/>
      <c r="BA44" s="155"/>
      <c r="BB44" s="155"/>
      <c r="BC44" s="156"/>
      <c r="BD44" s="153"/>
      <c r="BE44" s="154"/>
      <c r="BF44" s="155"/>
      <c r="BG44" s="155"/>
      <c r="BH44" s="155"/>
      <c r="BI44" s="155"/>
      <c r="BJ44" s="155"/>
      <c r="BK44" s="155"/>
      <c r="BL44" s="155"/>
      <c r="BM44" s="155"/>
      <c r="BN44" s="156"/>
    </row>
    <row r="45" spans="1:68" s="15" customFormat="1" ht="9" customHeight="1" x14ac:dyDescent="0.25">
      <c r="B45" s="154"/>
      <c r="C45" s="155"/>
      <c r="D45" s="155"/>
      <c r="E45" s="155"/>
      <c r="F45" s="155"/>
      <c r="G45" s="155"/>
      <c r="H45" s="155"/>
      <c r="I45" s="155"/>
      <c r="J45" s="155"/>
      <c r="K45" s="156"/>
      <c r="L45" s="153"/>
      <c r="M45" s="154"/>
      <c r="N45" s="155"/>
      <c r="O45" s="155"/>
      <c r="P45" s="155"/>
      <c r="Q45" s="155"/>
      <c r="R45" s="155"/>
      <c r="S45" s="155"/>
      <c r="T45" s="155"/>
      <c r="U45" s="155"/>
      <c r="V45" s="156"/>
      <c r="W45" s="153"/>
      <c r="X45" s="154"/>
      <c r="Y45" s="155"/>
      <c r="Z45" s="155"/>
      <c r="AA45" s="155"/>
      <c r="AB45" s="155"/>
      <c r="AC45" s="155"/>
      <c r="AD45" s="155"/>
      <c r="AE45" s="155"/>
      <c r="AF45" s="155"/>
      <c r="AG45" s="156"/>
      <c r="AH45" s="153"/>
      <c r="AI45" s="154"/>
      <c r="AJ45" s="155"/>
      <c r="AK45" s="155"/>
      <c r="AL45" s="155"/>
      <c r="AM45" s="155"/>
      <c r="AN45" s="155"/>
      <c r="AO45" s="155"/>
      <c r="AP45" s="155"/>
      <c r="AQ45" s="155"/>
      <c r="AR45" s="156"/>
      <c r="AS45" s="153"/>
      <c r="AT45" s="154"/>
      <c r="AU45" s="155"/>
      <c r="AV45" s="155"/>
      <c r="AW45" s="155"/>
      <c r="AX45" s="155"/>
      <c r="AY45" s="155"/>
      <c r="AZ45" s="155"/>
      <c r="BA45" s="155"/>
      <c r="BB45" s="155"/>
      <c r="BC45" s="156"/>
      <c r="BD45" s="153"/>
      <c r="BE45" s="154"/>
      <c r="BF45" s="155"/>
      <c r="BG45" s="155"/>
      <c r="BH45" s="155"/>
      <c r="BI45" s="155"/>
      <c r="BJ45" s="155"/>
      <c r="BK45" s="155"/>
      <c r="BL45" s="155"/>
      <c r="BM45" s="155"/>
      <c r="BN45" s="156"/>
    </row>
    <row r="46" spans="1:68" s="15" customFormat="1" ht="9" customHeight="1" x14ac:dyDescent="0.25">
      <c r="B46" s="154"/>
      <c r="C46" s="155"/>
      <c r="D46" s="155"/>
      <c r="E46" s="155"/>
      <c r="F46" s="155"/>
      <c r="G46" s="155"/>
      <c r="H46" s="155"/>
      <c r="I46" s="155"/>
      <c r="J46" s="155"/>
      <c r="K46" s="156"/>
      <c r="L46" s="153"/>
      <c r="M46" s="154"/>
      <c r="N46" s="155"/>
      <c r="O46" s="155"/>
      <c r="P46" s="155"/>
      <c r="Q46" s="155"/>
      <c r="R46" s="155"/>
      <c r="S46" s="155"/>
      <c r="T46" s="155"/>
      <c r="U46" s="155"/>
      <c r="V46" s="156"/>
      <c r="W46" s="153"/>
      <c r="X46" s="154"/>
      <c r="Y46" s="155"/>
      <c r="Z46" s="155"/>
      <c r="AA46" s="155"/>
      <c r="AB46" s="155"/>
      <c r="AC46" s="155"/>
      <c r="AD46" s="155"/>
      <c r="AE46" s="155"/>
      <c r="AF46" s="155"/>
      <c r="AG46" s="156"/>
      <c r="AH46" s="153"/>
      <c r="AI46" s="154"/>
      <c r="AJ46" s="155"/>
      <c r="AK46" s="155"/>
      <c r="AL46" s="155"/>
      <c r="AM46" s="155"/>
      <c r="AN46" s="155"/>
      <c r="AO46" s="155"/>
      <c r="AP46" s="155"/>
      <c r="AQ46" s="155"/>
      <c r="AR46" s="156"/>
      <c r="AS46" s="153"/>
      <c r="AT46" s="154"/>
      <c r="AU46" s="155"/>
      <c r="AV46" s="155"/>
      <c r="AW46" s="155"/>
      <c r="AX46" s="155"/>
      <c r="AY46" s="155"/>
      <c r="AZ46" s="155"/>
      <c r="BA46" s="155"/>
      <c r="BB46" s="155"/>
      <c r="BC46" s="156"/>
      <c r="BD46" s="153"/>
      <c r="BE46" s="154"/>
      <c r="BF46" s="155"/>
      <c r="BG46" s="155"/>
      <c r="BH46" s="155"/>
      <c r="BI46" s="155"/>
      <c r="BJ46" s="155"/>
      <c r="BK46" s="155"/>
      <c r="BL46" s="155"/>
      <c r="BM46" s="155"/>
      <c r="BN46" s="156"/>
    </row>
    <row r="47" spans="1:68" s="15" customFormat="1" ht="9" customHeight="1" x14ac:dyDescent="0.25">
      <c r="B47" s="353" t="s">
        <v>795</v>
      </c>
      <c r="C47" s="354"/>
      <c r="D47" s="354"/>
      <c r="E47" s="354"/>
      <c r="F47" s="354"/>
      <c r="G47" s="354"/>
      <c r="H47" s="354"/>
      <c r="I47" s="354"/>
      <c r="J47" s="354"/>
      <c r="K47" s="355"/>
      <c r="L47" s="153"/>
      <c r="M47" s="353" t="s">
        <v>799</v>
      </c>
      <c r="N47" s="354"/>
      <c r="O47" s="354"/>
      <c r="P47" s="354"/>
      <c r="Q47" s="354"/>
      <c r="R47" s="354"/>
      <c r="S47" s="354"/>
      <c r="T47" s="354"/>
      <c r="U47" s="354"/>
      <c r="V47" s="355"/>
      <c r="W47" s="153"/>
      <c r="X47" s="353" t="s">
        <v>797</v>
      </c>
      <c r="Y47" s="354"/>
      <c r="Z47" s="354"/>
      <c r="AA47" s="354"/>
      <c r="AB47" s="354"/>
      <c r="AC47" s="354"/>
      <c r="AD47" s="354"/>
      <c r="AE47" s="354"/>
      <c r="AF47" s="354"/>
      <c r="AG47" s="355"/>
      <c r="AH47" s="153"/>
      <c r="AI47" s="356" t="s">
        <v>800</v>
      </c>
      <c r="AJ47" s="357"/>
      <c r="AK47" s="357"/>
      <c r="AL47" s="357"/>
      <c r="AM47" s="357"/>
      <c r="AN47" s="357"/>
      <c r="AO47" s="357"/>
      <c r="AP47" s="357"/>
      <c r="AQ47" s="357"/>
      <c r="AR47" s="358"/>
      <c r="AS47" s="153"/>
      <c r="AT47" s="353" t="s">
        <v>795</v>
      </c>
      <c r="AU47" s="354"/>
      <c r="AV47" s="354"/>
      <c r="AW47" s="354"/>
      <c r="AX47" s="354"/>
      <c r="AY47" s="354"/>
      <c r="AZ47" s="354"/>
      <c r="BA47" s="354"/>
      <c r="BB47" s="354"/>
      <c r="BC47" s="355"/>
      <c r="BD47" s="153"/>
      <c r="BE47" s="362" t="s">
        <v>799</v>
      </c>
      <c r="BF47" s="363"/>
      <c r="BG47" s="363"/>
      <c r="BH47" s="363"/>
      <c r="BI47" s="363"/>
      <c r="BJ47" s="363"/>
      <c r="BK47" s="363"/>
      <c r="BL47" s="363"/>
      <c r="BM47" s="363"/>
      <c r="BN47" s="364"/>
    </row>
    <row r="48" spans="1:68" s="21" customFormat="1" ht="9" customHeight="1" x14ac:dyDescent="0.25">
      <c r="A48" s="209"/>
      <c r="B48" s="261"/>
      <c r="C48" s="261"/>
      <c r="D48" s="261"/>
      <c r="E48" s="261"/>
      <c r="F48" s="261"/>
      <c r="G48" s="261"/>
      <c r="H48" s="262">
        <f>CEILING(3193*B5,1)</f>
        <v>4471</v>
      </c>
      <c r="I48" s="262"/>
      <c r="J48" s="262"/>
      <c r="K48" s="262"/>
      <c r="L48" s="205"/>
      <c r="M48" s="261"/>
      <c r="N48" s="261"/>
      <c r="O48" s="261"/>
      <c r="P48" s="261"/>
      <c r="Q48" s="261"/>
      <c r="R48" s="261"/>
      <c r="S48" s="262">
        <f>CEILING(3461*B5,1)</f>
        <v>4846</v>
      </c>
      <c r="T48" s="262"/>
      <c r="U48" s="262"/>
      <c r="V48" s="262"/>
      <c r="W48" s="205"/>
      <c r="X48" s="261"/>
      <c r="Y48" s="261"/>
      <c r="Z48" s="261"/>
      <c r="AA48" s="261"/>
      <c r="AB48" s="261"/>
      <c r="AC48" s="261"/>
      <c r="AD48" s="262">
        <f>CEILING(3113*B5,1)</f>
        <v>4359</v>
      </c>
      <c r="AE48" s="262"/>
      <c r="AF48" s="262"/>
      <c r="AG48" s="262"/>
      <c r="AH48" s="205"/>
      <c r="AI48" s="261"/>
      <c r="AJ48" s="261"/>
      <c r="AK48" s="261"/>
      <c r="AL48" s="261"/>
      <c r="AM48" s="261"/>
      <c r="AN48" s="261"/>
      <c r="AO48" s="262">
        <f>CEILING(3314*B5,1)</f>
        <v>4640</v>
      </c>
      <c r="AP48" s="262"/>
      <c r="AQ48" s="262"/>
      <c r="AR48" s="262"/>
      <c r="AS48" s="205"/>
      <c r="AT48" s="261"/>
      <c r="AU48" s="261"/>
      <c r="AV48" s="261"/>
      <c r="AW48" s="261"/>
      <c r="AX48" s="261"/>
      <c r="AY48" s="261"/>
      <c r="AZ48" s="262">
        <f>CEILING(3857*B5,1)</f>
        <v>5400</v>
      </c>
      <c r="BA48" s="262"/>
      <c r="BB48" s="262"/>
      <c r="BC48" s="262"/>
      <c r="BD48" s="205"/>
      <c r="BE48" s="261"/>
      <c r="BF48" s="261"/>
      <c r="BG48" s="261"/>
      <c r="BH48" s="261"/>
      <c r="BI48" s="261"/>
      <c r="BJ48" s="261"/>
      <c r="BK48" s="262">
        <f>CEILING(4126*B5,1)</f>
        <v>5777</v>
      </c>
      <c r="BL48" s="262"/>
      <c r="BM48" s="262"/>
      <c r="BN48" s="262"/>
    </row>
    <row r="49" spans="2:66" s="15" customFormat="1" ht="2.1" customHeight="1" x14ac:dyDescent="0.25"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  <c r="BA49" s="153"/>
      <c r="BB49" s="153"/>
      <c r="BC49" s="153"/>
      <c r="BD49" s="153"/>
      <c r="BE49" s="153"/>
      <c r="BF49" s="153"/>
      <c r="BG49" s="153"/>
      <c r="BH49" s="153"/>
      <c r="BI49" s="153"/>
      <c r="BJ49" s="153"/>
      <c r="BK49" s="153"/>
      <c r="BL49" s="153"/>
      <c r="BM49" s="153"/>
      <c r="BN49" s="153"/>
    </row>
    <row r="50" spans="2:66" s="15" customFormat="1" ht="9" customHeight="1" x14ac:dyDescent="0.25">
      <c r="B50" s="347" t="s">
        <v>112</v>
      </c>
      <c r="C50" s="348"/>
      <c r="D50" s="349"/>
      <c r="E50" s="350" t="s">
        <v>52</v>
      </c>
      <c r="F50" s="351"/>
      <c r="G50" s="351"/>
      <c r="H50" s="351"/>
      <c r="I50" s="351"/>
      <c r="J50" s="351"/>
      <c r="K50" s="352"/>
      <c r="L50" s="153"/>
      <c r="M50" s="347" t="s">
        <v>116</v>
      </c>
      <c r="N50" s="348"/>
      <c r="O50" s="349"/>
      <c r="P50" s="350" t="s">
        <v>162</v>
      </c>
      <c r="Q50" s="351"/>
      <c r="R50" s="351"/>
      <c r="S50" s="351"/>
      <c r="T50" s="351"/>
      <c r="U50" s="351"/>
      <c r="V50" s="352"/>
      <c r="W50" s="153"/>
      <c r="X50" s="347" t="s">
        <v>593</v>
      </c>
      <c r="Y50" s="348"/>
      <c r="Z50" s="349"/>
      <c r="AA50" s="350" t="s">
        <v>59</v>
      </c>
      <c r="AB50" s="351"/>
      <c r="AC50" s="351"/>
      <c r="AD50" s="351"/>
      <c r="AE50" s="351"/>
      <c r="AF50" s="351"/>
      <c r="AG50" s="352"/>
      <c r="AH50" s="153"/>
      <c r="AI50" s="347" t="s">
        <v>592</v>
      </c>
      <c r="AJ50" s="348"/>
      <c r="AK50" s="349"/>
      <c r="AL50" s="350" t="s">
        <v>59</v>
      </c>
      <c r="AM50" s="351"/>
      <c r="AN50" s="351"/>
      <c r="AO50" s="351"/>
      <c r="AP50" s="351"/>
      <c r="AQ50" s="351"/>
      <c r="AR50" s="352"/>
      <c r="AS50" s="153"/>
      <c r="AT50" s="347" t="s">
        <v>57</v>
      </c>
      <c r="AU50" s="348"/>
      <c r="AV50" s="349"/>
      <c r="AW50" s="350" t="s">
        <v>62</v>
      </c>
      <c r="AX50" s="351"/>
      <c r="AY50" s="351"/>
      <c r="AZ50" s="351"/>
      <c r="BA50" s="351"/>
      <c r="BB50" s="351"/>
      <c r="BC50" s="352"/>
      <c r="BD50" s="153"/>
      <c r="BE50" s="347" t="s">
        <v>58</v>
      </c>
      <c r="BF50" s="348"/>
      <c r="BG50" s="349"/>
      <c r="BH50" s="350" t="s">
        <v>64</v>
      </c>
      <c r="BI50" s="351"/>
      <c r="BJ50" s="351"/>
      <c r="BK50" s="351"/>
      <c r="BL50" s="351"/>
      <c r="BM50" s="351"/>
      <c r="BN50" s="352"/>
    </row>
    <row r="51" spans="2:66" s="15" customFormat="1" ht="9" customHeight="1" x14ac:dyDescent="0.25">
      <c r="B51" s="373" t="s">
        <v>726</v>
      </c>
      <c r="C51" s="374"/>
      <c r="D51" s="374"/>
      <c r="E51" s="374"/>
      <c r="F51" s="374"/>
      <c r="G51" s="374"/>
      <c r="H51" s="374"/>
      <c r="I51" s="374"/>
      <c r="J51" s="374"/>
      <c r="K51" s="375"/>
      <c r="L51" s="153"/>
      <c r="M51" s="353" t="s">
        <v>632</v>
      </c>
      <c r="N51" s="354"/>
      <c r="O51" s="354"/>
      <c r="P51" s="354"/>
      <c r="Q51" s="354"/>
      <c r="R51" s="354"/>
      <c r="S51" s="354"/>
      <c r="T51" s="354"/>
      <c r="U51" s="354"/>
      <c r="V51" s="355"/>
      <c r="W51" s="153"/>
      <c r="X51" s="154"/>
      <c r="Y51" s="155"/>
      <c r="Z51" s="155"/>
      <c r="AA51" s="155"/>
      <c r="AB51" s="155"/>
      <c r="AC51" s="155"/>
      <c r="AD51" s="155"/>
      <c r="AE51" s="155"/>
      <c r="AF51" s="155"/>
      <c r="AG51" s="156"/>
      <c r="AH51" s="153"/>
      <c r="AI51" s="154"/>
      <c r="AJ51" s="155"/>
      <c r="AK51" s="155"/>
      <c r="AL51" s="155"/>
      <c r="AM51" s="155"/>
      <c r="AN51" s="155"/>
      <c r="AO51" s="155"/>
      <c r="AP51" s="155"/>
      <c r="AQ51" s="155"/>
      <c r="AR51" s="156"/>
      <c r="AS51" s="153"/>
      <c r="AT51" s="353" t="s">
        <v>63</v>
      </c>
      <c r="AU51" s="354"/>
      <c r="AV51" s="354"/>
      <c r="AW51" s="354"/>
      <c r="AX51" s="354"/>
      <c r="AY51" s="354"/>
      <c r="AZ51" s="354"/>
      <c r="BA51" s="354"/>
      <c r="BB51" s="354"/>
      <c r="BC51" s="355"/>
      <c r="BD51" s="153"/>
      <c r="BE51" s="353" t="s">
        <v>63</v>
      </c>
      <c r="BF51" s="354"/>
      <c r="BG51" s="354"/>
      <c r="BH51" s="354"/>
      <c r="BI51" s="354"/>
      <c r="BJ51" s="354"/>
      <c r="BK51" s="354"/>
      <c r="BL51" s="354"/>
      <c r="BM51" s="354"/>
      <c r="BN51" s="355"/>
    </row>
    <row r="52" spans="2:66" s="15" customFormat="1" ht="9" customHeight="1" x14ac:dyDescent="0.25">
      <c r="B52" s="353" t="s">
        <v>725</v>
      </c>
      <c r="C52" s="354"/>
      <c r="D52" s="354"/>
      <c r="E52" s="354"/>
      <c r="F52" s="354"/>
      <c r="G52" s="354"/>
      <c r="H52" s="354"/>
      <c r="I52" s="354"/>
      <c r="J52" s="354"/>
      <c r="K52" s="355"/>
      <c r="L52" s="153"/>
      <c r="M52" s="154"/>
      <c r="N52" s="155"/>
      <c r="O52" s="155"/>
      <c r="P52" s="155"/>
      <c r="Q52" s="155"/>
      <c r="R52" s="155"/>
      <c r="S52" s="155"/>
      <c r="T52" s="155"/>
      <c r="U52" s="155"/>
      <c r="V52" s="156"/>
      <c r="W52" s="153"/>
      <c r="X52" s="154"/>
      <c r="Y52" s="155"/>
      <c r="Z52" s="155"/>
      <c r="AA52" s="155"/>
      <c r="AB52" s="155"/>
      <c r="AC52" s="155"/>
      <c r="AD52" s="155"/>
      <c r="AE52" s="155"/>
      <c r="AF52" s="155"/>
      <c r="AG52" s="156"/>
      <c r="AH52" s="153"/>
      <c r="AI52" s="154"/>
      <c r="AJ52" s="155"/>
      <c r="AK52" s="155"/>
      <c r="AL52" s="155"/>
      <c r="AM52" s="155"/>
      <c r="AN52" s="155"/>
      <c r="AO52" s="155"/>
      <c r="AP52" s="155"/>
      <c r="AQ52" s="155"/>
      <c r="AR52" s="156"/>
      <c r="AS52" s="153"/>
      <c r="AT52" s="154"/>
      <c r="AU52" s="155"/>
      <c r="AV52" s="155"/>
      <c r="AW52" s="155"/>
      <c r="AX52" s="155"/>
      <c r="AY52" s="155"/>
      <c r="AZ52" s="155"/>
      <c r="BA52" s="155"/>
      <c r="BB52" s="155"/>
      <c r="BC52" s="156"/>
      <c r="BD52" s="153"/>
      <c r="BE52" s="154"/>
      <c r="BF52" s="155"/>
      <c r="BG52" s="155"/>
      <c r="BH52" s="155"/>
      <c r="BI52" s="155"/>
      <c r="BJ52" s="155"/>
      <c r="BK52" s="155"/>
      <c r="BL52" s="155"/>
      <c r="BM52" s="155"/>
      <c r="BN52" s="156"/>
    </row>
    <row r="53" spans="2:66" s="15" customFormat="1" ht="9" customHeight="1" x14ac:dyDescent="0.25">
      <c r="B53" s="154"/>
      <c r="C53" s="155"/>
      <c r="D53" s="155"/>
      <c r="E53" s="155"/>
      <c r="F53" s="155"/>
      <c r="G53" s="155"/>
      <c r="H53" s="155"/>
      <c r="I53" s="155"/>
      <c r="J53" s="155"/>
      <c r="K53" s="156"/>
      <c r="L53" s="153"/>
      <c r="M53" s="154"/>
      <c r="N53" s="155"/>
      <c r="O53" s="155"/>
      <c r="P53" s="155"/>
      <c r="Q53" s="155"/>
      <c r="R53" s="155"/>
      <c r="S53" s="155"/>
      <c r="T53" s="155"/>
      <c r="U53" s="155"/>
      <c r="V53" s="156"/>
      <c r="W53" s="153"/>
      <c r="X53" s="154"/>
      <c r="Y53" s="155"/>
      <c r="Z53" s="155"/>
      <c r="AA53" s="155"/>
      <c r="AB53" s="155"/>
      <c r="AC53" s="155"/>
      <c r="AD53" s="155"/>
      <c r="AE53" s="155"/>
      <c r="AF53" s="155"/>
      <c r="AG53" s="156"/>
      <c r="AH53" s="153"/>
      <c r="AI53" s="154"/>
      <c r="AJ53" s="155"/>
      <c r="AK53" s="155"/>
      <c r="AL53" s="155"/>
      <c r="AM53" s="155"/>
      <c r="AN53" s="155"/>
      <c r="AO53" s="155"/>
      <c r="AP53" s="155"/>
      <c r="AQ53" s="155"/>
      <c r="AR53" s="156"/>
      <c r="AS53" s="153"/>
      <c r="AT53" s="154"/>
      <c r="AU53" s="155"/>
      <c r="AV53" s="155"/>
      <c r="AW53" s="155"/>
      <c r="AX53" s="155"/>
      <c r="AY53" s="155"/>
      <c r="AZ53" s="155"/>
      <c r="BA53" s="155"/>
      <c r="BB53" s="155"/>
      <c r="BC53" s="156"/>
      <c r="BD53" s="153"/>
      <c r="BE53" s="154"/>
      <c r="BF53" s="155"/>
      <c r="BG53" s="155"/>
      <c r="BH53" s="155"/>
      <c r="BI53" s="155"/>
      <c r="BJ53" s="155"/>
      <c r="BK53" s="155"/>
      <c r="BL53" s="155"/>
      <c r="BM53" s="155"/>
      <c r="BN53" s="156"/>
    </row>
    <row r="54" spans="2:66" s="15" customFormat="1" ht="9" customHeight="1" x14ac:dyDescent="0.25">
      <c r="B54" s="154"/>
      <c r="C54" s="155"/>
      <c r="D54" s="155"/>
      <c r="E54" s="155"/>
      <c r="F54" s="155"/>
      <c r="G54" s="155"/>
      <c r="H54" s="155"/>
      <c r="I54" s="155"/>
      <c r="J54" s="155"/>
      <c r="K54" s="156"/>
      <c r="L54" s="153"/>
      <c r="M54" s="154"/>
      <c r="N54" s="155"/>
      <c r="O54" s="155"/>
      <c r="P54" s="155"/>
      <c r="Q54" s="155"/>
      <c r="R54" s="155"/>
      <c r="S54" s="155"/>
      <c r="T54" s="155"/>
      <c r="U54" s="155"/>
      <c r="V54" s="156"/>
      <c r="W54" s="153"/>
      <c r="X54" s="154"/>
      <c r="Y54" s="155"/>
      <c r="Z54" s="155"/>
      <c r="AA54" s="155"/>
      <c r="AB54" s="155"/>
      <c r="AC54" s="155"/>
      <c r="AD54" s="155"/>
      <c r="AE54" s="155"/>
      <c r="AF54" s="155"/>
      <c r="AG54" s="156"/>
      <c r="AH54" s="153"/>
      <c r="AI54" s="154"/>
      <c r="AJ54" s="155"/>
      <c r="AK54" s="155"/>
      <c r="AL54" s="155"/>
      <c r="AM54" s="155"/>
      <c r="AN54" s="155"/>
      <c r="AO54" s="155"/>
      <c r="AP54" s="155"/>
      <c r="AQ54" s="155"/>
      <c r="AR54" s="156"/>
      <c r="AS54" s="153"/>
      <c r="AT54" s="154"/>
      <c r="AU54" s="155"/>
      <c r="AV54" s="155"/>
      <c r="AW54" s="155"/>
      <c r="AX54" s="155"/>
      <c r="AY54" s="155"/>
      <c r="AZ54" s="155"/>
      <c r="BA54" s="155"/>
      <c r="BB54" s="155"/>
      <c r="BC54" s="156"/>
      <c r="BD54" s="153"/>
      <c r="BE54" s="154"/>
      <c r="BF54" s="155"/>
      <c r="BG54" s="155"/>
      <c r="BH54" s="155"/>
      <c r="BI54" s="155"/>
      <c r="BJ54" s="155"/>
      <c r="BK54" s="155"/>
      <c r="BL54" s="155"/>
      <c r="BM54" s="155"/>
      <c r="BN54" s="156"/>
    </row>
    <row r="55" spans="2:66" s="15" customFormat="1" ht="9" customHeight="1" x14ac:dyDescent="0.25">
      <c r="B55" s="154"/>
      <c r="C55" s="155"/>
      <c r="D55" s="155"/>
      <c r="E55" s="155"/>
      <c r="F55" s="155"/>
      <c r="G55" s="155"/>
      <c r="H55" s="155"/>
      <c r="I55" s="155"/>
      <c r="J55" s="155"/>
      <c r="K55" s="156"/>
      <c r="L55" s="153"/>
      <c r="M55" s="154"/>
      <c r="N55" s="155"/>
      <c r="O55" s="155"/>
      <c r="P55" s="155"/>
      <c r="Q55" s="155"/>
      <c r="R55" s="155"/>
      <c r="S55" s="155"/>
      <c r="T55" s="155"/>
      <c r="U55" s="155"/>
      <c r="V55" s="156"/>
      <c r="W55" s="153"/>
      <c r="X55" s="154"/>
      <c r="Y55" s="155"/>
      <c r="Z55" s="155"/>
      <c r="AA55" s="155"/>
      <c r="AB55" s="155"/>
      <c r="AC55" s="155"/>
      <c r="AD55" s="155"/>
      <c r="AE55" s="155"/>
      <c r="AF55" s="155"/>
      <c r="AG55" s="156"/>
      <c r="AH55" s="153"/>
      <c r="AI55" s="154"/>
      <c r="AJ55" s="155"/>
      <c r="AK55" s="155"/>
      <c r="AL55" s="155"/>
      <c r="AM55" s="155"/>
      <c r="AN55" s="155"/>
      <c r="AO55" s="155"/>
      <c r="AP55" s="155"/>
      <c r="AQ55" s="155"/>
      <c r="AR55" s="156"/>
      <c r="AS55" s="153"/>
      <c r="AT55" s="154"/>
      <c r="AU55" s="155"/>
      <c r="AV55" s="155"/>
      <c r="AW55" s="155"/>
      <c r="AX55" s="155"/>
      <c r="AY55" s="155"/>
      <c r="AZ55" s="155"/>
      <c r="BA55" s="155"/>
      <c r="BB55" s="155"/>
      <c r="BC55" s="156"/>
      <c r="BD55" s="153"/>
      <c r="BE55" s="154"/>
      <c r="BF55" s="155"/>
      <c r="BG55" s="155"/>
      <c r="BH55" s="155"/>
      <c r="BI55" s="155"/>
      <c r="BJ55" s="155"/>
      <c r="BK55" s="155"/>
      <c r="BL55" s="155"/>
      <c r="BM55" s="155"/>
      <c r="BN55" s="156"/>
    </row>
    <row r="56" spans="2:66" s="15" customFormat="1" ht="9" customHeight="1" x14ac:dyDescent="0.25">
      <c r="B56" s="154"/>
      <c r="C56" s="155"/>
      <c r="D56" s="155"/>
      <c r="E56" s="155"/>
      <c r="F56" s="155"/>
      <c r="G56" s="155"/>
      <c r="H56" s="155"/>
      <c r="I56" s="155"/>
      <c r="J56" s="155"/>
      <c r="K56" s="156"/>
      <c r="L56" s="153"/>
      <c r="M56" s="154"/>
      <c r="N56" s="155"/>
      <c r="O56" s="155"/>
      <c r="P56" s="155"/>
      <c r="Q56" s="155"/>
      <c r="R56" s="155"/>
      <c r="S56" s="155"/>
      <c r="T56" s="155"/>
      <c r="U56" s="155"/>
      <c r="V56" s="156"/>
      <c r="W56" s="153"/>
      <c r="X56" s="154"/>
      <c r="Y56" s="155"/>
      <c r="Z56" s="155"/>
      <c r="AA56" s="155"/>
      <c r="AB56" s="155"/>
      <c r="AC56" s="155"/>
      <c r="AD56" s="155"/>
      <c r="AE56" s="155"/>
      <c r="AF56" s="155"/>
      <c r="AG56" s="156"/>
      <c r="AH56" s="153"/>
      <c r="AI56" s="154"/>
      <c r="AJ56" s="155"/>
      <c r="AK56" s="155"/>
      <c r="AL56" s="155"/>
      <c r="AM56" s="155"/>
      <c r="AN56" s="155"/>
      <c r="AO56" s="155"/>
      <c r="AP56" s="155"/>
      <c r="AQ56" s="155"/>
      <c r="AR56" s="156"/>
      <c r="AS56" s="153"/>
      <c r="AT56" s="154"/>
      <c r="AU56" s="155"/>
      <c r="AV56" s="155"/>
      <c r="AW56" s="155"/>
      <c r="AX56" s="155"/>
      <c r="AY56" s="155"/>
      <c r="AZ56" s="155"/>
      <c r="BA56" s="155"/>
      <c r="BB56" s="155"/>
      <c r="BC56" s="156"/>
      <c r="BD56" s="153"/>
      <c r="BE56" s="154"/>
      <c r="BF56" s="155"/>
      <c r="BG56" s="155"/>
      <c r="BH56" s="155"/>
      <c r="BI56" s="155"/>
      <c r="BJ56" s="155"/>
      <c r="BK56" s="155"/>
      <c r="BL56" s="155"/>
      <c r="BM56" s="155"/>
      <c r="BN56" s="156"/>
    </row>
    <row r="57" spans="2:66" s="15" customFormat="1" ht="9" customHeight="1" x14ac:dyDescent="0.25">
      <c r="B57" s="154"/>
      <c r="C57" s="155"/>
      <c r="D57" s="155"/>
      <c r="E57" s="155"/>
      <c r="F57" s="155"/>
      <c r="G57" s="155"/>
      <c r="H57" s="155"/>
      <c r="I57" s="155"/>
      <c r="J57" s="155"/>
      <c r="K57" s="156"/>
      <c r="L57" s="153"/>
      <c r="M57" s="154"/>
      <c r="N57" s="155"/>
      <c r="O57" s="155"/>
      <c r="P57" s="155"/>
      <c r="Q57" s="155"/>
      <c r="R57" s="155"/>
      <c r="S57" s="155"/>
      <c r="T57" s="155"/>
      <c r="U57" s="155"/>
      <c r="V57" s="156"/>
      <c r="W57" s="153"/>
      <c r="X57" s="154"/>
      <c r="Y57" s="155"/>
      <c r="Z57" s="155"/>
      <c r="AA57" s="155"/>
      <c r="AB57" s="155"/>
      <c r="AC57" s="155"/>
      <c r="AD57" s="155"/>
      <c r="AE57" s="155"/>
      <c r="AF57" s="155"/>
      <c r="AG57" s="156"/>
      <c r="AH57" s="153"/>
      <c r="AI57" s="154"/>
      <c r="AJ57" s="155"/>
      <c r="AK57" s="155"/>
      <c r="AL57" s="155"/>
      <c r="AM57" s="155"/>
      <c r="AN57" s="155"/>
      <c r="AO57" s="155"/>
      <c r="AP57" s="155"/>
      <c r="AQ57" s="155"/>
      <c r="AR57" s="156"/>
      <c r="AS57" s="153"/>
      <c r="AT57" s="154"/>
      <c r="AU57" s="155"/>
      <c r="AV57" s="155"/>
      <c r="AW57" s="155"/>
      <c r="AX57" s="155"/>
      <c r="AY57" s="155"/>
      <c r="AZ57" s="155"/>
      <c r="BA57" s="155"/>
      <c r="BB57" s="155"/>
      <c r="BC57" s="156"/>
      <c r="BD57" s="153"/>
      <c r="BE57" s="154"/>
      <c r="BF57" s="155"/>
      <c r="BG57" s="155"/>
      <c r="BH57" s="155"/>
      <c r="BI57" s="155"/>
      <c r="BJ57" s="155"/>
      <c r="BK57" s="155"/>
      <c r="BL57" s="155"/>
      <c r="BM57" s="155"/>
      <c r="BN57" s="156"/>
    </row>
    <row r="58" spans="2:66" s="15" customFormat="1" ht="9" customHeight="1" x14ac:dyDescent="0.25">
      <c r="B58" s="154"/>
      <c r="C58" s="155"/>
      <c r="D58" s="155"/>
      <c r="E58" s="155"/>
      <c r="F58" s="155"/>
      <c r="G58" s="155"/>
      <c r="H58" s="155"/>
      <c r="I58" s="155"/>
      <c r="J58" s="155"/>
      <c r="K58" s="156"/>
      <c r="L58" s="153"/>
      <c r="M58" s="154"/>
      <c r="N58" s="155"/>
      <c r="O58" s="155"/>
      <c r="P58" s="155"/>
      <c r="Q58" s="155"/>
      <c r="R58" s="155"/>
      <c r="S58" s="155"/>
      <c r="T58" s="155"/>
      <c r="U58" s="155"/>
      <c r="V58" s="156"/>
      <c r="W58" s="153"/>
      <c r="X58" s="154"/>
      <c r="Y58" s="155"/>
      <c r="Z58" s="155"/>
      <c r="AA58" s="155"/>
      <c r="AB58" s="155"/>
      <c r="AC58" s="155"/>
      <c r="AD58" s="155"/>
      <c r="AE58" s="155"/>
      <c r="AF58" s="155"/>
      <c r="AG58" s="156"/>
      <c r="AH58" s="153"/>
      <c r="AI58" s="154"/>
      <c r="AJ58" s="155"/>
      <c r="AK58" s="155"/>
      <c r="AL58" s="155"/>
      <c r="AM58" s="155"/>
      <c r="AN58" s="155"/>
      <c r="AO58" s="155"/>
      <c r="AP58" s="155"/>
      <c r="AQ58" s="155"/>
      <c r="AR58" s="156"/>
      <c r="AS58" s="153"/>
      <c r="AT58" s="154"/>
      <c r="AU58" s="155"/>
      <c r="AV58" s="155"/>
      <c r="AW58" s="155"/>
      <c r="AX58" s="155"/>
      <c r="AY58" s="155"/>
      <c r="AZ58" s="155"/>
      <c r="BA58" s="155"/>
      <c r="BB58" s="155"/>
      <c r="BC58" s="156"/>
      <c r="BD58" s="153"/>
      <c r="BE58" s="154"/>
      <c r="BF58" s="155"/>
      <c r="BG58" s="155"/>
      <c r="BH58" s="155"/>
      <c r="BI58" s="155"/>
      <c r="BJ58" s="155"/>
      <c r="BK58" s="155"/>
      <c r="BL58" s="155"/>
      <c r="BM58" s="155"/>
      <c r="BN58" s="156"/>
    </row>
    <row r="59" spans="2:66" s="15" customFormat="1" ht="9" customHeight="1" x14ac:dyDescent="0.25">
      <c r="B59" s="154"/>
      <c r="C59" s="155"/>
      <c r="D59" s="155"/>
      <c r="E59" s="155"/>
      <c r="F59" s="155"/>
      <c r="G59" s="155"/>
      <c r="H59" s="155"/>
      <c r="I59" s="155"/>
      <c r="J59" s="155"/>
      <c r="K59" s="156"/>
      <c r="L59" s="153"/>
      <c r="M59" s="154"/>
      <c r="N59" s="155"/>
      <c r="O59" s="155"/>
      <c r="P59" s="155"/>
      <c r="Q59" s="155"/>
      <c r="R59" s="155"/>
      <c r="S59" s="155"/>
      <c r="T59" s="155"/>
      <c r="U59" s="155"/>
      <c r="V59" s="156"/>
      <c r="W59" s="153"/>
      <c r="X59" s="154"/>
      <c r="Y59" s="155"/>
      <c r="Z59" s="155"/>
      <c r="AA59" s="155"/>
      <c r="AB59" s="155"/>
      <c r="AC59" s="155"/>
      <c r="AD59" s="155"/>
      <c r="AE59" s="155"/>
      <c r="AF59" s="155"/>
      <c r="AG59" s="156"/>
      <c r="AH59" s="153"/>
      <c r="AI59" s="154"/>
      <c r="AJ59" s="155"/>
      <c r="AK59" s="155"/>
      <c r="AL59" s="155"/>
      <c r="AM59" s="155"/>
      <c r="AN59" s="155"/>
      <c r="AO59" s="155"/>
      <c r="AP59" s="155"/>
      <c r="AQ59" s="155"/>
      <c r="AR59" s="156"/>
      <c r="AS59" s="153"/>
      <c r="AT59" s="154"/>
      <c r="AU59" s="155"/>
      <c r="AV59" s="155"/>
      <c r="AW59" s="155"/>
      <c r="AX59" s="155"/>
      <c r="AY59" s="155"/>
      <c r="AZ59" s="155"/>
      <c r="BA59" s="155"/>
      <c r="BB59" s="155"/>
      <c r="BC59" s="156"/>
      <c r="BD59" s="153"/>
      <c r="BE59" s="154"/>
      <c r="BF59" s="155"/>
      <c r="BG59" s="155"/>
      <c r="BH59" s="155"/>
      <c r="BI59" s="155"/>
      <c r="BJ59" s="155"/>
      <c r="BK59" s="155"/>
      <c r="BL59" s="155"/>
      <c r="BM59" s="155"/>
      <c r="BN59" s="156"/>
    </row>
    <row r="60" spans="2:66" s="15" customFormat="1" ht="9" customHeight="1" x14ac:dyDescent="0.25">
      <c r="B60" s="154"/>
      <c r="C60" s="155"/>
      <c r="D60" s="155"/>
      <c r="E60" s="155"/>
      <c r="F60" s="155"/>
      <c r="G60" s="155"/>
      <c r="H60" s="155"/>
      <c r="I60" s="155"/>
      <c r="J60" s="155"/>
      <c r="K60" s="156"/>
      <c r="L60" s="153"/>
      <c r="M60" s="154"/>
      <c r="N60" s="155"/>
      <c r="O60" s="155"/>
      <c r="P60" s="155"/>
      <c r="Q60" s="155"/>
      <c r="R60" s="155"/>
      <c r="S60" s="155"/>
      <c r="T60" s="155"/>
      <c r="U60" s="155"/>
      <c r="V60" s="156"/>
      <c r="W60" s="153"/>
      <c r="X60" s="154"/>
      <c r="Y60" s="155"/>
      <c r="Z60" s="155"/>
      <c r="AA60" s="155"/>
      <c r="AB60" s="155"/>
      <c r="AC60" s="155"/>
      <c r="AD60" s="155"/>
      <c r="AE60" s="155"/>
      <c r="AF60" s="155"/>
      <c r="AG60" s="156"/>
      <c r="AH60" s="153"/>
      <c r="AI60" s="154"/>
      <c r="AJ60" s="155"/>
      <c r="AK60" s="155"/>
      <c r="AL60" s="155"/>
      <c r="AM60" s="155"/>
      <c r="AN60" s="155"/>
      <c r="AO60" s="155"/>
      <c r="AP60" s="155"/>
      <c r="AQ60" s="155"/>
      <c r="AR60" s="156"/>
      <c r="AS60" s="153"/>
      <c r="AT60" s="154"/>
      <c r="AU60" s="155"/>
      <c r="AV60" s="155"/>
      <c r="AW60" s="155"/>
      <c r="AX60" s="155"/>
      <c r="AY60" s="155"/>
      <c r="AZ60" s="155"/>
      <c r="BA60" s="155"/>
      <c r="BB60" s="155"/>
      <c r="BC60" s="156"/>
      <c r="BD60" s="153"/>
      <c r="BE60" s="154"/>
      <c r="BF60" s="155"/>
      <c r="BG60" s="155"/>
      <c r="BH60" s="155"/>
      <c r="BI60" s="155"/>
      <c r="BJ60" s="155"/>
      <c r="BK60" s="155"/>
      <c r="BL60" s="155"/>
      <c r="BM60" s="155"/>
      <c r="BN60" s="156"/>
    </row>
    <row r="61" spans="2:66" s="15" customFormat="1" ht="9" customHeight="1" x14ac:dyDescent="0.25">
      <c r="B61" s="353" t="s">
        <v>801</v>
      </c>
      <c r="C61" s="354"/>
      <c r="D61" s="354"/>
      <c r="E61" s="354"/>
      <c r="F61" s="354"/>
      <c r="G61" s="354"/>
      <c r="H61" s="354"/>
      <c r="I61" s="354"/>
      <c r="J61" s="354"/>
      <c r="K61" s="355"/>
      <c r="L61" s="153"/>
      <c r="M61" s="376" t="s">
        <v>802</v>
      </c>
      <c r="N61" s="377"/>
      <c r="O61" s="377"/>
      <c r="P61" s="377"/>
      <c r="Q61" s="377"/>
      <c r="R61" s="378"/>
      <c r="S61" s="277" t="s">
        <v>139</v>
      </c>
      <c r="T61" s="278"/>
      <c r="U61" s="278" t="s">
        <v>84</v>
      </c>
      <c r="V61" s="279"/>
      <c r="W61" s="153"/>
      <c r="X61" s="353" t="s">
        <v>797</v>
      </c>
      <c r="Y61" s="354"/>
      <c r="Z61" s="354"/>
      <c r="AA61" s="354"/>
      <c r="AB61" s="354"/>
      <c r="AC61" s="354"/>
      <c r="AD61" s="354"/>
      <c r="AE61" s="354"/>
      <c r="AF61" s="354"/>
      <c r="AG61" s="355"/>
      <c r="AH61" s="153"/>
      <c r="AI61" s="362" t="s">
        <v>797</v>
      </c>
      <c r="AJ61" s="363"/>
      <c r="AK61" s="363"/>
      <c r="AL61" s="363"/>
      <c r="AM61" s="363"/>
      <c r="AN61" s="363"/>
      <c r="AO61" s="363"/>
      <c r="AP61" s="363"/>
      <c r="AQ61" s="363"/>
      <c r="AR61" s="364"/>
      <c r="AS61" s="153"/>
      <c r="AT61" s="359" t="s">
        <v>797</v>
      </c>
      <c r="AU61" s="360"/>
      <c r="AV61" s="360"/>
      <c r="AW61" s="360"/>
      <c r="AX61" s="360"/>
      <c r="AY61" s="360"/>
      <c r="AZ61" s="360"/>
      <c r="BA61" s="360"/>
      <c r="BB61" s="360"/>
      <c r="BC61" s="361"/>
      <c r="BD61" s="153"/>
      <c r="BE61" s="359" t="s">
        <v>803</v>
      </c>
      <c r="BF61" s="360"/>
      <c r="BG61" s="360"/>
      <c r="BH61" s="360"/>
      <c r="BI61" s="360"/>
      <c r="BJ61" s="360"/>
      <c r="BK61" s="360"/>
      <c r="BL61" s="360"/>
      <c r="BM61" s="360"/>
      <c r="BN61" s="361"/>
    </row>
    <row r="62" spans="2:66" s="15" customFormat="1" ht="9" customHeight="1" x14ac:dyDescent="0.25">
      <c r="B62" s="261" t="s">
        <v>631</v>
      </c>
      <c r="C62" s="261"/>
      <c r="D62" s="261"/>
      <c r="E62" s="261"/>
      <c r="F62" s="261"/>
      <c r="G62" s="261"/>
      <c r="H62" s="262">
        <f>CEILING(5670*B5,1)</f>
        <v>7938</v>
      </c>
      <c r="I62" s="262"/>
      <c r="J62" s="262"/>
      <c r="K62" s="262"/>
      <c r="L62" s="205"/>
      <c r="M62" s="261" t="s">
        <v>631</v>
      </c>
      <c r="N62" s="261"/>
      <c r="O62" s="261"/>
      <c r="P62" s="261"/>
      <c r="Q62" s="261"/>
      <c r="R62" s="261"/>
      <c r="S62" s="262">
        <f>CEILING(1988*B5,1)</f>
        <v>2784</v>
      </c>
      <c r="T62" s="262"/>
      <c r="U62" s="262">
        <f>CEILING(2711*B5,1)</f>
        <v>3796</v>
      </c>
      <c r="V62" s="262"/>
      <c r="W62" s="205"/>
      <c r="X62" s="261" t="s">
        <v>60</v>
      </c>
      <c r="Y62" s="261"/>
      <c r="Z62" s="261"/>
      <c r="AA62" s="261"/>
      <c r="AB62" s="261"/>
      <c r="AC62" s="261"/>
      <c r="AD62" s="262">
        <f>CEILING(1677*B5,1)</f>
        <v>2348</v>
      </c>
      <c r="AE62" s="262"/>
      <c r="AF62" s="262"/>
      <c r="AG62" s="262"/>
      <c r="AH62" s="205"/>
      <c r="AI62" s="261" t="s">
        <v>60</v>
      </c>
      <c r="AJ62" s="261"/>
      <c r="AK62" s="261"/>
      <c r="AL62" s="261"/>
      <c r="AM62" s="261"/>
      <c r="AN62" s="261"/>
      <c r="AO62" s="262">
        <f>CEILING(1892*B5,1)</f>
        <v>2649</v>
      </c>
      <c r="AP62" s="262"/>
      <c r="AQ62" s="262"/>
      <c r="AR62" s="262"/>
      <c r="AS62" s="205"/>
      <c r="AT62" s="261" t="s">
        <v>53</v>
      </c>
      <c r="AU62" s="261"/>
      <c r="AV62" s="261"/>
      <c r="AW62" s="261"/>
      <c r="AX62" s="261"/>
      <c r="AY62" s="261"/>
      <c r="AZ62" s="262">
        <f>CEILING(1836*B5,1)</f>
        <v>2571</v>
      </c>
      <c r="BA62" s="262"/>
      <c r="BB62" s="262"/>
      <c r="BC62" s="262"/>
      <c r="BD62" s="205"/>
      <c r="BE62" s="261" t="s">
        <v>54</v>
      </c>
      <c r="BF62" s="261"/>
      <c r="BG62" s="261"/>
      <c r="BH62" s="261"/>
      <c r="BI62" s="261"/>
      <c r="BJ62" s="261"/>
      <c r="BK62" s="262">
        <f>CEILING(2558*B5,1)</f>
        <v>3582</v>
      </c>
      <c r="BL62" s="262"/>
      <c r="BM62" s="262"/>
      <c r="BN62" s="262"/>
    </row>
    <row r="63" spans="2:66" s="15" customFormat="1" ht="2.1" customHeight="1" x14ac:dyDescent="0.25"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  <c r="BG63" s="153"/>
      <c r="BH63" s="153"/>
      <c r="BI63" s="153"/>
      <c r="BJ63" s="153"/>
      <c r="BK63" s="153"/>
      <c r="BL63" s="153"/>
      <c r="BM63" s="153"/>
      <c r="BN63" s="153"/>
    </row>
    <row r="64" spans="2:66" s="15" customFormat="1" ht="9" customHeight="1" x14ac:dyDescent="0.25">
      <c r="B64" s="347" t="s">
        <v>177</v>
      </c>
      <c r="C64" s="348"/>
      <c r="D64" s="349"/>
      <c r="E64" s="350" t="s">
        <v>52</v>
      </c>
      <c r="F64" s="351"/>
      <c r="G64" s="351"/>
      <c r="H64" s="351"/>
      <c r="I64" s="351"/>
      <c r="J64" s="351"/>
      <c r="K64" s="352"/>
      <c r="L64" s="153"/>
      <c r="M64" s="347" t="s">
        <v>115</v>
      </c>
      <c r="N64" s="348"/>
      <c r="O64" s="349"/>
      <c r="P64" s="350" t="s">
        <v>167</v>
      </c>
      <c r="Q64" s="351"/>
      <c r="R64" s="351"/>
      <c r="S64" s="351"/>
      <c r="T64" s="351"/>
      <c r="U64" s="351"/>
      <c r="V64" s="352"/>
      <c r="W64" s="153"/>
      <c r="X64" s="347" t="s">
        <v>65</v>
      </c>
      <c r="Y64" s="348"/>
      <c r="Z64" s="349"/>
      <c r="AA64" s="350" t="s">
        <v>66</v>
      </c>
      <c r="AB64" s="351"/>
      <c r="AC64" s="351"/>
      <c r="AD64" s="351"/>
      <c r="AE64" s="351"/>
      <c r="AF64" s="351"/>
      <c r="AG64" s="352"/>
      <c r="AH64" s="153"/>
      <c r="AI64" s="347" t="s">
        <v>67</v>
      </c>
      <c r="AJ64" s="348"/>
      <c r="AK64" s="349"/>
      <c r="AL64" s="350" t="s">
        <v>66</v>
      </c>
      <c r="AM64" s="351"/>
      <c r="AN64" s="351"/>
      <c r="AO64" s="351"/>
      <c r="AP64" s="351"/>
      <c r="AQ64" s="351"/>
      <c r="AR64" s="352"/>
      <c r="AS64" s="153"/>
      <c r="AT64" s="347" t="s">
        <v>68</v>
      </c>
      <c r="AU64" s="348"/>
      <c r="AV64" s="349"/>
      <c r="AW64" s="350" t="s">
        <v>66</v>
      </c>
      <c r="AX64" s="351"/>
      <c r="AY64" s="351"/>
      <c r="AZ64" s="351"/>
      <c r="BA64" s="351"/>
      <c r="BB64" s="351"/>
      <c r="BC64" s="352"/>
      <c r="BD64" s="153"/>
      <c r="BE64" s="347" t="s">
        <v>69</v>
      </c>
      <c r="BF64" s="348"/>
      <c r="BG64" s="349"/>
      <c r="BH64" s="350" t="s">
        <v>138</v>
      </c>
      <c r="BI64" s="351"/>
      <c r="BJ64" s="351"/>
      <c r="BK64" s="351"/>
      <c r="BL64" s="351"/>
      <c r="BM64" s="351"/>
      <c r="BN64" s="352"/>
    </row>
    <row r="65" spans="2:66" s="15" customFormat="1" ht="9" customHeight="1" x14ac:dyDescent="0.25">
      <c r="B65" s="353" t="s">
        <v>168</v>
      </c>
      <c r="C65" s="354"/>
      <c r="D65" s="354"/>
      <c r="E65" s="354"/>
      <c r="F65" s="354"/>
      <c r="G65" s="354"/>
      <c r="H65" s="354"/>
      <c r="I65" s="354"/>
      <c r="J65" s="354"/>
      <c r="K65" s="355"/>
      <c r="L65" s="153"/>
      <c r="M65" s="154"/>
      <c r="N65" s="155"/>
      <c r="O65" s="155"/>
      <c r="P65" s="155"/>
      <c r="Q65" s="155"/>
      <c r="R65" s="155"/>
      <c r="S65" s="155"/>
      <c r="T65" s="155"/>
      <c r="U65" s="155"/>
      <c r="V65" s="156"/>
      <c r="W65" s="153"/>
      <c r="X65" s="154"/>
      <c r="Y65" s="155"/>
      <c r="Z65" s="155"/>
      <c r="AA65" s="155"/>
      <c r="AB65" s="155"/>
      <c r="AC65" s="155"/>
      <c r="AD65" s="155"/>
      <c r="AE65" s="155"/>
      <c r="AF65" s="155"/>
      <c r="AG65" s="156"/>
      <c r="AH65" s="153"/>
      <c r="AI65" s="381" t="s">
        <v>783</v>
      </c>
      <c r="AJ65" s="382"/>
      <c r="AK65" s="382"/>
      <c r="AL65" s="382"/>
      <c r="AM65" s="382"/>
      <c r="AN65" s="382"/>
      <c r="AO65" s="382"/>
      <c r="AP65" s="382"/>
      <c r="AQ65" s="382"/>
      <c r="AR65" s="383"/>
      <c r="AS65" s="153"/>
      <c r="AT65" s="353" t="s">
        <v>781</v>
      </c>
      <c r="AU65" s="354"/>
      <c r="AV65" s="354"/>
      <c r="AW65" s="354"/>
      <c r="AX65" s="354"/>
      <c r="AY65" s="354"/>
      <c r="AZ65" s="354"/>
      <c r="BA65" s="354"/>
      <c r="BB65" s="354"/>
      <c r="BC65" s="355"/>
      <c r="BD65" s="153"/>
      <c r="BE65" s="154"/>
      <c r="BF65" s="155"/>
      <c r="BG65" s="155"/>
      <c r="BH65" s="155"/>
      <c r="BI65" s="155"/>
      <c r="BJ65" s="155"/>
      <c r="BK65" s="155"/>
      <c r="BL65" s="155"/>
      <c r="BM65" s="155"/>
      <c r="BN65" s="156"/>
    </row>
    <row r="66" spans="2:66" s="15" customFormat="1" ht="9" customHeight="1" x14ac:dyDescent="0.25">
      <c r="B66" s="154"/>
      <c r="C66" s="155"/>
      <c r="D66" s="155"/>
      <c r="E66" s="155"/>
      <c r="F66" s="155"/>
      <c r="G66" s="155"/>
      <c r="H66" s="155"/>
      <c r="I66" s="155"/>
      <c r="J66" s="155"/>
      <c r="K66" s="156"/>
      <c r="L66" s="153"/>
      <c r="M66" s="154"/>
      <c r="N66" s="155"/>
      <c r="O66" s="155"/>
      <c r="P66" s="155"/>
      <c r="Q66" s="155"/>
      <c r="R66" s="155"/>
      <c r="S66" s="155"/>
      <c r="T66" s="155"/>
      <c r="U66" s="155"/>
      <c r="V66" s="156"/>
      <c r="W66" s="153"/>
      <c r="X66" s="154"/>
      <c r="Y66" s="155"/>
      <c r="Z66" s="155"/>
      <c r="AA66" s="155"/>
      <c r="AB66" s="155"/>
      <c r="AC66" s="155"/>
      <c r="AD66" s="155"/>
      <c r="AE66" s="155"/>
      <c r="AF66" s="155"/>
      <c r="AG66" s="156"/>
      <c r="AH66" s="153"/>
      <c r="AI66" s="381"/>
      <c r="AJ66" s="382"/>
      <c r="AK66" s="382"/>
      <c r="AL66" s="382"/>
      <c r="AM66" s="382"/>
      <c r="AN66" s="382"/>
      <c r="AO66" s="382"/>
      <c r="AP66" s="382"/>
      <c r="AQ66" s="382"/>
      <c r="AR66" s="383"/>
      <c r="AS66" s="153"/>
      <c r="AT66" s="154"/>
      <c r="AU66" s="155"/>
      <c r="AV66" s="155"/>
      <c r="AW66" s="155"/>
      <c r="AX66" s="155"/>
      <c r="AY66" s="155"/>
      <c r="AZ66" s="155"/>
      <c r="BA66" s="155"/>
      <c r="BB66" s="155"/>
      <c r="BC66" s="156"/>
      <c r="BD66" s="153"/>
      <c r="BE66" s="154"/>
      <c r="BF66" s="155"/>
      <c r="BG66" s="155"/>
      <c r="BH66" s="155"/>
      <c r="BI66" s="155"/>
      <c r="BJ66" s="155"/>
      <c r="BK66" s="155"/>
      <c r="BL66" s="155"/>
      <c r="BM66" s="155"/>
      <c r="BN66" s="156"/>
    </row>
    <row r="67" spans="2:66" s="15" customFormat="1" ht="9" customHeight="1" x14ac:dyDescent="0.25">
      <c r="B67" s="154"/>
      <c r="C67" s="155"/>
      <c r="D67" s="155"/>
      <c r="E67" s="155"/>
      <c r="F67" s="155"/>
      <c r="G67" s="155"/>
      <c r="H67" s="155"/>
      <c r="I67" s="155"/>
      <c r="J67" s="155"/>
      <c r="K67" s="156"/>
      <c r="L67" s="153"/>
      <c r="M67" s="154"/>
      <c r="N67" s="155"/>
      <c r="O67" s="155"/>
      <c r="P67" s="155"/>
      <c r="Q67" s="155"/>
      <c r="R67" s="155"/>
      <c r="S67" s="155"/>
      <c r="T67" s="155"/>
      <c r="U67" s="155"/>
      <c r="V67" s="156"/>
      <c r="W67" s="153"/>
      <c r="X67" s="154"/>
      <c r="Y67" s="155"/>
      <c r="Z67" s="155"/>
      <c r="AA67" s="155"/>
      <c r="AB67" s="155"/>
      <c r="AC67" s="155"/>
      <c r="AD67" s="155"/>
      <c r="AE67" s="155"/>
      <c r="AF67" s="155"/>
      <c r="AG67" s="156"/>
      <c r="AH67" s="153"/>
      <c r="AI67" s="154"/>
      <c r="AJ67" s="155"/>
      <c r="AK67" s="155"/>
      <c r="AL67" s="155"/>
      <c r="AM67" s="155"/>
      <c r="AN67" s="155"/>
      <c r="AO67" s="155"/>
      <c r="AP67" s="155"/>
      <c r="AQ67" s="155"/>
      <c r="AR67" s="156"/>
      <c r="AS67" s="153"/>
      <c r="AT67" s="154"/>
      <c r="AU67" s="155"/>
      <c r="AV67" s="155"/>
      <c r="AW67" s="155"/>
      <c r="AX67" s="155"/>
      <c r="AY67" s="155"/>
      <c r="AZ67" s="155"/>
      <c r="BA67" s="155"/>
      <c r="BB67" s="155"/>
      <c r="BC67" s="156"/>
      <c r="BD67" s="153"/>
      <c r="BE67" s="154"/>
      <c r="BF67" s="155"/>
      <c r="BG67" s="155"/>
      <c r="BH67" s="155"/>
      <c r="BI67" s="155"/>
      <c r="BJ67" s="155"/>
      <c r="BK67" s="155"/>
      <c r="BL67" s="155"/>
      <c r="BM67" s="155"/>
      <c r="BN67" s="156"/>
    </row>
    <row r="68" spans="2:66" s="15" customFormat="1" ht="9" customHeight="1" x14ac:dyDescent="0.25">
      <c r="B68" s="154"/>
      <c r="C68" s="155"/>
      <c r="D68" s="155"/>
      <c r="E68" s="155"/>
      <c r="F68" s="155"/>
      <c r="G68" s="155"/>
      <c r="H68" s="155"/>
      <c r="I68" s="155"/>
      <c r="J68" s="155"/>
      <c r="K68" s="156"/>
      <c r="L68" s="153"/>
      <c r="M68" s="154"/>
      <c r="N68" s="155"/>
      <c r="O68" s="155"/>
      <c r="P68" s="155"/>
      <c r="Q68" s="155"/>
      <c r="R68" s="155"/>
      <c r="S68" s="155"/>
      <c r="T68" s="155"/>
      <c r="U68" s="155"/>
      <c r="V68" s="156"/>
      <c r="W68" s="153"/>
      <c r="X68" s="154"/>
      <c r="Y68" s="155"/>
      <c r="Z68" s="155"/>
      <c r="AA68" s="155"/>
      <c r="AB68" s="155"/>
      <c r="AC68" s="155"/>
      <c r="AD68" s="155"/>
      <c r="AE68" s="155"/>
      <c r="AF68" s="155"/>
      <c r="AG68" s="156"/>
      <c r="AH68" s="153"/>
      <c r="AI68" s="154"/>
      <c r="AJ68" s="155"/>
      <c r="AK68" s="155"/>
      <c r="AL68" s="155"/>
      <c r="AM68" s="155"/>
      <c r="AN68" s="155"/>
      <c r="AO68" s="155"/>
      <c r="AP68" s="155"/>
      <c r="AQ68" s="155"/>
      <c r="AR68" s="156"/>
      <c r="AS68" s="153"/>
      <c r="AT68" s="154"/>
      <c r="AU68" s="155"/>
      <c r="AV68" s="155"/>
      <c r="AW68" s="155"/>
      <c r="AX68" s="155"/>
      <c r="AY68" s="155"/>
      <c r="AZ68" s="155"/>
      <c r="BA68" s="155"/>
      <c r="BB68" s="155"/>
      <c r="BC68" s="156"/>
      <c r="BD68" s="153"/>
      <c r="BE68" s="154"/>
      <c r="BF68" s="155"/>
      <c r="BG68" s="155"/>
      <c r="BH68" s="155"/>
      <c r="BI68" s="155"/>
      <c r="BJ68" s="155"/>
      <c r="BK68" s="155"/>
      <c r="BL68" s="155"/>
      <c r="BM68" s="155"/>
      <c r="BN68" s="156"/>
    </row>
    <row r="69" spans="2:66" s="15" customFormat="1" ht="9" customHeight="1" x14ac:dyDescent="0.25">
      <c r="B69" s="154"/>
      <c r="C69" s="155"/>
      <c r="D69" s="155"/>
      <c r="E69" s="155"/>
      <c r="F69" s="155"/>
      <c r="G69" s="155"/>
      <c r="H69" s="155"/>
      <c r="I69" s="155"/>
      <c r="J69" s="155"/>
      <c r="K69" s="156"/>
      <c r="L69" s="153"/>
      <c r="M69" s="154"/>
      <c r="N69" s="155"/>
      <c r="O69" s="155"/>
      <c r="P69" s="155"/>
      <c r="Q69" s="155"/>
      <c r="R69" s="155"/>
      <c r="S69" s="155"/>
      <c r="T69" s="155"/>
      <c r="U69" s="155"/>
      <c r="V69" s="156"/>
      <c r="W69" s="153"/>
      <c r="X69" s="154"/>
      <c r="Y69" s="155"/>
      <c r="Z69" s="155"/>
      <c r="AA69" s="155"/>
      <c r="AB69" s="155"/>
      <c r="AC69" s="155"/>
      <c r="AD69" s="155"/>
      <c r="AE69" s="155"/>
      <c r="AF69" s="155"/>
      <c r="AG69" s="156"/>
      <c r="AH69" s="153"/>
      <c r="AI69" s="154"/>
      <c r="AJ69" s="155"/>
      <c r="AK69" s="155"/>
      <c r="AL69" s="155"/>
      <c r="AM69" s="155"/>
      <c r="AN69" s="155"/>
      <c r="AO69" s="155"/>
      <c r="AP69" s="155"/>
      <c r="AQ69" s="155"/>
      <c r="AR69" s="156"/>
      <c r="AS69" s="153"/>
      <c r="AT69" s="154"/>
      <c r="AU69" s="155"/>
      <c r="AV69" s="155"/>
      <c r="AW69" s="155"/>
      <c r="AX69" s="155"/>
      <c r="AY69" s="155"/>
      <c r="AZ69" s="155"/>
      <c r="BA69" s="155"/>
      <c r="BB69" s="155"/>
      <c r="BC69" s="156"/>
      <c r="BD69" s="153"/>
      <c r="BE69" s="154"/>
      <c r="BF69" s="155"/>
      <c r="BG69" s="155"/>
      <c r="BH69" s="155"/>
      <c r="BI69" s="155"/>
      <c r="BJ69" s="155"/>
      <c r="BK69" s="155"/>
      <c r="BL69" s="155"/>
      <c r="BM69" s="155"/>
      <c r="BN69" s="156"/>
    </row>
    <row r="70" spans="2:66" s="15" customFormat="1" ht="9" customHeight="1" x14ac:dyDescent="0.25">
      <c r="B70" s="154"/>
      <c r="C70" s="155"/>
      <c r="D70" s="155"/>
      <c r="E70" s="155"/>
      <c r="F70" s="155"/>
      <c r="G70" s="155"/>
      <c r="H70" s="155"/>
      <c r="I70" s="155"/>
      <c r="J70" s="155"/>
      <c r="K70" s="156"/>
      <c r="L70" s="153"/>
      <c r="M70" s="154"/>
      <c r="N70" s="155"/>
      <c r="O70" s="155"/>
      <c r="P70" s="155"/>
      <c r="Q70" s="155"/>
      <c r="R70" s="155"/>
      <c r="S70" s="155"/>
      <c r="T70" s="155"/>
      <c r="U70" s="155"/>
      <c r="V70" s="156"/>
      <c r="W70" s="153"/>
      <c r="X70" s="154"/>
      <c r="Y70" s="155"/>
      <c r="Z70" s="155"/>
      <c r="AA70" s="155"/>
      <c r="AB70" s="155"/>
      <c r="AC70" s="155"/>
      <c r="AD70" s="155"/>
      <c r="AE70" s="155"/>
      <c r="AF70" s="155"/>
      <c r="AG70" s="156"/>
      <c r="AH70" s="153"/>
      <c r="AI70" s="154"/>
      <c r="AJ70" s="155"/>
      <c r="AK70" s="155"/>
      <c r="AL70" s="155"/>
      <c r="AM70" s="155"/>
      <c r="AN70" s="155"/>
      <c r="AO70" s="155"/>
      <c r="AP70" s="155"/>
      <c r="AQ70" s="155"/>
      <c r="AR70" s="156"/>
      <c r="AS70" s="153"/>
      <c r="AT70" s="154"/>
      <c r="AU70" s="155"/>
      <c r="AV70" s="155"/>
      <c r="AW70" s="155"/>
      <c r="AX70" s="155"/>
      <c r="AY70" s="155"/>
      <c r="AZ70" s="155"/>
      <c r="BA70" s="155"/>
      <c r="BB70" s="155"/>
      <c r="BC70" s="156"/>
      <c r="BD70" s="153"/>
      <c r="BE70" s="154"/>
      <c r="BF70" s="155"/>
      <c r="BG70" s="155"/>
      <c r="BH70" s="155"/>
      <c r="BI70" s="155"/>
      <c r="BJ70" s="155"/>
      <c r="BK70" s="155"/>
      <c r="BL70" s="155"/>
      <c r="BM70" s="155"/>
      <c r="BN70" s="156"/>
    </row>
    <row r="71" spans="2:66" s="15" customFormat="1" ht="9" customHeight="1" x14ac:dyDescent="0.25">
      <c r="B71" s="154"/>
      <c r="C71" s="155"/>
      <c r="D71" s="155"/>
      <c r="E71" s="155"/>
      <c r="F71" s="155"/>
      <c r="G71" s="155"/>
      <c r="H71" s="155"/>
      <c r="I71" s="155"/>
      <c r="J71" s="155"/>
      <c r="K71" s="156"/>
      <c r="L71" s="153"/>
      <c r="M71" s="154"/>
      <c r="N71" s="155"/>
      <c r="O71" s="155"/>
      <c r="P71" s="155"/>
      <c r="Q71" s="155"/>
      <c r="R71" s="155"/>
      <c r="S71" s="155"/>
      <c r="T71" s="155"/>
      <c r="U71" s="155"/>
      <c r="V71" s="156"/>
      <c r="W71" s="153"/>
      <c r="X71" s="154"/>
      <c r="Y71" s="155"/>
      <c r="Z71" s="155"/>
      <c r="AA71" s="155"/>
      <c r="AB71" s="155"/>
      <c r="AC71" s="155"/>
      <c r="AD71" s="155"/>
      <c r="AE71" s="155"/>
      <c r="AF71" s="155"/>
      <c r="AG71" s="156"/>
      <c r="AH71" s="153"/>
      <c r="AI71" s="154"/>
      <c r="AJ71" s="155"/>
      <c r="AK71" s="155"/>
      <c r="AL71" s="155"/>
      <c r="AM71" s="155"/>
      <c r="AN71" s="155"/>
      <c r="AO71" s="155"/>
      <c r="AP71" s="155"/>
      <c r="AQ71" s="155"/>
      <c r="AR71" s="156"/>
      <c r="AS71" s="153"/>
      <c r="AT71" s="154"/>
      <c r="AU71" s="155"/>
      <c r="AV71" s="155"/>
      <c r="AW71" s="155"/>
      <c r="AX71" s="155"/>
      <c r="AY71" s="155"/>
      <c r="AZ71" s="155"/>
      <c r="BA71" s="155"/>
      <c r="BB71" s="155"/>
      <c r="BC71" s="156"/>
      <c r="BD71" s="153"/>
      <c r="BE71" s="154"/>
      <c r="BF71" s="155"/>
      <c r="BG71" s="155"/>
      <c r="BH71" s="155"/>
      <c r="BI71" s="155"/>
      <c r="BJ71" s="155"/>
      <c r="BK71" s="155"/>
      <c r="BL71" s="155"/>
      <c r="BM71" s="155"/>
      <c r="BN71" s="156"/>
    </row>
    <row r="72" spans="2:66" s="15" customFormat="1" ht="9" customHeight="1" x14ac:dyDescent="0.25">
      <c r="B72" s="154"/>
      <c r="C72" s="155"/>
      <c r="D72" s="155"/>
      <c r="E72" s="155"/>
      <c r="F72" s="155"/>
      <c r="G72" s="155"/>
      <c r="H72" s="155"/>
      <c r="I72" s="155"/>
      <c r="J72" s="155"/>
      <c r="K72" s="156"/>
      <c r="L72" s="153"/>
      <c r="M72" s="154"/>
      <c r="N72" s="155"/>
      <c r="O72" s="155"/>
      <c r="P72" s="155"/>
      <c r="Q72" s="155"/>
      <c r="R72" s="155"/>
      <c r="S72" s="155"/>
      <c r="T72" s="155"/>
      <c r="U72" s="155"/>
      <c r="V72" s="156"/>
      <c r="W72" s="153"/>
      <c r="X72" s="154"/>
      <c r="Y72" s="155"/>
      <c r="Z72" s="155"/>
      <c r="AA72" s="155"/>
      <c r="AB72" s="155"/>
      <c r="AC72" s="155"/>
      <c r="AD72" s="155"/>
      <c r="AE72" s="155"/>
      <c r="AF72" s="155"/>
      <c r="AG72" s="156"/>
      <c r="AH72" s="153"/>
      <c r="AI72" s="154"/>
      <c r="AJ72" s="155"/>
      <c r="AK72" s="155"/>
      <c r="AL72" s="155"/>
      <c r="AM72" s="155"/>
      <c r="AN72" s="155"/>
      <c r="AO72" s="155"/>
      <c r="AP72" s="155"/>
      <c r="AQ72" s="155"/>
      <c r="AR72" s="156"/>
      <c r="AS72" s="153"/>
      <c r="AT72" s="154"/>
      <c r="AU72" s="155"/>
      <c r="AV72" s="155"/>
      <c r="AW72" s="155"/>
      <c r="AX72" s="155"/>
      <c r="AY72" s="155"/>
      <c r="AZ72" s="155"/>
      <c r="BA72" s="155"/>
      <c r="BB72" s="155"/>
      <c r="BC72" s="156"/>
      <c r="BD72" s="153"/>
      <c r="BE72" s="154"/>
      <c r="BF72" s="155"/>
      <c r="BG72" s="155"/>
      <c r="BH72" s="155"/>
      <c r="BI72" s="155"/>
      <c r="BJ72" s="155"/>
      <c r="BK72" s="155"/>
      <c r="BL72" s="155"/>
      <c r="BM72" s="155"/>
      <c r="BN72" s="156"/>
    </row>
    <row r="73" spans="2:66" s="15" customFormat="1" ht="9" customHeight="1" x14ac:dyDescent="0.25">
      <c r="B73" s="154"/>
      <c r="C73" s="155"/>
      <c r="D73" s="155"/>
      <c r="E73" s="155"/>
      <c r="F73" s="155"/>
      <c r="G73" s="155"/>
      <c r="H73" s="155"/>
      <c r="I73" s="155"/>
      <c r="J73" s="155"/>
      <c r="K73" s="156"/>
      <c r="L73" s="153"/>
      <c r="M73" s="154"/>
      <c r="N73" s="155"/>
      <c r="O73" s="155"/>
      <c r="P73" s="155"/>
      <c r="Q73" s="155"/>
      <c r="R73" s="155"/>
      <c r="S73" s="155"/>
      <c r="T73" s="155"/>
      <c r="U73" s="155"/>
      <c r="V73" s="156"/>
      <c r="W73" s="153"/>
      <c r="X73" s="154"/>
      <c r="Y73" s="155"/>
      <c r="Z73" s="155"/>
      <c r="AA73" s="155"/>
      <c r="AB73" s="155"/>
      <c r="AC73" s="155"/>
      <c r="AD73" s="155"/>
      <c r="AE73" s="155"/>
      <c r="AF73" s="155"/>
      <c r="AG73" s="156"/>
      <c r="AH73" s="153"/>
      <c r="AI73" s="154"/>
      <c r="AJ73" s="155"/>
      <c r="AK73" s="155"/>
      <c r="AL73" s="155"/>
      <c r="AM73" s="155"/>
      <c r="AN73" s="155"/>
      <c r="AO73" s="155"/>
      <c r="AP73" s="155"/>
      <c r="AQ73" s="155"/>
      <c r="AR73" s="156"/>
      <c r="AS73" s="153"/>
      <c r="AT73" s="154"/>
      <c r="AU73" s="155"/>
      <c r="AV73" s="155"/>
      <c r="AW73" s="155"/>
      <c r="AX73" s="155"/>
      <c r="AY73" s="155"/>
      <c r="AZ73" s="155"/>
      <c r="BA73" s="155"/>
      <c r="BB73" s="155"/>
      <c r="BC73" s="156"/>
      <c r="BD73" s="153"/>
      <c r="BE73" s="154"/>
      <c r="BF73" s="155"/>
      <c r="BG73" s="155"/>
      <c r="BH73" s="155"/>
      <c r="BI73" s="155"/>
      <c r="BJ73" s="155"/>
      <c r="BK73" s="155"/>
      <c r="BL73" s="155"/>
      <c r="BM73" s="155"/>
      <c r="BN73" s="156"/>
    </row>
    <row r="74" spans="2:66" s="15" customFormat="1" ht="9" customHeight="1" x14ac:dyDescent="0.25">
      <c r="B74" s="154"/>
      <c r="C74" s="155"/>
      <c r="D74" s="155"/>
      <c r="E74" s="155"/>
      <c r="F74" s="155"/>
      <c r="G74" s="155"/>
      <c r="H74" s="155"/>
      <c r="I74" s="155"/>
      <c r="J74" s="155"/>
      <c r="K74" s="156"/>
      <c r="L74" s="153"/>
      <c r="M74" s="379"/>
      <c r="N74" s="319"/>
      <c r="O74" s="319"/>
      <c r="P74" s="319"/>
      <c r="Q74" s="319"/>
      <c r="R74" s="319"/>
      <c r="S74" s="319"/>
      <c r="T74" s="319"/>
      <c r="U74" s="319"/>
      <c r="V74" s="380"/>
      <c r="W74" s="153"/>
      <c r="X74" s="154"/>
      <c r="Y74" s="155"/>
      <c r="Z74" s="155"/>
      <c r="AA74" s="155"/>
      <c r="AB74" s="155"/>
      <c r="AC74" s="155"/>
      <c r="AD74" s="155"/>
      <c r="AE74" s="155"/>
      <c r="AF74" s="155"/>
      <c r="AG74" s="156"/>
      <c r="AH74" s="153"/>
      <c r="AI74" s="154"/>
      <c r="AJ74" s="155"/>
      <c r="AK74" s="155"/>
      <c r="AL74" s="155"/>
      <c r="AM74" s="155"/>
      <c r="AN74" s="155"/>
      <c r="AO74" s="155"/>
      <c r="AP74" s="155"/>
      <c r="AQ74" s="155"/>
      <c r="AR74" s="156"/>
      <c r="AS74" s="153"/>
      <c r="AT74" s="154"/>
      <c r="AU74" s="155"/>
      <c r="AV74" s="155"/>
      <c r="AW74" s="155"/>
      <c r="AX74" s="155"/>
      <c r="AY74" s="155"/>
      <c r="AZ74" s="155"/>
      <c r="BA74" s="155"/>
      <c r="BB74" s="155"/>
      <c r="BC74" s="156"/>
      <c r="BD74" s="153"/>
      <c r="BE74" s="154"/>
      <c r="BF74" s="155"/>
      <c r="BG74" s="155"/>
      <c r="BH74" s="155"/>
      <c r="BI74" s="155"/>
      <c r="BJ74" s="155"/>
      <c r="BK74" s="155"/>
      <c r="BL74" s="155"/>
      <c r="BM74" s="155"/>
      <c r="BN74" s="156"/>
    </row>
    <row r="75" spans="2:66" s="15" customFormat="1" ht="9" customHeight="1" x14ac:dyDescent="0.25">
      <c r="B75" s="353" t="s">
        <v>794</v>
      </c>
      <c r="C75" s="354"/>
      <c r="D75" s="354"/>
      <c r="E75" s="354"/>
      <c r="F75" s="354"/>
      <c r="G75" s="354"/>
      <c r="H75" s="354"/>
      <c r="I75" s="354"/>
      <c r="J75" s="354"/>
      <c r="K75" s="355"/>
      <c r="L75" s="153"/>
      <c r="M75" s="379" t="s">
        <v>719</v>
      </c>
      <c r="N75" s="319"/>
      <c r="O75" s="319"/>
      <c r="P75" s="319"/>
      <c r="Q75" s="319"/>
      <c r="R75" s="319"/>
      <c r="S75" s="319"/>
      <c r="T75" s="319"/>
      <c r="U75" s="319"/>
      <c r="V75" s="380"/>
      <c r="W75" s="153"/>
      <c r="X75" s="353" t="s">
        <v>792</v>
      </c>
      <c r="Y75" s="354"/>
      <c r="Z75" s="354"/>
      <c r="AA75" s="354"/>
      <c r="AB75" s="354"/>
      <c r="AC75" s="354"/>
      <c r="AD75" s="354"/>
      <c r="AE75" s="354"/>
      <c r="AF75" s="354"/>
      <c r="AG75" s="355"/>
      <c r="AH75" s="153"/>
      <c r="AI75" s="353" t="s">
        <v>804</v>
      </c>
      <c r="AJ75" s="354"/>
      <c r="AK75" s="354"/>
      <c r="AL75" s="354"/>
      <c r="AM75" s="354"/>
      <c r="AN75" s="354"/>
      <c r="AO75" s="354"/>
      <c r="AP75" s="354"/>
      <c r="AQ75" s="354"/>
      <c r="AR75" s="355"/>
      <c r="AS75" s="153"/>
      <c r="AT75" s="353" t="s">
        <v>792</v>
      </c>
      <c r="AU75" s="354"/>
      <c r="AV75" s="354"/>
      <c r="AW75" s="354"/>
      <c r="AX75" s="354"/>
      <c r="AY75" s="354"/>
      <c r="AZ75" s="354"/>
      <c r="BA75" s="354"/>
      <c r="BB75" s="354"/>
      <c r="BC75" s="355"/>
      <c r="BD75" s="153"/>
      <c r="BE75" s="385" t="s">
        <v>805</v>
      </c>
      <c r="BF75" s="386"/>
      <c r="BG75" s="386"/>
      <c r="BH75" s="386"/>
      <c r="BI75" s="386"/>
      <c r="BJ75" s="387"/>
      <c r="BK75" s="294" t="s">
        <v>165</v>
      </c>
      <c r="BL75" s="295"/>
      <c r="BM75" s="296" t="s">
        <v>166</v>
      </c>
      <c r="BN75" s="295"/>
    </row>
    <row r="76" spans="2:66" s="15" customFormat="1" ht="9" customHeight="1" x14ac:dyDescent="0.25">
      <c r="B76" s="261" t="s">
        <v>178</v>
      </c>
      <c r="C76" s="261"/>
      <c r="D76" s="261"/>
      <c r="E76" s="261"/>
      <c r="F76" s="261"/>
      <c r="G76" s="261"/>
      <c r="H76" s="262">
        <f>CEILING(1466*B5,1)</f>
        <v>2053</v>
      </c>
      <c r="I76" s="262"/>
      <c r="J76" s="262"/>
      <c r="K76" s="262"/>
      <c r="L76" s="205"/>
      <c r="M76" s="384" t="s">
        <v>155</v>
      </c>
      <c r="N76" s="384"/>
      <c r="O76" s="384"/>
      <c r="P76" s="384"/>
      <c r="Q76" s="384"/>
      <c r="R76" s="384"/>
      <c r="S76" s="262">
        <f>CEILING(2471*B5,1)</f>
        <v>3460</v>
      </c>
      <c r="T76" s="262"/>
      <c r="U76" s="262"/>
      <c r="V76" s="262"/>
      <c r="W76" s="205"/>
      <c r="X76" s="261" t="s">
        <v>169</v>
      </c>
      <c r="Y76" s="261"/>
      <c r="Z76" s="261"/>
      <c r="AA76" s="261"/>
      <c r="AB76" s="261"/>
      <c r="AC76" s="261"/>
      <c r="AD76" s="262">
        <f>CEILING(933*B5,1)</f>
        <v>1307</v>
      </c>
      <c r="AE76" s="262"/>
      <c r="AF76" s="262"/>
      <c r="AG76" s="262"/>
      <c r="AH76" s="205"/>
      <c r="AI76" s="261" t="s">
        <v>169</v>
      </c>
      <c r="AJ76" s="261"/>
      <c r="AK76" s="261"/>
      <c r="AL76" s="261"/>
      <c r="AM76" s="261"/>
      <c r="AN76" s="261"/>
      <c r="AO76" s="262">
        <f>CEILING(948*B5,1)</f>
        <v>1328</v>
      </c>
      <c r="AP76" s="262"/>
      <c r="AQ76" s="262"/>
      <c r="AR76" s="262"/>
      <c r="AS76" s="205"/>
      <c r="AT76" s="261" t="s">
        <v>169</v>
      </c>
      <c r="AU76" s="261"/>
      <c r="AV76" s="261"/>
      <c r="AW76" s="261"/>
      <c r="AX76" s="261"/>
      <c r="AY76" s="261"/>
      <c r="AZ76" s="262">
        <f>CEILING(1102*B5,1)</f>
        <v>1543</v>
      </c>
      <c r="BA76" s="262"/>
      <c r="BB76" s="262"/>
      <c r="BC76" s="262"/>
      <c r="BD76" s="205"/>
      <c r="BE76" s="261" t="s">
        <v>169</v>
      </c>
      <c r="BF76" s="261"/>
      <c r="BG76" s="261"/>
      <c r="BH76" s="261"/>
      <c r="BI76" s="261"/>
      <c r="BJ76" s="261"/>
      <c r="BK76" s="262">
        <f>CEILING(1653*B5,1)</f>
        <v>2315</v>
      </c>
      <c r="BL76" s="262"/>
      <c r="BM76" s="262">
        <f>CEILING(1959*B5,1)</f>
        <v>2743</v>
      </c>
      <c r="BN76" s="262"/>
    </row>
    <row r="77" spans="2:66" s="15" customFormat="1" ht="2.1" customHeight="1" x14ac:dyDescent="0.25"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  <c r="AV77" s="153"/>
      <c r="AW77" s="153"/>
      <c r="AX77" s="153"/>
      <c r="AY77" s="153"/>
      <c r="AZ77" s="153"/>
      <c r="BA77" s="153"/>
      <c r="BB77" s="153"/>
      <c r="BC77" s="153"/>
      <c r="BD77" s="153"/>
      <c r="BE77" s="153"/>
      <c r="BF77" s="153"/>
      <c r="BG77" s="153"/>
      <c r="BH77" s="153"/>
      <c r="BI77" s="153"/>
      <c r="BJ77" s="153"/>
      <c r="BK77" s="153"/>
      <c r="BL77" s="153"/>
      <c r="BM77" s="153"/>
      <c r="BN77" s="153"/>
    </row>
    <row r="78" spans="2:66" s="15" customFormat="1" ht="9" customHeight="1" x14ac:dyDescent="0.25">
      <c r="B78" s="347" t="s">
        <v>70</v>
      </c>
      <c r="C78" s="348"/>
      <c r="D78" s="349"/>
      <c r="E78" s="350" t="s">
        <v>71</v>
      </c>
      <c r="F78" s="351"/>
      <c r="G78" s="351"/>
      <c r="H78" s="351"/>
      <c r="I78" s="351"/>
      <c r="J78" s="351"/>
      <c r="K78" s="352"/>
      <c r="L78" s="153"/>
      <c r="M78" s="347" t="s">
        <v>74</v>
      </c>
      <c r="N78" s="348"/>
      <c r="O78" s="349"/>
      <c r="P78" s="350" t="s">
        <v>81</v>
      </c>
      <c r="Q78" s="351"/>
      <c r="R78" s="351"/>
      <c r="S78" s="351"/>
      <c r="T78" s="351"/>
      <c r="U78" s="351"/>
      <c r="V78" s="352"/>
      <c r="W78" s="153"/>
      <c r="X78" s="347" t="s">
        <v>75</v>
      </c>
      <c r="Y78" s="348"/>
      <c r="Z78" s="349"/>
      <c r="AA78" s="350" t="s">
        <v>175</v>
      </c>
      <c r="AB78" s="351"/>
      <c r="AC78" s="351"/>
      <c r="AD78" s="351"/>
      <c r="AE78" s="351"/>
      <c r="AF78" s="351"/>
      <c r="AG78" s="352"/>
      <c r="AH78" s="153"/>
      <c r="AI78" s="347" t="s">
        <v>76</v>
      </c>
      <c r="AJ78" s="348"/>
      <c r="AK78" s="349"/>
      <c r="AL78" s="350" t="s">
        <v>81</v>
      </c>
      <c r="AM78" s="351"/>
      <c r="AN78" s="351"/>
      <c r="AO78" s="351"/>
      <c r="AP78" s="351"/>
      <c r="AQ78" s="351"/>
      <c r="AR78" s="352"/>
      <c r="AS78" s="153"/>
      <c r="AT78" s="347" t="s">
        <v>78</v>
      </c>
      <c r="AU78" s="348"/>
      <c r="AV78" s="349"/>
      <c r="AW78" s="350" t="s">
        <v>81</v>
      </c>
      <c r="AX78" s="351"/>
      <c r="AY78" s="351"/>
      <c r="AZ78" s="351"/>
      <c r="BA78" s="351"/>
      <c r="BB78" s="351"/>
      <c r="BC78" s="352"/>
      <c r="BD78" s="153"/>
      <c r="BE78" s="347" t="s">
        <v>47</v>
      </c>
      <c r="BF78" s="348"/>
      <c r="BG78" s="349"/>
      <c r="BH78" s="350" t="s">
        <v>140</v>
      </c>
      <c r="BI78" s="351"/>
      <c r="BJ78" s="351"/>
      <c r="BK78" s="351"/>
      <c r="BL78" s="351"/>
      <c r="BM78" s="351"/>
      <c r="BN78" s="352"/>
    </row>
    <row r="79" spans="2:66" s="15" customFormat="1" ht="9" customHeight="1" x14ac:dyDescent="0.25">
      <c r="B79" s="154"/>
      <c r="C79" s="155"/>
      <c r="D79" s="155"/>
      <c r="E79" s="155"/>
      <c r="F79" s="155"/>
      <c r="G79" s="155"/>
      <c r="H79" s="155"/>
      <c r="I79" s="155"/>
      <c r="J79" s="155"/>
      <c r="K79" s="156"/>
      <c r="L79" s="153"/>
      <c r="M79" s="154"/>
      <c r="N79" s="155"/>
      <c r="O79" s="155"/>
      <c r="P79" s="155"/>
      <c r="Q79" s="155"/>
      <c r="R79" s="155"/>
      <c r="S79" s="155"/>
      <c r="T79" s="155"/>
      <c r="U79" s="155"/>
      <c r="V79" s="156"/>
      <c r="W79" s="153"/>
      <c r="X79" s="154"/>
      <c r="Y79" s="155"/>
      <c r="Z79" s="155"/>
      <c r="AA79" s="155"/>
      <c r="AB79" s="155"/>
      <c r="AC79" s="155"/>
      <c r="AD79" s="155"/>
      <c r="AE79" s="155"/>
      <c r="AF79" s="155"/>
      <c r="AG79" s="156"/>
      <c r="AH79" s="153"/>
      <c r="AI79" s="154"/>
      <c r="AJ79" s="155"/>
      <c r="AK79" s="155"/>
      <c r="AL79" s="155"/>
      <c r="AM79" s="155"/>
      <c r="AN79" s="155"/>
      <c r="AO79" s="155"/>
      <c r="AP79" s="155"/>
      <c r="AQ79" s="155"/>
      <c r="AR79" s="156"/>
      <c r="AS79" s="153"/>
      <c r="AT79" s="154"/>
      <c r="AU79" s="155"/>
      <c r="AV79" s="155"/>
      <c r="AW79" s="155"/>
      <c r="AX79" s="155"/>
      <c r="AY79" s="155"/>
      <c r="AZ79" s="155"/>
      <c r="BA79" s="155"/>
      <c r="BB79" s="155"/>
      <c r="BC79" s="156"/>
      <c r="BD79" s="153"/>
      <c r="BE79" s="154"/>
      <c r="BF79" s="155"/>
      <c r="BG79" s="155"/>
      <c r="BH79" s="155"/>
      <c r="BI79" s="155"/>
      <c r="BJ79" s="155"/>
      <c r="BK79" s="155"/>
      <c r="BL79" s="155"/>
      <c r="BM79" s="155"/>
      <c r="BN79" s="156"/>
    </row>
    <row r="80" spans="2:66" s="15" customFormat="1" ht="9" customHeight="1" x14ac:dyDescent="0.25">
      <c r="B80" s="154"/>
      <c r="C80" s="155"/>
      <c r="D80" s="155"/>
      <c r="E80" s="155"/>
      <c r="F80" s="155"/>
      <c r="G80" s="155"/>
      <c r="H80" s="155"/>
      <c r="I80" s="155"/>
      <c r="J80" s="155"/>
      <c r="K80" s="156"/>
      <c r="L80" s="153"/>
      <c r="M80" s="154"/>
      <c r="N80" s="155"/>
      <c r="O80" s="155"/>
      <c r="P80" s="155"/>
      <c r="Q80" s="155"/>
      <c r="R80" s="155"/>
      <c r="S80" s="155"/>
      <c r="T80" s="155"/>
      <c r="U80" s="155"/>
      <c r="V80" s="156"/>
      <c r="W80" s="153"/>
      <c r="X80" s="154"/>
      <c r="Y80" s="155"/>
      <c r="Z80" s="155"/>
      <c r="AA80" s="155"/>
      <c r="AB80" s="155"/>
      <c r="AC80" s="155"/>
      <c r="AD80" s="155"/>
      <c r="AE80" s="155"/>
      <c r="AF80" s="155"/>
      <c r="AG80" s="156"/>
      <c r="AH80" s="153"/>
      <c r="AI80" s="154"/>
      <c r="AJ80" s="155"/>
      <c r="AK80" s="155"/>
      <c r="AL80" s="155"/>
      <c r="AM80" s="155"/>
      <c r="AN80" s="155"/>
      <c r="AO80" s="155"/>
      <c r="AP80" s="155"/>
      <c r="AQ80" s="155"/>
      <c r="AR80" s="156"/>
      <c r="AS80" s="153"/>
      <c r="AT80" s="157"/>
      <c r="AU80" s="158"/>
      <c r="AV80" s="158"/>
      <c r="AW80" s="158"/>
      <c r="AX80" s="158"/>
      <c r="AY80" s="158"/>
      <c r="AZ80" s="158"/>
      <c r="BA80" s="158"/>
      <c r="BB80" s="158"/>
      <c r="BC80" s="159"/>
      <c r="BD80" s="153"/>
      <c r="BE80" s="154"/>
      <c r="BF80" s="155"/>
      <c r="BG80" s="155"/>
      <c r="BH80" s="155"/>
      <c r="BI80" s="155"/>
      <c r="BJ80" s="155"/>
      <c r="BK80" s="155"/>
      <c r="BL80" s="155"/>
      <c r="BM80" s="155"/>
      <c r="BN80" s="156"/>
    </row>
    <row r="81" spans="2:66" s="15" customFormat="1" ht="9" customHeight="1" x14ac:dyDescent="0.25">
      <c r="B81" s="154"/>
      <c r="C81" s="155"/>
      <c r="D81" s="155"/>
      <c r="E81" s="155"/>
      <c r="F81" s="155"/>
      <c r="G81" s="155"/>
      <c r="H81" s="155"/>
      <c r="I81" s="155"/>
      <c r="J81" s="155"/>
      <c r="K81" s="156"/>
      <c r="L81" s="153"/>
      <c r="M81" s="154"/>
      <c r="N81" s="155"/>
      <c r="O81" s="155"/>
      <c r="P81" s="155"/>
      <c r="Q81" s="155"/>
      <c r="R81" s="155"/>
      <c r="S81" s="155"/>
      <c r="T81" s="155"/>
      <c r="U81" s="155"/>
      <c r="V81" s="156"/>
      <c r="W81" s="153"/>
      <c r="X81" s="154"/>
      <c r="Y81" s="155"/>
      <c r="Z81" s="155"/>
      <c r="AA81" s="155"/>
      <c r="AB81" s="155"/>
      <c r="AC81" s="155"/>
      <c r="AD81" s="155"/>
      <c r="AE81" s="155"/>
      <c r="AF81" s="155"/>
      <c r="AG81" s="156"/>
      <c r="AH81" s="153"/>
      <c r="AI81" s="154"/>
      <c r="AJ81" s="155"/>
      <c r="AK81" s="155"/>
      <c r="AL81" s="155"/>
      <c r="AM81" s="155"/>
      <c r="AN81" s="155"/>
      <c r="AO81" s="155"/>
      <c r="AP81" s="155"/>
      <c r="AQ81" s="155"/>
      <c r="AR81" s="156"/>
      <c r="AS81" s="153"/>
      <c r="AT81" s="157"/>
      <c r="AU81" s="158"/>
      <c r="AV81" s="158"/>
      <c r="AW81" s="158"/>
      <c r="AX81" s="158"/>
      <c r="AY81" s="158"/>
      <c r="AZ81" s="158"/>
      <c r="BA81" s="158"/>
      <c r="BB81" s="158"/>
      <c r="BC81" s="159"/>
      <c r="BD81" s="153"/>
      <c r="BE81" s="154"/>
      <c r="BF81" s="155"/>
      <c r="BG81" s="155"/>
      <c r="BH81" s="155"/>
      <c r="BI81" s="155"/>
      <c r="BJ81" s="155"/>
      <c r="BK81" s="155"/>
      <c r="BL81" s="155"/>
      <c r="BM81" s="155"/>
      <c r="BN81" s="156"/>
    </row>
    <row r="82" spans="2:66" s="15" customFormat="1" ht="9" customHeight="1" x14ac:dyDescent="0.25">
      <c r="B82" s="154"/>
      <c r="C82" s="155"/>
      <c r="D82" s="155"/>
      <c r="E82" s="155"/>
      <c r="F82" s="155"/>
      <c r="G82" s="155"/>
      <c r="H82" s="155"/>
      <c r="I82" s="155"/>
      <c r="J82" s="155"/>
      <c r="K82" s="156"/>
      <c r="L82" s="153"/>
      <c r="M82" s="154"/>
      <c r="N82" s="155"/>
      <c r="O82" s="155"/>
      <c r="P82" s="155"/>
      <c r="Q82" s="155"/>
      <c r="R82" s="155"/>
      <c r="S82" s="155"/>
      <c r="T82" s="155"/>
      <c r="U82" s="155"/>
      <c r="V82" s="156"/>
      <c r="W82" s="153"/>
      <c r="X82" s="154"/>
      <c r="Y82" s="155"/>
      <c r="Z82" s="155"/>
      <c r="AA82" s="155"/>
      <c r="AB82" s="155"/>
      <c r="AC82" s="155"/>
      <c r="AD82" s="155"/>
      <c r="AE82" s="155"/>
      <c r="AF82" s="155"/>
      <c r="AG82" s="156"/>
      <c r="AH82" s="153"/>
      <c r="AI82" s="154"/>
      <c r="AJ82" s="155"/>
      <c r="AK82" s="155"/>
      <c r="AL82" s="155"/>
      <c r="AM82" s="155"/>
      <c r="AN82" s="155"/>
      <c r="AO82" s="155"/>
      <c r="AP82" s="155"/>
      <c r="AQ82" s="155"/>
      <c r="AR82" s="156"/>
      <c r="AS82" s="153"/>
      <c r="AT82" s="157"/>
      <c r="AU82" s="158"/>
      <c r="AV82" s="158"/>
      <c r="AW82" s="158"/>
      <c r="AX82" s="158"/>
      <c r="AY82" s="158"/>
      <c r="AZ82" s="158"/>
      <c r="BA82" s="158"/>
      <c r="BB82" s="158"/>
      <c r="BC82" s="159"/>
      <c r="BD82" s="153"/>
      <c r="BE82" s="154"/>
      <c r="BF82" s="155"/>
      <c r="BG82" s="155"/>
      <c r="BH82" s="155"/>
      <c r="BI82" s="155"/>
      <c r="BJ82" s="155"/>
      <c r="BK82" s="155"/>
      <c r="BL82" s="155"/>
      <c r="BM82" s="155"/>
      <c r="BN82" s="156"/>
    </row>
    <row r="83" spans="2:66" s="15" customFormat="1" ht="9" customHeight="1" x14ac:dyDescent="0.25">
      <c r="B83" s="154"/>
      <c r="C83" s="155"/>
      <c r="D83" s="155"/>
      <c r="E83" s="155"/>
      <c r="F83" s="155"/>
      <c r="G83" s="155"/>
      <c r="H83" s="155"/>
      <c r="I83" s="155"/>
      <c r="J83" s="155"/>
      <c r="K83" s="156"/>
      <c r="L83" s="153"/>
      <c r="M83" s="154"/>
      <c r="N83" s="155"/>
      <c r="O83" s="155"/>
      <c r="P83" s="155"/>
      <c r="Q83" s="155"/>
      <c r="R83" s="155"/>
      <c r="S83" s="155"/>
      <c r="T83" s="155"/>
      <c r="U83" s="155"/>
      <c r="V83" s="156"/>
      <c r="W83" s="153"/>
      <c r="X83" s="154"/>
      <c r="Y83" s="155"/>
      <c r="Z83" s="155"/>
      <c r="AA83" s="155"/>
      <c r="AB83" s="155"/>
      <c r="AC83" s="155"/>
      <c r="AD83" s="155"/>
      <c r="AE83" s="155"/>
      <c r="AF83" s="155"/>
      <c r="AG83" s="156"/>
      <c r="AH83" s="153"/>
      <c r="AI83" s="154"/>
      <c r="AJ83" s="155"/>
      <c r="AK83" s="155"/>
      <c r="AL83" s="155"/>
      <c r="AM83" s="155"/>
      <c r="AN83" s="155"/>
      <c r="AO83" s="155"/>
      <c r="AP83" s="155"/>
      <c r="AQ83" s="155"/>
      <c r="AR83" s="156"/>
      <c r="AS83" s="153"/>
      <c r="AT83" s="157"/>
      <c r="AU83" s="158"/>
      <c r="AV83" s="158"/>
      <c r="AW83" s="158"/>
      <c r="AX83" s="158"/>
      <c r="AY83" s="158"/>
      <c r="AZ83" s="158"/>
      <c r="BA83" s="158"/>
      <c r="BB83" s="158"/>
      <c r="BC83" s="159"/>
      <c r="BD83" s="153"/>
      <c r="BE83" s="154"/>
      <c r="BF83" s="155"/>
      <c r="BG83" s="155"/>
      <c r="BH83" s="155"/>
      <c r="BI83" s="155"/>
      <c r="BJ83" s="155"/>
      <c r="BK83" s="155"/>
      <c r="BL83" s="155"/>
      <c r="BM83" s="155"/>
      <c r="BN83" s="156"/>
    </row>
    <row r="84" spans="2:66" s="15" customFormat="1" ht="9" customHeight="1" x14ac:dyDescent="0.25">
      <c r="B84" s="154"/>
      <c r="C84" s="155"/>
      <c r="D84" s="155"/>
      <c r="E84" s="155"/>
      <c r="F84" s="155"/>
      <c r="G84" s="155"/>
      <c r="H84" s="155"/>
      <c r="I84" s="155"/>
      <c r="J84" s="155"/>
      <c r="K84" s="156"/>
      <c r="L84" s="153"/>
      <c r="M84" s="154"/>
      <c r="N84" s="155"/>
      <c r="O84" s="155"/>
      <c r="P84" s="155"/>
      <c r="Q84" s="155"/>
      <c r="R84" s="155"/>
      <c r="S84" s="155"/>
      <c r="T84" s="155"/>
      <c r="U84" s="155"/>
      <c r="V84" s="156"/>
      <c r="W84" s="153"/>
      <c r="X84" s="154"/>
      <c r="Y84" s="155"/>
      <c r="Z84" s="155"/>
      <c r="AA84" s="155"/>
      <c r="AB84" s="155"/>
      <c r="AC84" s="155"/>
      <c r="AD84" s="155"/>
      <c r="AE84" s="155"/>
      <c r="AF84" s="155"/>
      <c r="AG84" s="156"/>
      <c r="AH84" s="153"/>
      <c r="AI84" s="154"/>
      <c r="AJ84" s="155"/>
      <c r="AK84" s="155"/>
      <c r="AL84" s="155"/>
      <c r="AM84" s="155"/>
      <c r="AN84" s="155"/>
      <c r="AO84" s="155"/>
      <c r="AP84" s="155"/>
      <c r="AQ84" s="155"/>
      <c r="AR84" s="156"/>
      <c r="AS84" s="153"/>
      <c r="AT84" s="157"/>
      <c r="AU84" s="158"/>
      <c r="AV84" s="158"/>
      <c r="AW84" s="158"/>
      <c r="AX84" s="158"/>
      <c r="AY84" s="158"/>
      <c r="AZ84" s="158"/>
      <c r="BA84" s="158"/>
      <c r="BB84" s="158"/>
      <c r="BC84" s="159"/>
      <c r="BD84" s="153"/>
      <c r="BE84" s="154"/>
      <c r="BF84" s="155"/>
      <c r="BG84" s="155"/>
      <c r="BH84" s="155"/>
      <c r="BI84" s="155"/>
      <c r="BJ84" s="155"/>
      <c r="BK84" s="155"/>
      <c r="BL84" s="155"/>
      <c r="BM84" s="155"/>
      <c r="BN84" s="156"/>
    </row>
    <row r="85" spans="2:66" s="15" customFormat="1" ht="9" customHeight="1" x14ac:dyDescent="0.25">
      <c r="B85" s="154"/>
      <c r="C85" s="155"/>
      <c r="D85" s="155"/>
      <c r="E85" s="155"/>
      <c r="F85" s="155"/>
      <c r="G85" s="155"/>
      <c r="H85" s="155"/>
      <c r="I85" s="155"/>
      <c r="J85" s="155"/>
      <c r="K85" s="156"/>
      <c r="L85" s="153"/>
      <c r="M85" s="154"/>
      <c r="N85" s="155"/>
      <c r="O85" s="155"/>
      <c r="P85" s="155"/>
      <c r="Q85" s="155"/>
      <c r="R85" s="155"/>
      <c r="S85" s="155"/>
      <c r="T85" s="155"/>
      <c r="U85" s="155"/>
      <c r="V85" s="156"/>
      <c r="W85" s="153"/>
      <c r="X85" s="154"/>
      <c r="Y85" s="155"/>
      <c r="Z85" s="155"/>
      <c r="AA85" s="155"/>
      <c r="AB85" s="155"/>
      <c r="AC85" s="155"/>
      <c r="AD85" s="155"/>
      <c r="AE85" s="155"/>
      <c r="AF85" s="155"/>
      <c r="AG85" s="156"/>
      <c r="AH85" s="153"/>
      <c r="AI85" s="154"/>
      <c r="AJ85" s="155"/>
      <c r="AK85" s="155"/>
      <c r="AL85" s="155"/>
      <c r="AM85" s="155"/>
      <c r="AN85" s="155"/>
      <c r="AO85" s="155"/>
      <c r="AP85" s="155"/>
      <c r="AQ85" s="155"/>
      <c r="AR85" s="156"/>
      <c r="AS85" s="153"/>
      <c r="AT85" s="157"/>
      <c r="AU85" s="158"/>
      <c r="AV85" s="158"/>
      <c r="AW85" s="158"/>
      <c r="AX85" s="158"/>
      <c r="AY85" s="158"/>
      <c r="AZ85" s="158"/>
      <c r="BA85" s="158"/>
      <c r="BB85" s="158"/>
      <c r="BC85" s="159"/>
      <c r="BD85" s="153"/>
      <c r="BE85" s="154"/>
      <c r="BF85" s="155"/>
      <c r="BG85" s="155"/>
      <c r="BH85" s="155"/>
      <c r="BI85" s="155"/>
      <c r="BJ85" s="155"/>
      <c r="BK85" s="155"/>
      <c r="BL85" s="155"/>
      <c r="BM85" s="155"/>
      <c r="BN85" s="156"/>
    </row>
    <row r="86" spans="2:66" s="15" customFormat="1" ht="9" customHeight="1" x14ac:dyDescent="0.25">
      <c r="B86" s="154"/>
      <c r="C86" s="155"/>
      <c r="D86" s="155"/>
      <c r="E86" s="155"/>
      <c r="F86" s="155"/>
      <c r="G86" s="155"/>
      <c r="H86" s="155"/>
      <c r="I86" s="155"/>
      <c r="J86" s="155"/>
      <c r="K86" s="156"/>
      <c r="L86" s="153"/>
      <c r="M86" s="154"/>
      <c r="N86" s="155"/>
      <c r="O86" s="155"/>
      <c r="P86" s="155"/>
      <c r="Q86" s="155"/>
      <c r="R86" s="155"/>
      <c r="S86" s="155"/>
      <c r="T86" s="155"/>
      <c r="U86" s="155"/>
      <c r="V86" s="156"/>
      <c r="W86" s="153"/>
      <c r="X86" s="154"/>
      <c r="Y86" s="155"/>
      <c r="Z86" s="155"/>
      <c r="AA86" s="155"/>
      <c r="AB86" s="155"/>
      <c r="AC86" s="155"/>
      <c r="AD86" s="155"/>
      <c r="AE86" s="155"/>
      <c r="AF86" s="155"/>
      <c r="AG86" s="156"/>
      <c r="AH86" s="153"/>
      <c r="AI86" s="154"/>
      <c r="AJ86" s="155"/>
      <c r="AK86" s="155"/>
      <c r="AL86" s="155"/>
      <c r="AM86" s="155"/>
      <c r="AN86" s="155"/>
      <c r="AO86" s="155"/>
      <c r="AP86" s="155"/>
      <c r="AQ86" s="155"/>
      <c r="AR86" s="156"/>
      <c r="AS86" s="153"/>
      <c r="AT86" s="157"/>
      <c r="AU86" s="158"/>
      <c r="AV86" s="158"/>
      <c r="AW86" s="158"/>
      <c r="AX86" s="158"/>
      <c r="AY86" s="158"/>
      <c r="AZ86" s="158"/>
      <c r="BA86" s="158"/>
      <c r="BB86" s="158"/>
      <c r="BC86" s="159"/>
      <c r="BD86" s="153"/>
      <c r="BE86" s="154"/>
      <c r="BF86" s="155"/>
      <c r="BG86" s="155"/>
      <c r="BH86" s="155"/>
      <c r="BI86" s="155"/>
      <c r="BJ86" s="155"/>
      <c r="BK86" s="155"/>
      <c r="BL86" s="155"/>
      <c r="BM86" s="155"/>
      <c r="BN86" s="156"/>
    </row>
    <row r="87" spans="2:66" s="15" customFormat="1" ht="9" customHeight="1" x14ac:dyDescent="0.25">
      <c r="B87" s="154"/>
      <c r="C87" s="155"/>
      <c r="D87" s="155"/>
      <c r="E87" s="155"/>
      <c r="F87" s="155"/>
      <c r="G87" s="155"/>
      <c r="H87" s="155"/>
      <c r="I87" s="155"/>
      <c r="J87" s="155"/>
      <c r="K87" s="156"/>
      <c r="L87" s="153"/>
      <c r="M87" s="154"/>
      <c r="N87" s="155"/>
      <c r="O87" s="155"/>
      <c r="P87" s="155"/>
      <c r="Q87" s="155"/>
      <c r="R87" s="155"/>
      <c r="S87" s="155"/>
      <c r="T87" s="155"/>
      <c r="U87" s="155"/>
      <c r="V87" s="156"/>
      <c r="W87" s="153"/>
      <c r="X87" s="154"/>
      <c r="Y87" s="155"/>
      <c r="Z87" s="155"/>
      <c r="AA87" s="155"/>
      <c r="AB87" s="155"/>
      <c r="AC87" s="155"/>
      <c r="AD87" s="155"/>
      <c r="AE87" s="155"/>
      <c r="AF87" s="155"/>
      <c r="AG87" s="156"/>
      <c r="AH87" s="153"/>
      <c r="AI87" s="154"/>
      <c r="AJ87" s="155"/>
      <c r="AK87" s="155"/>
      <c r="AL87" s="155"/>
      <c r="AM87" s="155"/>
      <c r="AN87" s="155"/>
      <c r="AO87" s="155"/>
      <c r="AP87" s="155"/>
      <c r="AQ87" s="155"/>
      <c r="AR87" s="156"/>
      <c r="AS87" s="153"/>
      <c r="AT87" s="154"/>
      <c r="AU87" s="155"/>
      <c r="AV87" s="155"/>
      <c r="AW87" s="155"/>
      <c r="AX87" s="155"/>
      <c r="AY87" s="155"/>
      <c r="AZ87" s="155"/>
      <c r="BA87" s="155"/>
      <c r="BB87" s="155"/>
      <c r="BC87" s="156"/>
      <c r="BD87" s="153"/>
      <c r="BE87" s="154"/>
      <c r="BF87" s="155"/>
      <c r="BG87" s="155"/>
      <c r="BH87" s="155"/>
      <c r="BI87" s="155"/>
      <c r="BJ87" s="155"/>
      <c r="BK87" s="155"/>
      <c r="BL87" s="155"/>
      <c r="BM87" s="155"/>
      <c r="BN87" s="156"/>
    </row>
    <row r="88" spans="2:66" s="15" customFormat="1" ht="9" customHeight="1" x14ac:dyDescent="0.25">
      <c r="B88" s="154"/>
      <c r="C88" s="155"/>
      <c r="D88" s="155"/>
      <c r="E88" s="155"/>
      <c r="F88" s="155"/>
      <c r="G88" s="155"/>
      <c r="H88" s="155"/>
      <c r="I88" s="155"/>
      <c r="J88" s="155"/>
      <c r="K88" s="156"/>
      <c r="L88" s="153"/>
      <c r="M88" s="359"/>
      <c r="N88" s="360"/>
      <c r="O88" s="360"/>
      <c r="P88" s="360"/>
      <c r="Q88" s="361"/>
      <c r="R88" s="277" t="s">
        <v>139</v>
      </c>
      <c r="S88" s="279"/>
      <c r="T88" s="277" t="s">
        <v>170</v>
      </c>
      <c r="U88" s="278"/>
      <c r="V88" s="388"/>
      <c r="W88" s="153"/>
      <c r="X88" s="154"/>
      <c r="Y88" s="155"/>
      <c r="Z88" s="155"/>
      <c r="AA88" s="155"/>
      <c r="AB88" s="155"/>
      <c r="AC88" s="277" t="s">
        <v>139</v>
      </c>
      <c r="AD88" s="279"/>
      <c r="AE88" s="277" t="s">
        <v>170</v>
      </c>
      <c r="AF88" s="278"/>
      <c r="AG88" s="388"/>
      <c r="AH88" s="153"/>
      <c r="AI88" s="160"/>
      <c r="AJ88" s="155"/>
      <c r="AK88" s="155"/>
      <c r="AL88" s="155"/>
      <c r="AM88" s="155"/>
      <c r="AN88" s="155"/>
      <c r="AO88" s="161"/>
      <c r="AP88" s="161"/>
      <c r="AQ88" s="161"/>
      <c r="AR88" s="162"/>
      <c r="AS88" s="153"/>
      <c r="AT88" s="157"/>
      <c r="AU88" s="158"/>
      <c r="AV88" s="158"/>
      <c r="AW88" s="158"/>
      <c r="AX88" s="158"/>
      <c r="AY88" s="294" t="s">
        <v>139</v>
      </c>
      <c r="AZ88" s="295"/>
      <c r="BA88" s="389" t="s">
        <v>176</v>
      </c>
      <c r="BB88" s="278"/>
      <c r="BC88" s="388"/>
      <c r="BD88" s="153"/>
      <c r="BE88" s="154"/>
      <c r="BF88" s="155"/>
      <c r="BG88" s="155"/>
      <c r="BH88" s="155"/>
      <c r="BI88" s="155"/>
      <c r="BJ88" s="155"/>
      <c r="BK88" s="155"/>
      <c r="BL88" s="155"/>
      <c r="BM88" s="155"/>
      <c r="BN88" s="156"/>
    </row>
    <row r="89" spans="2:66" s="15" customFormat="1" ht="9" customHeight="1" x14ac:dyDescent="0.25">
      <c r="B89" s="353" t="s">
        <v>806</v>
      </c>
      <c r="C89" s="354"/>
      <c r="D89" s="354"/>
      <c r="E89" s="354"/>
      <c r="F89" s="354"/>
      <c r="G89" s="354"/>
      <c r="H89" s="354"/>
      <c r="I89" s="354"/>
      <c r="J89" s="354"/>
      <c r="K89" s="355"/>
      <c r="L89" s="153"/>
      <c r="M89" s="261" t="s">
        <v>171</v>
      </c>
      <c r="N89" s="261"/>
      <c r="O89" s="261"/>
      <c r="P89" s="261"/>
      <c r="Q89" s="261"/>
      <c r="R89" s="390">
        <f>CEILING(1182*B5,1)</f>
        <v>1655</v>
      </c>
      <c r="S89" s="390"/>
      <c r="T89" s="390">
        <f>CEILING(1365*B5,1)</f>
        <v>1911</v>
      </c>
      <c r="U89" s="390"/>
      <c r="V89" s="390"/>
      <c r="W89" s="211"/>
      <c r="X89" s="261" t="s">
        <v>173</v>
      </c>
      <c r="Y89" s="261"/>
      <c r="Z89" s="261"/>
      <c r="AA89" s="261"/>
      <c r="AB89" s="261"/>
      <c r="AC89" s="262">
        <f>CEILING(1547*B5,1)</f>
        <v>2166</v>
      </c>
      <c r="AD89" s="262"/>
      <c r="AE89" s="262">
        <f>CEILING(2391*B5,1)</f>
        <v>3348</v>
      </c>
      <c r="AF89" s="262"/>
      <c r="AG89" s="262"/>
      <c r="AH89" s="153"/>
      <c r="AI89" s="154"/>
      <c r="AJ89" s="155"/>
      <c r="AK89" s="155"/>
      <c r="AL89" s="155"/>
      <c r="AM89" s="155"/>
      <c r="AN89" s="210"/>
      <c r="AO89" s="360" t="s">
        <v>139</v>
      </c>
      <c r="AP89" s="360"/>
      <c r="AQ89" s="360"/>
      <c r="AR89" s="361"/>
      <c r="AS89" s="153"/>
      <c r="AT89" s="261" t="s">
        <v>82</v>
      </c>
      <c r="AU89" s="261"/>
      <c r="AV89" s="261"/>
      <c r="AW89" s="261"/>
      <c r="AX89" s="261"/>
      <c r="AY89" s="262">
        <f>CEILING(1154*B5,1)</f>
        <v>1616</v>
      </c>
      <c r="AZ89" s="262"/>
      <c r="BA89" s="262">
        <f>CEILING(1746*B5,1)</f>
        <v>2445</v>
      </c>
      <c r="BB89" s="262"/>
      <c r="BC89" s="262"/>
      <c r="BD89" s="153"/>
      <c r="BE89" s="154"/>
      <c r="BF89" s="155"/>
      <c r="BG89" s="155"/>
      <c r="BH89" s="155"/>
      <c r="BI89" s="155"/>
      <c r="BJ89" s="294" t="s">
        <v>139</v>
      </c>
      <c r="BK89" s="296"/>
      <c r="BL89" s="294" t="s">
        <v>72</v>
      </c>
      <c r="BM89" s="296"/>
      <c r="BN89" s="295"/>
    </row>
    <row r="90" spans="2:66" s="15" customFormat="1" ht="9" customHeight="1" x14ac:dyDescent="0.25">
      <c r="B90" s="261" t="s">
        <v>73</v>
      </c>
      <c r="C90" s="261"/>
      <c r="D90" s="261"/>
      <c r="E90" s="261"/>
      <c r="F90" s="261"/>
      <c r="G90" s="261"/>
      <c r="H90" s="262">
        <f>CEILING(1219*B5,1)</f>
        <v>1707</v>
      </c>
      <c r="I90" s="262"/>
      <c r="J90" s="262"/>
      <c r="K90" s="262"/>
      <c r="L90" s="205"/>
      <c r="M90" s="261" t="s">
        <v>172</v>
      </c>
      <c r="N90" s="261"/>
      <c r="O90" s="261"/>
      <c r="P90" s="261"/>
      <c r="Q90" s="261"/>
      <c r="R90" s="390">
        <f>CEILING(1492*B5,1)</f>
        <v>2089</v>
      </c>
      <c r="S90" s="390"/>
      <c r="T90" s="390">
        <f>CEILING(1702*B5,1)</f>
        <v>2383</v>
      </c>
      <c r="U90" s="390"/>
      <c r="V90" s="390"/>
      <c r="W90" s="205"/>
      <c r="X90" s="261" t="s">
        <v>174</v>
      </c>
      <c r="Y90" s="261"/>
      <c r="Z90" s="261"/>
      <c r="AA90" s="261"/>
      <c r="AB90" s="261"/>
      <c r="AC90" s="262">
        <f>CEILING(1892*B5,1)</f>
        <v>2649</v>
      </c>
      <c r="AD90" s="262"/>
      <c r="AE90" s="262">
        <f>CEILING(2886*B5,1)</f>
        <v>4041</v>
      </c>
      <c r="AF90" s="262"/>
      <c r="AG90" s="262"/>
      <c r="AH90" s="205"/>
      <c r="AI90" s="261" t="s">
        <v>80</v>
      </c>
      <c r="AJ90" s="261"/>
      <c r="AK90" s="261"/>
      <c r="AL90" s="261"/>
      <c r="AM90" s="261"/>
      <c r="AN90" s="261"/>
      <c r="AO90" s="262">
        <f>CEILING(986*B5,1)</f>
        <v>1381</v>
      </c>
      <c r="AP90" s="262"/>
      <c r="AQ90" s="262"/>
      <c r="AR90" s="262"/>
      <c r="AS90" s="205"/>
      <c r="AT90" s="261" t="s">
        <v>83</v>
      </c>
      <c r="AU90" s="261"/>
      <c r="AV90" s="261"/>
      <c r="AW90" s="261"/>
      <c r="AX90" s="261"/>
      <c r="AY90" s="262">
        <f>CEILING(1229*B5,1)</f>
        <v>1721</v>
      </c>
      <c r="AZ90" s="262"/>
      <c r="BA90" s="262">
        <f>CEILING(1793*B5,1)</f>
        <v>2511</v>
      </c>
      <c r="BB90" s="262"/>
      <c r="BC90" s="262"/>
      <c r="BD90" s="205"/>
      <c r="BE90" s="261" t="s">
        <v>48</v>
      </c>
      <c r="BF90" s="261"/>
      <c r="BG90" s="261"/>
      <c r="BH90" s="261"/>
      <c r="BI90" s="261"/>
      <c r="BJ90" s="262">
        <f>CEILING(470*B5,1)</f>
        <v>658</v>
      </c>
      <c r="BK90" s="262"/>
      <c r="BL90" s="262">
        <f>CEILING(515*B5,1)</f>
        <v>721</v>
      </c>
      <c r="BM90" s="262"/>
      <c r="BN90" s="262"/>
    </row>
    <row r="91" spans="2:66" s="15" customFormat="1" ht="2.1" customHeight="1" x14ac:dyDescent="0.25"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  <c r="BA91" s="153"/>
      <c r="BB91" s="153"/>
      <c r="BC91" s="153"/>
      <c r="BD91" s="153"/>
      <c r="BE91" s="153"/>
      <c r="BF91" s="153"/>
      <c r="BG91" s="153"/>
      <c r="BH91" s="153"/>
      <c r="BI91" s="153"/>
      <c r="BJ91" s="153"/>
      <c r="BK91" s="153"/>
      <c r="BL91" s="153"/>
      <c r="BM91" s="153"/>
      <c r="BN91" s="153"/>
    </row>
    <row r="92" spans="2:66" s="15" customFormat="1" ht="9" customHeight="1" x14ac:dyDescent="0.25">
      <c r="B92" s="347" t="s">
        <v>77</v>
      </c>
      <c r="C92" s="348"/>
      <c r="D92" s="349"/>
      <c r="E92" s="350" t="s">
        <v>81</v>
      </c>
      <c r="F92" s="351"/>
      <c r="G92" s="351"/>
      <c r="H92" s="351"/>
      <c r="I92" s="351"/>
      <c r="J92" s="351"/>
      <c r="K92" s="352"/>
      <c r="L92" s="153"/>
      <c r="M92" s="347" t="s">
        <v>79</v>
      </c>
      <c r="N92" s="348"/>
      <c r="O92" s="349"/>
      <c r="P92" s="350" t="s">
        <v>87</v>
      </c>
      <c r="Q92" s="351"/>
      <c r="R92" s="351"/>
      <c r="S92" s="351"/>
      <c r="T92" s="351"/>
      <c r="U92" s="351"/>
      <c r="V92" s="352"/>
      <c r="W92" s="153"/>
      <c r="X92" s="347" t="s">
        <v>88</v>
      </c>
      <c r="Y92" s="348"/>
      <c r="Z92" s="349"/>
      <c r="AA92" s="350" t="s">
        <v>87</v>
      </c>
      <c r="AB92" s="351"/>
      <c r="AC92" s="351"/>
      <c r="AD92" s="351"/>
      <c r="AE92" s="351"/>
      <c r="AF92" s="351"/>
      <c r="AG92" s="352"/>
      <c r="AH92" s="153"/>
      <c r="AI92" s="347" t="s">
        <v>89</v>
      </c>
      <c r="AJ92" s="348"/>
      <c r="AK92" s="349"/>
      <c r="AL92" s="350" t="s">
        <v>87</v>
      </c>
      <c r="AM92" s="351"/>
      <c r="AN92" s="351"/>
      <c r="AO92" s="351"/>
      <c r="AP92" s="351"/>
      <c r="AQ92" s="351"/>
      <c r="AR92" s="352"/>
      <c r="AS92" s="153"/>
      <c r="AT92" s="347" t="s">
        <v>92</v>
      </c>
      <c r="AU92" s="348"/>
      <c r="AV92" s="349"/>
      <c r="AW92" s="350" t="s">
        <v>94</v>
      </c>
      <c r="AX92" s="351"/>
      <c r="AY92" s="351"/>
      <c r="AZ92" s="351"/>
      <c r="BA92" s="351"/>
      <c r="BB92" s="351"/>
      <c r="BC92" s="352"/>
      <c r="BD92" s="153"/>
      <c r="BE92" s="347" t="s">
        <v>93</v>
      </c>
      <c r="BF92" s="348"/>
      <c r="BG92" s="349"/>
      <c r="BH92" s="350" t="s">
        <v>94</v>
      </c>
      <c r="BI92" s="351"/>
      <c r="BJ92" s="351"/>
      <c r="BK92" s="351"/>
      <c r="BL92" s="351"/>
      <c r="BM92" s="351"/>
      <c r="BN92" s="352"/>
    </row>
    <row r="93" spans="2:66" s="15" customFormat="1" ht="9" customHeight="1" x14ac:dyDescent="0.25">
      <c r="B93" s="154"/>
      <c r="C93" s="155"/>
      <c r="D93" s="155"/>
      <c r="E93" s="155"/>
      <c r="F93" s="155"/>
      <c r="G93" s="155"/>
      <c r="H93" s="155"/>
      <c r="I93" s="155"/>
      <c r="J93" s="155"/>
      <c r="K93" s="156"/>
      <c r="L93" s="153"/>
      <c r="M93" s="154"/>
      <c r="N93" s="155"/>
      <c r="O93" s="155"/>
      <c r="P93" s="155"/>
      <c r="Q93" s="155"/>
      <c r="R93" s="155"/>
      <c r="S93" s="155"/>
      <c r="T93" s="155"/>
      <c r="U93" s="155"/>
      <c r="V93" s="156"/>
      <c r="W93" s="153"/>
      <c r="X93" s="154"/>
      <c r="Y93" s="155"/>
      <c r="Z93" s="155"/>
      <c r="AA93" s="155"/>
      <c r="AB93" s="155"/>
      <c r="AC93" s="155"/>
      <c r="AD93" s="155"/>
      <c r="AE93" s="155"/>
      <c r="AF93" s="155"/>
      <c r="AG93" s="156"/>
      <c r="AH93" s="153"/>
      <c r="AI93" s="353" t="s">
        <v>594</v>
      </c>
      <c r="AJ93" s="354"/>
      <c r="AK93" s="354"/>
      <c r="AL93" s="354"/>
      <c r="AM93" s="354"/>
      <c r="AN93" s="354"/>
      <c r="AO93" s="354"/>
      <c r="AP93" s="354"/>
      <c r="AQ93" s="354"/>
      <c r="AR93" s="355"/>
      <c r="AS93" s="153"/>
      <c r="AT93" s="353" t="s">
        <v>777</v>
      </c>
      <c r="AU93" s="354"/>
      <c r="AV93" s="354"/>
      <c r="AW93" s="354"/>
      <c r="AX93" s="354"/>
      <c r="AY93" s="354"/>
      <c r="AZ93" s="354"/>
      <c r="BA93" s="354"/>
      <c r="BB93" s="354"/>
      <c r="BC93" s="355"/>
      <c r="BD93" s="153"/>
      <c r="BE93" s="353" t="s">
        <v>776</v>
      </c>
      <c r="BF93" s="354"/>
      <c r="BG93" s="354"/>
      <c r="BH93" s="354"/>
      <c r="BI93" s="354"/>
      <c r="BJ93" s="354"/>
      <c r="BK93" s="354"/>
      <c r="BL93" s="354"/>
      <c r="BM93" s="354"/>
      <c r="BN93" s="355"/>
    </row>
    <row r="94" spans="2:66" s="15" customFormat="1" ht="9" customHeight="1" x14ac:dyDescent="0.25">
      <c r="B94" s="141"/>
      <c r="C94" s="139"/>
      <c r="D94" s="139"/>
      <c r="E94" s="139"/>
      <c r="F94" s="139"/>
      <c r="G94" s="139"/>
      <c r="H94" s="139"/>
      <c r="I94" s="139"/>
      <c r="J94" s="139"/>
      <c r="K94" s="142"/>
      <c r="L94" s="137"/>
      <c r="M94" s="141"/>
      <c r="N94" s="139"/>
      <c r="O94" s="139"/>
      <c r="P94" s="139"/>
      <c r="Q94" s="139"/>
      <c r="R94" s="139"/>
      <c r="S94" s="139"/>
      <c r="T94" s="139"/>
      <c r="U94" s="139"/>
      <c r="V94" s="142"/>
      <c r="W94" s="137"/>
      <c r="X94" s="143"/>
      <c r="Y94" s="144"/>
      <c r="Z94" s="144"/>
      <c r="AA94" s="144"/>
      <c r="AB94" s="144"/>
      <c r="AC94" s="144"/>
      <c r="AD94" s="144"/>
      <c r="AE94" s="144"/>
      <c r="AF94" s="144"/>
      <c r="AG94" s="145"/>
      <c r="AH94" s="137"/>
      <c r="AI94" s="141"/>
      <c r="AJ94" s="139"/>
      <c r="AK94" s="139"/>
      <c r="AL94" s="139"/>
      <c r="AM94" s="139"/>
      <c r="AN94" s="139"/>
      <c r="AO94" s="139"/>
      <c r="AP94" s="139"/>
      <c r="AQ94" s="139"/>
      <c r="AR94" s="142"/>
      <c r="AS94" s="137"/>
      <c r="AT94" s="141"/>
      <c r="AU94" s="139"/>
      <c r="AV94" s="139"/>
      <c r="AW94" s="139"/>
      <c r="AX94" s="139"/>
      <c r="AY94" s="139"/>
      <c r="AZ94" s="139"/>
      <c r="BA94" s="139"/>
      <c r="BB94" s="139"/>
      <c r="BC94" s="142"/>
      <c r="BD94" s="137"/>
      <c r="BE94" s="143"/>
      <c r="BF94" s="144"/>
      <c r="BG94" s="144"/>
      <c r="BH94" s="144"/>
      <c r="BI94" s="144"/>
      <c r="BJ94" s="144"/>
      <c r="BK94" s="144"/>
      <c r="BL94" s="144"/>
      <c r="BM94" s="144"/>
      <c r="BN94" s="145"/>
    </row>
    <row r="95" spans="2:66" s="15" customFormat="1" ht="9" customHeight="1" x14ac:dyDescent="0.25">
      <c r="B95" s="141"/>
      <c r="C95" s="139"/>
      <c r="D95" s="139"/>
      <c r="E95" s="139"/>
      <c r="F95" s="139"/>
      <c r="G95" s="139"/>
      <c r="H95" s="139"/>
      <c r="I95" s="139"/>
      <c r="J95" s="139"/>
      <c r="K95" s="142"/>
      <c r="L95" s="137"/>
      <c r="M95" s="141"/>
      <c r="N95" s="139"/>
      <c r="O95" s="139"/>
      <c r="P95" s="139"/>
      <c r="Q95" s="139"/>
      <c r="R95" s="139"/>
      <c r="S95" s="139"/>
      <c r="T95" s="139"/>
      <c r="U95" s="139"/>
      <c r="V95" s="142"/>
      <c r="W95" s="137"/>
      <c r="X95" s="143"/>
      <c r="Y95" s="144"/>
      <c r="Z95" s="144"/>
      <c r="AA95" s="144"/>
      <c r="AB95" s="144"/>
      <c r="AC95" s="144"/>
      <c r="AD95" s="144"/>
      <c r="AE95" s="144"/>
      <c r="AF95" s="144"/>
      <c r="AG95" s="145"/>
      <c r="AH95" s="137"/>
      <c r="AI95" s="141"/>
      <c r="AJ95" s="139"/>
      <c r="AK95" s="139"/>
      <c r="AL95" s="139"/>
      <c r="AM95" s="139"/>
      <c r="AN95" s="139"/>
      <c r="AO95" s="139"/>
      <c r="AP95" s="139"/>
      <c r="AQ95" s="139"/>
      <c r="AR95" s="142"/>
      <c r="AS95" s="137"/>
      <c r="AT95" s="141"/>
      <c r="AU95" s="139"/>
      <c r="AV95" s="139"/>
      <c r="AW95" s="139"/>
      <c r="AX95" s="139"/>
      <c r="AY95" s="139"/>
      <c r="AZ95" s="139"/>
      <c r="BA95" s="139"/>
      <c r="BB95" s="139"/>
      <c r="BC95" s="142"/>
      <c r="BD95" s="137"/>
      <c r="BE95" s="143"/>
      <c r="BF95" s="144"/>
      <c r="BG95" s="144"/>
      <c r="BH95" s="144"/>
      <c r="BI95" s="144"/>
      <c r="BJ95" s="144"/>
      <c r="BK95" s="144"/>
      <c r="BL95" s="144"/>
      <c r="BM95" s="144"/>
      <c r="BN95" s="145"/>
    </row>
    <row r="96" spans="2:66" s="15" customFormat="1" ht="9" customHeight="1" x14ac:dyDescent="0.25">
      <c r="B96" s="141"/>
      <c r="C96" s="139"/>
      <c r="D96" s="139"/>
      <c r="E96" s="139"/>
      <c r="F96" s="139"/>
      <c r="G96" s="139"/>
      <c r="H96" s="139"/>
      <c r="I96" s="139"/>
      <c r="J96" s="139"/>
      <c r="K96" s="142"/>
      <c r="L96" s="137"/>
      <c r="M96" s="141"/>
      <c r="N96" s="139"/>
      <c r="O96" s="139"/>
      <c r="P96" s="139"/>
      <c r="Q96" s="139"/>
      <c r="R96" s="139"/>
      <c r="S96" s="139"/>
      <c r="T96" s="139"/>
      <c r="U96" s="139"/>
      <c r="V96" s="142"/>
      <c r="W96" s="137"/>
      <c r="X96" s="143"/>
      <c r="Y96" s="144"/>
      <c r="Z96" s="144"/>
      <c r="AA96" s="144"/>
      <c r="AB96" s="144"/>
      <c r="AC96" s="144"/>
      <c r="AD96" s="144"/>
      <c r="AE96" s="144"/>
      <c r="AF96" s="144"/>
      <c r="AG96" s="145"/>
      <c r="AH96" s="137"/>
      <c r="AI96" s="141"/>
      <c r="AJ96" s="139"/>
      <c r="AK96" s="139"/>
      <c r="AL96" s="139"/>
      <c r="AM96" s="139"/>
      <c r="AN96" s="139"/>
      <c r="AO96" s="139"/>
      <c r="AP96" s="139"/>
      <c r="AQ96" s="139"/>
      <c r="AR96" s="142"/>
      <c r="AS96" s="137"/>
      <c r="AT96" s="141"/>
      <c r="AU96" s="139"/>
      <c r="AV96" s="139"/>
      <c r="AW96" s="139"/>
      <c r="AX96" s="139"/>
      <c r="AY96" s="139"/>
      <c r="AZ96" s="139"/>
      <c r="BA96" s="139"/>
      <c r="BB96" s="139"/>
      <c r="BC96" s="142"/>
      <c r="BD96" s="137"/>
      <c r="BE96" s="143"/>
      <c r="BF96" s="144"/>
      <c r="BG96" s="144"/>
      <c r="BH96" s="144"/>
      <c r="BI96" s="144"/>
      <c r="BJ96" s="144"/>
      <c r="BK96" s="144"/>
      <c r="BL96" s="144"/>
      <c r="BM96" s="144"/>
      <c r="BN96" s="145"/>
    </row>
    <row r="97" spans="2:66" s="15" customFormat="1" ht="9" customHeight="1" x14ac:dyDescent="0.25">
      <c r="B97" s="141"/>
      <c r="C97" s="139"/>
      <c r="D97" s="139"/>
      <c r="E97" s="139"/>
      <c r="F97" s="139"/>
      <c r="G97" s="139"/>
      <c r="H97" s="139"/>
      <c r="I97" s="139"/>
      <c r="J97" s="139"/>
      <c r="K97" s="142"/>
      <c r="L97" s="137"/>
      <c r="M97" s="141"/>
      <c r="N97" s="139"/>
      <c r="O97" s="139"/>
      <c r="P97" s="139"/>
      <c r="Q97" s="139"/>
      <c r="R97" s="139"/>
      <c r="S97" s="139"/>
      <c r="T97" s="139"/>
      <c r="U97" s="139"/>
      <c r="V97" s="142"/>
      <c r="W97" s="137"/>
      <c r="X97" s="143"/>
      <c r="Y97" s="144"/>
      <c r="Z97" s="144"/>
      <c r="AA97" s="144"/>
      <c r="AB97" s="144"/>
      <c r="AC97" s="144"/>
      <c r="AD97" s="144"/>
      <c r="AE97" s="144"/>
      <c r="AF97" s="144"/>
      <c r="AG97" s="145"/>
      <c r="AH97" s="137"/>
      <c r="AI97" s="141"/>
      <c r="AJ97" s="139"/>
      <c r="AK97" s="139"/>
      <c r="AL97" s="139"/>
      <c r="AM97" s="139"/>
      <c r="AN97" s="139"/>
      <c r="AO97" s="139"/>
      <c r="AP97" s="139"/>
      <c r="AQ97" s="139"/>
      <c r="AR97" s="142"/>
      <c r="AS97" s="137"/>
      <c r="AT97" s="141"/>
      <c r="AU97" s="139"/>
      <c r="AV97" s="139"/>
      <c r="AW97" s="139"/>
      <c r="AX97" s="139"/>
      <c r="AY97" s="139"/>
      <c r="AZ97" s="139"/>
      <c r="BA97" s="139"/>
      <c r="BB97" s="139"/>
      <c r="BC97" s="142"/>
      <c r="BD97" s="137"/>
      <c r="BE97" s="143"/>
      <c r="BF97" s="144"/>
      <c r="BG97" s="144"/>
      <c r="BH97" s="144"/>
      <c r="BI97" s="144"/>
      <c r="BJ97" s="144"/>
      <c r="BK97" s="144"/>
      <c r="BL97" s="144"/>
      <c r="BM97" s="144"/>
      <c r="BN97" s="145"/>
    </row>
    <row r="98" spans="2:66" s="15" customFormat="1" ht="9" customHeight="1" x14ac:dyDescent="0.25">
      <c r="B98" s="141"/>
      <c r="C98" s="139"/>
      <c r="D98" s="139"/>
      <c r="E98" s="139"/>
      <c r="F98" s="139"/>
      <c r="G98" s="139"/>
      <c r="H98" s="139"/>
      <c r="I98" s="139"/>
      <c r="J98" s="139"/>
      <c r="K98" s="142"/>
      <c r="L98" s="137"/>
      <c r="M98" s="141"/>
      <c r="N98" s="139"/>
      <c r="O98" s="139"/>
      <c r="P98" s="139"/>
      <c r="Q98" s="139"/>
      <c r="R98" s="139"/>
      <c r="S98" s="139"/>
      <c r="T98" s="139"/>
      <c r="U98" s="139"/>
      <c r="V98" s="142"/>
      <c r="W98" s="137"/>
      <c r="X98" s="143"/>
      <c r="Y98" s="144"/>
      <c r="Z98" s="144"/>
      <c r="AA98" s="144"/>
      <c r="AB98" s="144"/>
      <c r="AC98" s="144"/>
      <c r="AD98" s="144"/>
      <c r="AE98" s="144"/>
      <c r="AF98" s="144"/>
      <c r="AG98" s="145"/>
      <c r="AH98" s="137"/>
      <c r="AI98" s="141"/>
      <c r="AJ98" s="139"/>
      <c r="AK98" s="139"/>
      <c r="AL98" s="139"/>
      <c r="AM98" s="139"/>
      <c r="AN98" s="139"/>
      <c r="AO98" s="139"/>
      <c r="AP98" s="139"/>
      <c r="AQ98" s="139"/>
      <c r="AR98" s="142"/>
      <c r="AS98" s="137"/>
      <c r="AT98" s="141"/>
      <c r="AU98" s="139"/>
      <c r="AV98" s="139"/>
      <c r="AW98" s="139"/>
      <c r="AX98" s="139"/>
      <c r="AY98" s="139"/>
      <c r="AZ98" s="139"/>
      <c r="BA98" s="139"/>
      <c r="BB98" s="139"/>
      <c r="BC98" s="142"/>
      <c r="BD98" s="137"/>
      <c r="BE98" s="143"/>
      <c r="BF98" s="144"/>
      <c r="BG98" s="144"/>
      <c r="BH98" s="144"/>
      <c r="BI98" s="144"/>
      <c r="BJ98" s="144"/>
      <c r="BK98" s="144"/>
      <c r="BL98" s="144"/>
      <c r="BM98" s="144"/>
      <c r="BN98" s="145"/>
    </row>
    <row r="99" spans="2:66" s="15" customFormat="1" ht="9" customHeight="1" x14ac:dyDescent="0.25">
      <c r="B99" s="141"/>
      <c r="C99" s="139"/>
      <c r="D99" s="139"/>
      <c r="E99" s="139"/>
      <c r="F99" s="139"/>
      <c r="G99" s="139"/>
      <c r="H99" s="139"/>
      <c r="I99" s="139"/>
      <c r="J99" s="139"/>
      <c r="K99" s="142"/>
      <c r="L99" s="137"/>
      <c r="M99" s="141"/>
      <c r="N99" s="139"/>
      <c r="O99" s="139"/>
      <c r="P99" s="139"/>
      <c r="Q99" s="139"/>
      <c r="R99" s="139"/>
      <c r="S99" s="139"/>
      <c r="T99" s="139"/>
      <c r="U99" s="139"/>
      <c r="V99" s="142"/>
      <c r="W99" s="137"/>
      <c r="X99" s="143"/>
      <c r="Y99" s="144"/>
      <c r="Z99" s="144"/>
      <c r="AA99" s="144"/>
      <c r="AB99" s="144"/>
      <c r="AC99" s="144"/>
      <c r="AD99" s="144"/>
      <c r="AE99" s="144"/>
      <c r="AF99" s="144"/>
      <c r="AG99" s="145"/>
      <c r="AH99" s="137"/>
      <c r="AI99" s="141"/>
      <c r="AJ99" s="139"/>
      <c r="AK99" s="139"/>
      <c r="AL99" s="139"/>
      <c r="AM99" s="139"/>
      <c r="AN99" s="139"/>
      <c r="AO99" s="139"/>
      <c r="AP99" s="139"/>
      <c r="AQ99" s="139"/>
      <c r="AR99" s="142"/>
      <c r="AS99" s="137"/>
      <c r="AT99" s="141"/>
      <c r="AU99" s="139"/>
      <c r="AV99" s="139"/>
      <c r="AW99" s="139"/>
      <c r="AX99" s="139"/>
      <c r="AY99" s="139"/>
      <c r="AZ99" s="139"/>
      <c r="BA99" s="139"/>
      <c r="BB99" s="139"/>
      <c r="BC99" s="142"/>
      <c r="BD99" s="137"/>
      <c r="BE99" s="143"/>
      <c r="BF99" s="144"/>
      <c r="BG99" s="144"/>
      <c r="BH99" s="144"/>
      <c r="BI99" s="144"/>
      <c r="BJ99" s="144"/>
      <c r="BK99" s="144"/>
      <c r="BL99" s="144"/>
      <c r="BM99" s="144"/>
      <c r="BN99" s="145"/>
    </row>
    <row r="100" spans="2:66" s="15" customFormat="1" ht="9" customHeight="1" x14ac:dyDescent="0.25">
      <c r="B100" s="141"/>
      <c r="C100" s="139"/>
      <c r="D100" s="139"/>
      <c r="E100" s="139"/>
      <c r="F100" s="139"/>
      <c r="G100" s="139"/>
      <c r="H100" s="139"/>
      <c r="I100" s="139"/>
      <c r="J100" s="139"/>
      <c r="K100" s="142"/>
      <c r="L100" s="137"/>
      <c r="M100" s="141"/>
      <c r="N100" s="139"/>
      <c r="O100" s="139"/>
      <c r="P100" s="139"/>
      <c r="Q100" s="139"/>
      <c r="R100" s="139"/>
      <c r="S100" s="139"/>
      <c r="T100" s="139"/>
      <c r="U100" s="139"/>
      <c r="V100" s="142"/>
      <c r="W100" s="137"/>
      <c r="X100" s="143"/>
      <c r="Y100" s="144"/>
      <c r="Z100" s="144"/>
      <c r="AA100" s="144"/>
      <c r="AB100" s="144"/>
      <c r="AC100" s="144"/>
      <c r="AD100" s="144"/>
      <c r="AE100" s="144"/>
      <c r="AF100" s="144"/>
      <c r="AG100" s="145"/>
      <c r="AH100" s="137"/>
      <c r="AI100" s="141"/>
      <c r="AJ100" s="139"/>
      <c r="AK100" s="139"/>
      <c r="AL100" s="139"/>
      <c r="AM100" s="139"/>
      <c r="AN100" s="139"/>
      <c r="AO100" s="139"/>
      <c r="AP100" s="139"/>
      <c r="AQ100" s="139"/>
      <c r="AR100" s="142"/>
      <c r="AS100" s="137"/>
      <c r="AT100" s="141"/>
      <c r="AU100" s="139"/>
      <c r="AV100" s="139"/>
      <c r="AW100" s="139"/>
      <c r="AX100" s="139"/>
      <c r="AY100" s="139"/>
      <c r="AZ100" s="139"/>
      <c r="BA100" s="139"/>
      <c r="BB100" s="139"/>
      <c r="BC100" s="142"/>
      <c r="BD100" s="137"/>
      <c r="BE100" s="143"/>
      <c r="BF100" s="144"/>
      <c r="BG100" s="144"/>
      <c r="BH100" s="144"/>
      <c r="BI100" s="144"/>
      <c r="BJ100" s="144"/>
      <c r="BK100" s="144"/>
      <c r="BL100" s="144"/>
      <c r="BM100" s="144"/>
      <c r="BN100" s="145"/>
    </row>
    <row r="101" spans="2:66" s="15" customFormat="1" ht="9" customHeight="1" x14ac:dyDescent="0.25">
      <c r="B101" s="143" t="s">
        <v>775</v>
      </c>
      <c r="C101" s="144"/>
      <c r="D101" s="144"/>
      <c r="E101" s="144"/>
      <c r="F101" s="144"/>
      <c r="G101" s="144"/>
      <c r="H101" s="144"/>
      <c r="I101" s="144"/>
      <c r="J101" s="144"/>
      <c r="K101" s="145"/>
      <c r="L101" s="137"/>
      <c r="M101" s="143"/>
      <c r="N101" s="144"/>
      <c r="O101" s="144"/>
      <c r="P101" s="144"/>
      <c r="Q101" s="144"/>
      <c r="R101" s="144"/>
      <c r="S101" s="144"/>
      <c r="T101" s="144"/>
      <c r="U101" s="144"/>
      <c r="V101" s="145"/>
      <c r="W101" s="137"/>
      <c r="X101" s="143" t="s">
        <v>775</v>
      </c>
      <c r="Y101" s="144"/>
      <c r="Z101" s="144"/>
      <c r="AA101" s="144"/>
      <c r="AB101" s="144"/>
      <c r="AC101" s="144"/>
      <c r="AD101" s="391" t="s">
        <v>176</v>
      </c>
      <c r="AE101" s="393"/>
      <c r="AF101" s="393"/>
      <c r="AG101" s="392"/>
      <c r="AH101" s="137"/>
      <c r="AI101" s="143"/>
      <c r="AJ101" s="144"/>
      <c r="AK101" s="144"/>
      <c r="AL101" s="144"/>
      <c r="AM101" s="144"/>
      <c r="AN101" s="144"/>
      <c r="AO101" s="144"/>
      <c r="AP101" s="144"/>
      <c r="AQ101" s="144"/>
      <c r="AR101" s="145"/>
      <c r="AS101" s="137"/>
      <c r="AT101" s="143"/>
      <c r="AU101" s="144"/>
      <c r="AV101" s="144"/>
      <c r="AW101" s="144"/>
      <c r="AX101" s="144"/>
      <c r="AY101" s="144"/>
      <c r="AZ101" s="144"/>
      <c r="BA101" s="144"/>
      <c r="BB101" s="144"/>
      <c r="BC101" s="145"/>
      <c r="BD101" s="137"/>
      <c r="BE101" s="143" t="s">
        <v>821</v>
      </c>
      <c r="BF101" s="144"/>
      <c r="BG101" s="144"/>
      <c r="BH101" s="144"/>
      <c r="BI101" s="144"/>
      <c r="BJ101" s="144"/>
      <c r="BK101" s="391" t="s">
        <v>176</v>
      </c>
      <c r="BL101" s="393"/>
      <c r="BM101" s="393"/>
      <c r="BN101" s="392"/>
    </row>
    <row r="102" spans="2:66" s="15" customFormat="1" ht="9" customHeight="1" x14ac:dyDescent="0.25">
      <c r="B102" s="195"/>
      <c r="C102" s="139"/>
      <c r="D102" s="139"/>
      <c r="E102" s="139"/>
      <c r="F102" s="139"/>
      <c r="G102" s="391" t="s">
        <v>139</v>
      </c>
      <c r="H102" s="392"/>
      <c r="I102" s="299" t="s">
        <v>176</v>
      </c>
      <c r="J102" s="259"/>
      <c r="K102" s="324"/>
      <c r="L102" s="137"/>
      <c r="M102" s="143" t="s">
        <v>775</v>
      </c>
      <c r="N102" s="144"/>
      <c r="O102" s="144"/>
      <c r="P102" s="144"/>
      <c r="Q102" s="144"/>
      <c r="R102" s="144"/>
      <c r="S102" s="391" t="s">
        <v>176</v>
      </c>
      <c r="T102" s="393"/>
      <c r="U102" s="393"/>
      <c r="V102" s="392"/>
      <c r="W102" s="137"/>
      <c r="X102" s="261" t="s">
        <v>113</v>
      </c>
      <c r="Y102" s="261"/>
      <c r="Z102" s="261"/>
      <c r="AA102" s="261"/>
      <c r="AB102" s="261"/>
      <c r="AC102" s="261"/>
      <c r="AD102" s="262">
        <f>CEILING(3623*B5,1)</f>
        <v>5073</v>
      </c>
      <c r="AE102" s="262"/>
      <c r="AF102" s="262"/>
      <c r="AG102" s="262"/>
      <c r="AH102" s="137"/>
      <c r="AI102" s="143"/>
      <c r="AJ102" s="144"/>
      <c r="AK102" s="144"/>
      <c r="AL102" s="144"/>
      <c r="AM102" s="144"/>
      <c r="AN102" s="144"/>
      <c r="AO102" s="391" t="s">
        <v>176</v>
      </c>
      <c r="AP102" s="393"/>
      <c r="AQ102" s="393"/>
      <c r="AR102" s="392"/>
      <c r="AS102" s="137"/>
      <c r="AT102" s="146"/>
      <c r="AU102" s="144"/>
      <c r="AV102" s="144"/>
      <c r="AW102" s="144"/>
      <c r="AX102" s="144"/>
      <c r="AY102" s="144"/>
      <c r="AZ102" s="391" t="s">
        <v>176</v>
      </c>
      <c r="BA102" s="393"/>
      <c r="BB102" s="393"/>
      <c r="BC102" s="392"/>
      <c r="BD102" s="146"/>
      <c r="BE102" s="261" t="s">
        <v>103</v>
      </c>
      <c r="BF102" s="261"/>
      <c r="BG102" s="261"/>
      <c r="BH102" s="261"/>
      <c r="BI102" s="261"/>
      <c r="BJ102" s="261"/>
      <c r="BK102" s="262">
        <f>CEILING(5503*B5,1)</f>
        <v>7705</v>
      </c>
      <c r="BL102" s="262"/>
      <c r="BM102" s="262"/>
      <c r="BN102" s="262"/>
    </row>
    <row r="103" spans="2:66" s="15" customFormat="1" ht="9" customHeight="1" x14ac:dyDescent="0.25">
      <c r="B103" s="261" t="s">
        <v>82</v>
      </c>
      <c r="C103" s="261"/>
      <c r="D103" s="261"/>
      <c r="E103" s="261"/>
      <c r="F103" s="261"/>
      <c r="G103" s="262">
        <f>CEILING(1009*B5,1)</f>
        <v>1413</v>
      </c>
      <c r="H103" s="262"/>
      <c r="I103" s="262">
        <f>CEILING(1575*B5,1)</f>
        <v>2205</v>
      </c>
      <c r="J103" s="262"/>
      <c r="K103" s="262"/>
      <c r="L103" s="206"/>
      <c r="M103" s="261" t="s">
        <v>85</v>
      </c>
      <c r="N103" s="261"/>
      <c r="O103" s="261"/>
      <c r="P103" s="261"/>
      <c r="Q103" s="261"/>
      <c r="R103" s="261"/>
      <c r="S103" s="262">
        <f>CEILING(3357*B5,1)</f>
        <v>4700</v>
      </c>
      <c r="T103" s="262"/>
      <c r="U103" s="262"/>
      <c r="V103" s="262"/>
      <c r="W103" s="206"/>
      <c r="X103" s="261" t="s">
        <v>85</v>
      </c>
      <c r="Y103" s="261"/>
      <c r="Z103" s="261"/>
      <c r="AA103" s="261"/>
      <c r="AB103" s="261"/>
      <c r="AC103" s="261"/>
      <c r="AD103" s="262">
        <f>CEILING(3660*B5,1)</f>
        <v>5124</v>
      </c>
      <c r="AE103" s="262"/>
      <c r="AF103" s="262"/>
      <c r="AG103" s="262"/>
      <c r="AH103" s="206"/>
      <c r="AI103" s="261" t="s">
        <v>85</v>
      </c>
      <c r="AJ103" s="261"/>
      <c r="AK103" s="261"/>
      <c r="AL103" s="261"/>
      <c r="AM103" s="261"/>
      <c r="AN103" s="261"/>
      <c r="AO103" s="262">
        <f>CEILING(3077*B5,1)</f>
        <v>4308</v>
      </c>
      <c r="AP103" s="262"/>
      <c r="AQ103" s="262"/>
      <c r="AR103" s="262"/>
      <c r="AS103" s="206"/>
      <c r="AT103" s="261" t="s">
        <v>90</v>
      </c>
      <c r="AU103" s="261"/>
      <c r="AV103" s="261"/>
      <c r="AW103" s="261"/>
      <c r="AX103" s="261"/>
      <c r="AY103" s="261"/>
      <c r="AZ103" s="262">
        <f>CEILING(5375*B5,1)</f>
        <v>7525</v>
      </c>
      <c r="BA103" s="262"/>
      <c r="BB103" s="262"/>
      <c r="BC103" s="262"/>
      <c r="BD103" s="212"/>
      <c r="BE103" s="261" t="s">
        <v>90</v>
      </c>
      <c r="BF103" s="261"/>
      <c r="BG103" s="261"/>
      <c r="BH103" s="261"/>
      <c r="BI103" s="261"/>
      <c r="BJ103" s="261"/>
      <c r="BK103" s="262">
        <f>CEILING(5540*B5,1)</f>
        <v>7756</v>
      </c>
      <c r="BL103" s="262"/>
      <c r="BM103" s="262"/>
      <c r="BN103" s="262"/>
    </row>
    <row r="104" spans="2:66" s="15" customFormat="1" ht="9" customHeight="1" x14ac:dyDescent="0.25">
      <c r="B104" s="261" t="s">
        <v>83</v>
      </c>
      <c r="C104" s="261"/>
      <c r="D104" s="261"/>
      <c r="E104" s="261"/>
      <c r="F104" s="261"/>
      <c r="G104" s="262">
        <f>CEILING(1072*B5,1)</f>
        <v>1501</v>
      </c>
      <c r="H104" s="262"/>
      <c r="I104" s="262">
        <f>CEILING(1636*B5,1)</f>
        <v>2291</v>
      </c>
      <c r="J104" s="262"/>
      <c r="K104" s="262"/>
      <c r="L104" s="206"/>
      <c r="M104" s="261" t="s">
        <v>86</v>
      </c>
      <c r="N104" s="261"/>
      <c r="O104" s="261"/>
      <c r="P104" s="261"/>
      <c r="Q104" s="261"/>
      <c r="R104" s="261"/>
      <c r="S104" s="262">
        <f>CEILING(5284*B5,1)</f>
        <v>7398</v>
      </c>
      <c r="T104" s="262"/>
      <c r="U104" s="262"/>
      <c r="V104" s="262"/>
      <c r="W104" s="206"/>
      <c r="X104" s="261" t="s">
        <v>86</v>
      </c>
      <c r="Y104" s="261"/>
      <c r="Z104" s="261"/>
      <c r="AA104" s="261"/>
      <c r="AB104" s="261"/>
      <c r="AC104" s="261"/>
      <c r="AD104" s="262">
        <f>CEILING(5525*B5,1)</f>
        <v>7735</v>
      </c>
      <c r="AE104" s="262"/>
      <c r="AF104" s="262"/>
      <c r="AG104" s="262"/>
      <c r="AH104" s="206"/>
      <c r="AI104" s="261" t="s">
        <v>86</v>
      </c>
      <c r="AJ104" s="261"/>
      <c r="AK104" s="261"/>
      <c r="AL104" s="261"/>
      <c r="AM104" s="261"/>
      <c r="AN104" s="261"/>
      <c r="AO104" s="262">
        <f>CEILING(4875*B5,1)</f>
        <v>6825</v>
      </c>
      <c r="AP104" s="262"/>
      <c r="AQ104" s="262"/>
      <c r="AR104" s="262"/>
      <c r="AS104" s="206"/>
      <c r="AT104" s="261" t="s">
        <v>91</v>
      </c>
      <c r="AU104" s="261"/>
      <c r="AV104" s="261"/>
      <c r="AW104" s="261"/>
      <c r="AX104" s="261"/>
      <c r="AY104" s="261"/>
      <c r="AZ104" s="262">
        <f>CEILING(7428*B5,1)</f>
        <v>10400</v>
      </c>
      <c r="BA104" s="262"/>
      <c r="BB104" s="262"/>
      <c r="BC104" s="262"/>
      <c r="BD104" s="212"/>
      <c r="BE104" s="261" t="s">
        <v>91</v>
      </c>
      <c r="BF104" s="261"/>
      <c r="BG104" s="261"/>
      <c r="BH104" s="261"/>
      <c r="BI104" s="261"/>
      <c r="BJ104" s="261"/>
      <c r="BK104" s="262">
        <f>CEILING(8345*B5,1)</f>
        <v>11683</v>
      </c>
      <c r="BL104" s="262"/>
      <c r="BM104" s="262"/>
      <c r="BN104" s="262"/>
    </row>
    <row r="105" spans="2:66" ht="9" customHeight="1" x14ac:dyDescent="0.25"/>
    <row r="106" spans="2:66" ht="9" customHeight="1" x14ac:dyDescent="0.25"/>
    <row r="107" spans="2:66" ht="9" customHeight="1" x14ac:dyDescent="0.25"/>
    <row r="108" spans="2:66" ht="9" customHeight="1" x14ac:dyDescent="0.25"/>
    <row r="109" spans="2:66" ht="9" customHeight="1" x14ac:dyDescent="0.25"/>
    <row r="110" spans="2:66" ht="9" customHeight="1" x14ac:dyDescent="0.25"/>
    <row r="111" spans="2:66" ht="9" customHeight="1" x14ac:dyDescent="0.25"/>
    <row r="112" spans="2:66" ht="9" customHeight="1" x14ac:dyDescent="0.25"/>
    <row r="113" ht="9" customHeight="1" x14ac:dyDescent="0.25"/>
    <row r="114" ht="9" customHeight="1" x14ac:dyDescent="0.25"/>
    <row r="115" ht="9" customHeight="1" x14ac:dyDescent="0.25"/>
    <row r="116" ht="9" customHeight="1" x14ac:dyDescent="0.25"/>
    <row r="117" ht="9" customHeight="1" x14ac:dyDescent="0.25"/>
    <row r="118" ht="9" customHeight="1" x14ac:dyDescent="0.25"/>
    <row r="119" ht="9" customHeight="1" x14ac:dyDescent="0.25"/>
    <row r="120" ht="9" customHeight="1" x14ac:dyDescent="0.25"/>
    <row r="121" ht="9" customHeight="1" x14ac:dyDescent="0.25"/>
    <row r="122" ht="9" customHeight="1" x14ac:dyDescent="0.25"/>
    <row r="123" ht="9" customHeight="1" x14ac:dyDescent="0.25"/>
    <row r="124" ht="9" customHeight="1" x14ac:dyDescent="0.25"/>
    <row r="125" ht="9" customHeight="1" x14ac:dyDescent="0.25"/>
    <row r="126" ht="9" customHeight="1" x14ac:dyDescent="0.25"/>
    <row r="127" ht="9" customHeight="1" x14ac:dyDescent="0.25"/>
    <row r="128" ht="9" customHeight="1" x14ac:dyDescent="0.25"/>
    <row r="129" ht="9" customHeight="1" x14ac:dyDescent="0.25"/>
    <row r="130" ht="9" customHeight="1" x14ac:dyDescent="0.25"/>
    <row r="131" ht="9" customHeight="1" x14ac:dyDescent="0.25"/>
    <row r="132" ht="9" customHeight="1" x14ac:dyDescent="0.25"/>
    <row r="133" ht="9" customHeight="1" x14ac:dyDescent="0.25"/>
    <row r="134" ht="9" customHeight="1" x14ac:dyDescent="0.25"/>
    <row r="135" ht="9" customHeight="1" x14ac:dyDescent="0.25"/>
    <row r="136" ht="9" customHeight="1" x14ac:dyDescent="0.25"/>
    <row r="137" ht="9" customHeight="1" x14ac:dyDescent="0.25"/>
    <row r="138" ht="9" customHeight="1" x14ac:dyDescent="0.25"/>
    <row r="139" ht="9" customHeight="1" x14ac:dyDescent="0.25"/>
    <row r="140" ht="9" customHeight="1" x14ac:dyDescent="0.25"/>
    <row r="141" ht="9" customHeight="1" x14ac:dyDescent="0.25"/>
    <row r="142" ht="9" customHeight="1" x14ac:dyDescent="0.25"/>
    <row r="143" ht="9" customHeight="1" x14ac:dyDescent="0.25"/>
    <row r="144" ht="9" customHeight="1" x14ac:dyDescent="0.25"/>
    <row r="145" ht="9" customHeight="1" x14ac:dyDescent="0.25"/>
    <row r="146" ht="9" customHeight="1" x14ac:dyDescent="0.25"/>
    <row r="147" ht="9" customHeight="1" x14ac:dyDescent="0.25"/>
    <row r="148" ht="9" customHeight="1" x14ac:dyDescent="0.25"/>
    <row r="149" ht="9" customHeight="1" x14ac:dyDescent="0.25"/>
    <row r="150" ht="9" customHeight="1" x14ac:dyDescent="0.25"/>
    <row r="151" ht="9" customHeight="1" x14ac:dyDescent="0.25"/>
    <row r="152" ht="9" customHeight="1" x14ac:dyDescent="0.25"/>
    <row r="153" ht="9" customHeight="1" x14ac:dyDescent="0.25"/>
    <row r="154" ht="9" customHeight="1" x14ac:dyDescent="0.25"/>
    <row r="155" ht="9" customHeight="1" x14ac:dyDescent="0.25"/>
    <row r="156" ht="9" customHeight="1" x14ac:dyDescent="0.25"/>
    <row r="157" ht="9" customHeight="1" x14ac:dyDescent="0.25"/>
    <row r="158" ht="9" customHeight="1" x14ac:dyDescent="0.25"/>
    <row r="159" ht="9" customHeight="1" x14ac:dyDescent="0.25"/>
    <row r="160" ht="9" customHeight="1" x14ac:dyDescent="0.25"/>
    <row r="161" ht="9" customHeight="1" x14ac:dyDescent="0.25"/>
    <row r="162" ht="9" customHeight="1" x14ac:dyDescent="0.25"/>
    <row r="163" ht="9" customHeight="1" x14ac:dyDescent="0.25"/>
    <row r="164" ht="9" customHeight="1" x14ac:dyDescent="0.25"/>
    <row r="165" ht="9" customHeight="1" x14ac:dyDescent="0.25"/>
    <row r="166" ht="9" customHeight="1" x14ac:dyDescent="0.25"/>
    <row r="167" ht="9" customHeight="1" x14ac:dyDescent="0.25"/>
    <row r="168" ht="9" customHeight="1" x14ac:dyDescent="0.25"/>
    <row r="169" ht="9" customHeight="1" x14ac:dyDescent="0.25"/>
    <row r="170" ht="9" customHeight="1" x14ac:dyDescent="0.25"/>
    <row r="171" ht="9" customHeight="1" x14ac:dyDescent="0.25"/>
    <row r="172" ht="9" customHeight="1" x14ac:dyDescent="0.25"/>
    <row r="173" ht="9" customHeight="1" x14ac:dyDescent="0.25"/>
    <row r="174" ht="9" customHeight="1" x14ac:dyDescent="0.25"/>
    <row r="175" ht="9" customHeight="1" x14ac:dyDescent="0.25"/>
    <row r="176" ht="9" customHeight="1" x14ac:dyDescent="0.25"/>
    <row r="177" ht="9" customHeight="1" x14ac:dyDescent="0.25"/>
    <row r="178" ht="9" customHeight="1" x14ac:dyDescent="0.25"/>
    <row r="179" ht="9" customHeight="1" x14ac:dyDescent="0.25"/>
    <row r="180" ht="9" customHeight="1" x14ac:dyDescent="0.25"/>
    <row r="181" ht="9" customHeight="1" x14ac:dyDescent="0.25"/>
    <row r="182" ht="9" customHeight="1" x14ac:dyDescent="0.25"/>
    <row r="183" ht="9" customHeight="1" x14ac:dyDescent="0.25"/>
    <row r="184" ht="9" customHeight="1" x14ac:dyDescent="0.25"/>
    <row r="185" ht="9" customHeight="1" x14ac:dyDescent="0.25"/>
    <row r="186" ht="9" customHeight="1" x14ac:dyDescent="0.25"/>
    <row r="187" ht="9" customHeight="1" x14ac:dyDescent="0.25"/>
    <row r="188" ht="9" customHeight="1" x14ac:dyDescent="0.25"/>
    <row r="189" ht="9" customHeight="1" x14ac:dyDescent="0.25"/>
    <row r="190" ht="9" customHeight="1" x14ac:dyDescent="0.25"/>
    <row r="191" ht="9" customHeight="1" x14ac:dyDescent="0.25"/>
    <row r="192" ht="9" customHeight="1" x14ac:dyDescent="0.25"/>
    <row r="193" ht="9" customHeight="1" x14ac:dyDescent="0.25"/>
    <row r="194" ht="9" customHeight="1" x14ac:dyDescent="0.25"/>
    <row r="195" ht="9" customHeight="1" x14ac:dyDescent="0.25"/>
    <row r="196" ht="9" customHeight="1" x14ac:dyDescent="0.25"/>
    <row r="197" ht="9" customHeight="1" x14ac:dyDescent="0.25"/>
    <row r="198" ht="9" customHeight="1" x14ac:dyDescent="0.25"/>
    <row r="199" ht="9" customHeight="1" x14ac:dyDescent="0.25"/>
    <row r="200" ht="9" customHeight="1" x14ac:dyDescent="0.25"/>
    <row r="201" ht="9" customHeight="1" x14ac:dyDescent="0.25"/>
    <row r="202" ht="9" customHeight="1" x14ac:dyDescent="0.25"/>
    <row r="203" ht="9" customHeight="1" x14ac:dyDescent="0.25"/>
    <row r="204" ht="9" customHeight="1" x14ac:dyDescent="0.25"/>
    <row r="205" ht="9" customHeight="1" x14ac:dyDescent="0.25"/>
    <row r="206" ht="9" customHeight="1" x14ac:dyDescent="0.25"/>
    <row r="207" ht="9" customHeight="1" x14ac:dyDescent="0.25"/>
    <row r="208" ht="9" customHeight="1" x14ac:dyDescent="0.25"/>
    <row r="209" ht="9" customHeight="1" x14ac:dyDescent="0.25"/>
    <row r="210" ht="9" customHeight="1" x14ac:dyDescent="0.25"/>
    <row r="211" ht="9" customHeight="1" x14ac:dyDescent="0.25"/>
    <row r="212" ht="9" customHeight="1" x14ac:dyDescent="0.25"/>
    <row r="213" ht="9" customHeight="1" x14ac:dyDescent="0.25"/>
    <row r="214" ht="9" customHeight="1" x14ac:dyDescent="0.25"/>
    <row r="215" ht="9" customHeight="1" x14ac:dyDescent="0.25"/>
    <row r="216" ht="9" customHeight="1" x14ac:dyDescent="0.25"/>
    <row r="217" ht="9" customHeight="1" x14ac:dyDescent="0.25"/>
    <row r="218" ht="9" customHeight="1" x14ac:dyDescent="0.25"/>
    <row r="219" ht="9" customHeight="1" x14ac:dyDescent="0.25"/>
    <row r="220" ht="9" customHeight="1" x14ac:dyDescent="0.25"/>
    <row r="221" ht="9" customHeight="1" x14ac:dyDescent="0.25"/>
    <row r="222" ht="9" customHeight="1" x14ac:dyDescent="0.25"/>
    <row r="223" ht="9" customHeight="1" x14ac:dyDescent="0.25"/>
    <row r="224" ht="9" customHeight="1" x14ac:dyDescent="0.25"/>
    <row r="225" ht="9" customHeight="1" x14ac:dyDescent="0.25"/>
    <row r="226" ht="9" customHeight="1" x14ac:dyDescent="0.25"/>
    <row r="227" ht="9" customHeight="1" x14ac:dyDescent="0.25"/>
    <row r="228" ht="9" customHeight="1" x14ac:dyDescent="0.25"/>
    <row r="229" ht="9" customHeight="1" x14ac:dyDescent="0.25"/>
    <row r="230" ht="9" customHeight="1" x14ac:dyDescent="0.25"/>
    <row r="231" ht="9" customHeight="1" x14ac:dyDescent="0.25"/>
    <row r="232" ht="9" customHeight="1" x14ac:dyDescent="0.25"/>
    <row r="233" ht="9" customHeight="1" x14ac:dyDescent="0.25"/>
    <row r="234" ht="9" customHeight="1" x14ac:dyDescent="0.25"/>
    <row r="235" ht="9" customHeight="1" x14ac:dyDescent="0.25"/>
    <row r="236" ht="9" customHeight="1" x14ac:dyDescent="0.25"/>
    <row r="237" ht="9" customHeight="1" x14ac:dyDescent="0.25"/>
    <row r="238" ht="9" customHeight="1" x14ac:dyDescent="0.25"/>
    <row r="239" ht="9" customHeight="1" x14ac:dyDescent="0.25"/>
    <row r="240" ht="9" customHeight="1" x14ac:dyDescent="0.25"/>
    <row r="241" ht="9" customHeight="1" x14ac:dyDescent="0.25"/>
    <row r="242" ht="9" customHeight="1" x14ac:dyDescent="0.25"/>
    <row r="243" ht="9" customHeight="1" x14ac:dyDescent="0.25"/>
    <row r="244" ht="9" customHeight="1" x14ac:dyDescent="0.25"/>
    <row r="245" ht="9" customHeight="1" x14ac:dyDescent="0.25"/>
    <row r="246" ht="9" customHeight="1" x14ac:dyDescent="0.25"/>
    <row r="247" ht="9" customHeight="1" x14ac:dyDescent="0.25"/>
    <row r="248" ht="9" customHeight="1" x14ac:dyDescent="0.25"/>
    <row r="249" ht="9" customHeight="1" x14ac:dyDescent="0.25"/>
    <row r="250" ht="9" customHeight="1" x14ac:dyDescent="0.25"/>
    <row r="251" ht="9" customHeight="1" x14ac:dyDescent="0.25"/>
    <row r="252" ht="9" customHeight="1" x14ac:dyDescent="0.25"/>
    <row r="253" ht="9" customHeight="1" x14ac:dyDescent="0.25"/>
    <row r="254" ht="9" customHeight="1" x14ac:dyDescent="0.25"/>
    <row r="255" ht="9" customHeight="1" x14ac:dyDescent="0.25"/>
    <row r="256" ht="9" customHeight="1" x14ac:dyDescent="0.25"/>
    <row r="257" ht="9" customHeight="1" x14ac:dyDescent="0.25"/>
    <row r="258" ht="9" customHeight="1" x14ac:dyDescent="0.25"/>
    <row r="259" ht="9" customHeight="1" x14ac:dyDescent="0.25"/>
    <row r="260" ht="9" customHeight="1" x14ac:dyDescent="0.25"/>
    <row r="261" ht="9" customHeight="1" x14ac:dyDescent="0.25"/>
    <row r="262" ht="9" customHeight="1" x14ac:dyDescent="0.25"/>
    <row r="263" ht="9" customHeight="1" x14ac:dyDescent="0.25"/>
    <row r="264" ht="9" customHeight="1" x14ac:dyDescent="0.25"/>
    <row r="265" ht="9" customHeight="1" x14ac:dyDescent="0.25"/>
    <row r="266" ht="9" customHeight="1" x14ac:dyDescent="0.25"/>
  </sheetData>
  <mergeCells count="309">
    <mergeCell ref="AT104:AY104"/>
    <mergeCell ref="AZ104:BC104"/>
    <mergeCell ref="BE104:BJ104"/>
    <mergeCell ref="BK104:BN104"/>
    <mergeCell ref="BK103:BN103"/>
    <mergeCell ref="B104:F104"/>
    <mergeCell ref="G104:H104"/>
    <mergeCell ref="I104:K104"/>
    <mergeCell ref="M104:R104"/>
    <mergeCell ref="S104:V104"/>
    <mergeCell ref="X104:AC104"/>
    <mergeCell ref="AD104:AG104"/>
    <mergeCell ref="AI104:AN104"/>
    <mergeCell ref="AO104:AR104"/>
    <mergeCell ref="AD103:AG103"/>
    <mergeCell ref="AI103:AN103"/>
    <mergeCell ref="AO103:AR103"/>
    <mergeCell ref="AT103:AY103"/>
    <mergeCell ref="AZ103:BC103"/>
    <mergeCell ref="BE103:BJ103"/>
    <mergeCell ref="B103:F103"/>
    <mergeCell ref="G103:H103"/>
    <mergeCell ref="I103:K103"/>
    <mergeCell ref="M103:R103"/>
    <mergeCell ref="BK102:BN102"/>
    <mergeCell ref="AT92:AV92"/>
    <mergeCell ref="AW92:BC92"/>
    <mergeCell ref="BE92:BG92"/>
    <mergeCell ref="BH92:BN92"/>
    <mergeCell ref="AI93:AR93"/>
    <mergeCell ref="AT93:BC93"/>
    <mergeCell ref="BE93:BN93"/>
    <mergeCell ref="BK101:BN101"/>
    <mergeCell ref="AO102:AR102"/>
    <mergeCell ref="AZ102:BC102"/>
    <mergeCell ref="AC90:AD90"/>
    <mergeCell ref="AE90:AG90"/>
    <mergeCell ref="S103:V103"/>
    <mergeCell ref="X103:AC103"/>
    <mergeCell ref="G102:H102"/>
    <mergeCell ref="I102:K102"/>
    <mergeCell ref="X102:AC102"/>
    <mergeCell ref="AD102:AG102"/>
    <mergeCell ref="BE102:BJ102"/>
    <mergeCell ref="AD101:AG101"/>
    <mergeCell ref="S102:V102"/>
    <mergeCell ref="T89:V89"/>
    <mergeCell ref="X89:AB89"/>
    <mergeCell ref="BJ90:BK90"/>
    <mergeCell ref="BL90:BN90"/>
    <mergeCell ref="B92:D92"/>
    <mergeCell ref="E92:K92"/>
    <mergeCell ref="M92:O92"/>
    <mergeCell ref="P92:V92"/>
    <mergeCell ref="X92:Z92"/>
    <mergeCell ref="AA92:AG92"/>
    <mergeCell ref="AI92:AK92"/>
    <mergeCell ref="AL92:AR92"/>
    <mergeCell ref="AI90:AN90"/>
    <mergeCell ref="AO90:AR90"/>
    <mergeCell ref="AT90:AX90"/>
    <mergeCell ref="AY90:AZ90"/>
    <mergeCell ref="BA90:BC90"/>
    <mergeCell ref="BE90:BI90"/>
    <mergeCell ref="B90:G90"/>
    <mergeCell ref="H90:K90"/>
    <mergeCell ref="M90:Q90"/>
    <mergeCell ref="R90:S90"/>
    <mergeCell ref="T90:V90"/>
    <mergeCell ref="X90:AB90"/>
    <mergeCell ref="BJ89:BK89"/>
    <mergeCell ref="BL89:BN89"/>
    <mergeCell ref="AO89:AR89"/>
    <mergeCell ref="AT89:AX89"/>
    <mergeCell ref="AY89:AZ89"/>
    <mergeCell ref="BA89:BC89"/>
    <mergeCell ref="AE88:AG88"/>
    <mergeCell ref="T88:V88"/>
    <mergeCell ref="B78:D78"/>
    <mergeCell ref="E78:K78"/>
    <mergeCell ref="M78:O78"/>
    <mergeCell ref="P78:V78"/>
    <mergeCell ref="X78:Z78"/>
    <mergeCell ref="AA78:AG78"/>
    <mergeCell ref="M88:Q88"/>
    <mergeCell ref="R88:S88"/>
    <mergeCell ref="AC88:AD88"/>
    <mergeCell ref="AC89:AD89"/>
    <mergeCell ref="AE89:AG89"/>
    <mergeCell ref="AY88:AZ88"/>
    <mergeCell ref="BA88:BC88"/>
    <mergeCell ref="B89:K89"/>
    <mergeCell ref="M89:Q89"/>
    <mergeCell ref="R89:S89"/>
    <mergeCell ref="AT76:AY76"/>
    <mergeCell ref="AZ76:BC76"/>
    <mergeCell ref="BE76:BJ76"/>
    <mergeCell ref="BK76:BL76"/>
    <mergeCell ref="BM76:BN76"/>
    <mergeCell ref="BE75:BJ75"/>
    <mergeCell ref="BK75:BL75"/>
    <mergeCell ref="BM75:BN75"/>
    <mergeCell ref="AI78:AK78"/>
    <mergeCell ref="AL78:AR78"/>
    <mergeCell ref="AT78:AV78"/>
    <mergeCell ref="AW78:BC78"/>
    <mergeCell ref="BE78:BG78"/>
    <mergeCell ref="BH78:BN78"/>
    <mergeCell ref="B76:G76"/>
    <mergeCell ref="H76:K76"/>
    <mergeCell ref="M76:R76"/>
    <mergeCell ref="S76:V76"/>
    <mergeCell ref="X76:AC76"/>
    <mergeCell ref="AD76:AG76"/>
    <mergeCell ref="AI76:AN76"/>
    <mergeCell ref="B65:K65"/>
    <mergeCell ref="AO76:AR76"/>
    <mergeCell ref="M74:V74"/>
    <mergeCell ref="AT65:BC65"/>
    <mergeCell ref="B75:K75"/>
    <mergeCell ref="M75:V75"/>
    <mergeCell ref="X75:AG75"/>
    <mergeCell ref="AI75:AR75"/>
    <mergeCell ref="AT75:BC75"/>
    <mergeCell ref="AI64:AK64"/>
    <mergeCell ref="AL64:AR64"/>
    <mergeCell ref="AT64:AV64"/>
    <mergeCell ref="AW64:BC64"/>
    <mergeCell ref="AI65:AR66"/>
    <mergeCell ref="BE64:BG64"/>
    <mergeCell ref="BH64:BN64"/>
    <mergeCell ref="AT62:AY62"/>
    <mergeCell ref="AZ62:BC62"/>
    <mergeCell ref="BE62:BJ62"/>
    <mergeCell ref="BK62:BN62"/>
    <mergeCell ref="B64:D64"/>
    <mergeCell ref="E64:K64"/>
    <mergeCell ref="M64:O64"/>
    <mergeCell ref="P64:V64"/>
    <mergeCell ref="X64:Z64"/>
    <mergeCell ref="AA64:AG64"/>
    <mergeCell ref="B62:G62"/>
    <mergeCell ref="H62:K62"/>
    <mergeCell ref="M62:R62"/>
    <mergeCell ref="S62:T62"/>
    <mergeCell ref="U62:V62"/>
    <mergeCell ref="X62:AC62"/>
    <mergeCell ref="AD62:AG62"/>
    <mergeCell ref="AI62:AN62"/>
    <mergeCell ref="AO62:AR62"/>
    <mergeCell ref="B51:K51"/>
    <mergeCell ref="M51:V51"/>
    <mergeCell ref="AT51:BC51"/>
    <mergeCell ref="BE51:BN51"/>
    <mergeCell ref="B52:K52"/>
    <mergeCell ref="B61:K61"/>
    <mergeCell ref="M61:R61"/>
    <mergeCell ref="S61:T61"/>
    <mergeCell ref="U61:V61"/>
    <mergeCell ref="X61:AG61"/>
    <mergeCell ref="AI61:AR61"/>
    <mergeCell ref="AT61:BC61"/>
    <mergeCell ref="BE61:BN61"/>
    <mergeCell ref="AI50:AK50"/>
    <mergeCell ref="AL50:AR50"/>
    <mergeCell ref="AT50:AV50"/>
    <mergeCell ref="AW50:BC50"/>
    <mergeCell ref="BE50:BG50"/>
    <mergeCell ref="BH50:BN50"/>
    <mergeCell ref="B50:D50"/>
    <mergeCell ref="E50:K50"/>
    <mergeCell ref="M50:O50"/>
    <mergeCell ref="P50:V50"/>
    <mergeCell ref="X50:Z50"/>
    <mergeCell ref="AA50:AG50"/>
    <mergeCell ref="AI48:AN48"/>
    <mergeCell ref="AO48:AR48"/>
    <mergeCell ref="AT48:AY48"/>
    <mergeCell ref="AZ48:BC48"/>
    <mergeCell ref="BE48:BJ48"/>
    <mergeCell ref="BK48:BN48"/>
    <mergeCell ref="B48:G48"/>
    <mergeCell ref="H48:K48"/>
    <mergeCell ref="M48:R48"/>
    <mergeCell ref="S48:V48"/>
    <mergeCell ref="X48:AC48"/>
    <mergeCell ref="AD48:AG48"/>
    <mergeCell ref="B47:K47"/>
    <mergeCell ref="M47:V47"/>
    <mergeCell ref="X47:AG47"/>
    <mergeCell ref="AI47:AR47"/>
    <mergeCell ref="AT47:BC47"/>
    <mergeCell ref="BE47:BN47"/>
    <mergeCell ref="M37:V37"/>
    <mergeCell ref="X37:AG37"/>
    <mergeCell ref="AI37:AR37"/>
    <mergeCell ref="AT37:BC37"/>
    <mergeCell ref="BE37:BN37"/>
    <mergeCell ref="M38:V38"/>
    <mergeCell ref="X38:AG38"/>
    <mergeCell ref="AI38:AR38"/>
    <mergeCell ref="AT38:BC38"/>
    <mergeCell ref="BE38:BN38"/>
    <mergeCell ref="AI36:AL36"/>
    <mergeCell ref="AM36:AR36"/>
    <mergeCell ref="AT36:AV36"/>
    <mergeCell ref="AW36:BC36"/>
    <mergeCell ref="BE36:BH36"/>
    <mergeCell ref="BI36:BN36"/>
    <mergeCell ref="B36:D36"/>
    <mergeCell ref="E36:K36"/>
    <mergeCell ref="M36:O36"/>
    <mergeCell ref="P36:V36"/>
    <mergeCell ref="X36:Z36"/>
    <mergeCell ref="AA36:AG36"/>
    <mergeCell ref="AI34:AN34"/>
    <mergeCell ref="AO34:AR34"/>
    <mergeCell ref="AT34:AY34"/>
    <mergeCell ref="AZ34:BC34"/>
    <mergeCell ref="BE34:BJ34"/>
    <mergeCell ref="BK34:BN34"/>
    <mergeCell ref="B34:G34"/>
    <mergeCell ref="H34:K34"/>
    <mergeCell ref="M34:R34"/>
    <mergeCell ref="S34:V34"/>
    <mergeCell ref="X34:AC34"/>
    <mergeCell ref="AD34:AG34"/>
    <mergeCell ref="X23:AG23"/>
    <mergeCell ref="AI23:AR23"/>
    <mergeCell ref="BE23:BN23"/>
    <mergeCell ref="B33:K33"/>
    <mergeCell ref="M33:V33"/>
    <mergeCell ref="X33:AG33"/>
    <mergeCell ref="AI33:AR33"/>
    <mergeCell ref="AT33:BC33"/>
    <mergeCell ref="BE33:BN33"/>
    <mergeCell ref="B23:K23"/>
    <mergeCell ref="M23:V23"/>
    <mergeCell ref="AI22:AK22"/>
    <mergeCell ref="AL22:AR22"/>
    <mergeCell ref="AT22:AV22"/>
    <mergeCell ref="AW22:BC22"/>
    <mergeCell ref="BE22:BG22"/>
    <mergeCell ref="BH22:BN22"/>
    <mergeCell ref="B22:D22"/>
    <mergeCell ref="E22:K22"/>
    <mergeCell ref="M22:O22"/>
    <mergeCell ref="P22:V22"/>
    <mergeCell ref="X22:Z22"/>
    <mergeCell ref="AA22:AG22"/>
    <mergeCell ref="AI20:AN20"/>
    <mergeCell ref="AO20:AR20"/>
    <mergeCell ref="AT20:AY20"/>
    <mergeCell ref="AZ20:BC20"/>
    <mergeCell ref="BE20:BJ20"/>
    <mergeCell ref="BK20:BN20"/>
    <mergeCell ref="B20:G20"/>
    <mergeCell ref="H20:K20"/>
    <mergeCell ref="M20:R20"/>
    <mergeCell ref="S20:V20"/>
    <mergeCell ref="X20:AC20"/>
    <mergeCell ref="AD20:AG20"/>
    <mergeCell ref="AI19:AN19"/>
    <mergeCell ref="AO19:AR19"/>
    <mergeCell ref="AT19:AY19"/>
    <mergeCell ref="AZ19:BC19"/>
    <mergeCell ref="BE19:BJ19"/>
    <mergeCell ref="BK19:BN19"/>
    <mergeCell ref="B19:G19"/>
    <mergeCell ref="H19:K19"/>
    <mergeCell ref="M19:R19"/>
    <mergeCell ref="S19:V19"/>
    <mergeCell ref="X19:AC19"/>
    <mergeCell ref="AD19:AG19"/>
    <mergeCell ref="M5:BN5"/>
    <mergeCell ref="B5:K5"/>
    <mergeCell ref="A1:BN4"/>
    <mergeCell ref="BE8:BH8"/>
    <mergeCell ref="BI8:BN8"/>
    <mergeCell ref="AT9:BC9"/>
    <mergeCell ref="BE9:BN9"/>
    <mergeCell ref="B18:K18"/>
    <mergeCell ref="M18:V18"/>
    <mergeCell ref="X18:AG18"/>
    <mergeCell ref="AI18:AR18"/>
    <mergeCell ref="AT18:BC18"/>
    <mergeCell ref="BE18:BN18"/>
    <mergeCell ref="B8:D8"/>
    <mergeCell ref="M8:O8"/>
    <mergeCell ref="P8:V8"/>
    <mergeCell ref="X8:Z8"/>
    <mergeCell ref="AA8:AG8"/>
    <mergeCell ref="AI8:AK8"/>
    <mergeCell ref="AL8:AR8"/>
    <mergeCell ref="AT8:AV8"/>
    <mergeCell ref="AW8:BC8"/>
    <mergeCell ref="X17:AR17"/>
    <mergeCell ref="B7:D7"/>
    <mergeCell ref="E7:K7"/>
    <mergeCell ref="M7:O7"/>
    <mergeCell ref="P7:V7"/>
    <mergeCell ref="X7:Z7"/>
    <mergeCell ref="BI7:BN7"/>
    <mergeCell ref="AA7:AG7"/>
    <mergeCell ref="AI7:AK7"/>
    <mergeCell ref="AL7:AR7"/>
    <mergeCell ref="AT7:AV7"/>
    <mergeCell ref="AW7:BC7"/>
    <mergeCell ref="BE7:BH7"/>
  </mergeCells>
  <printOptions horizontalCentered="1" verticalCentered="1"/>
  <pageMargins left="0.23622047244094491" right="0.23622047244094491" top="0.23622047244094491" bottom="0.23622047244094491" header="0.23622047244094491" footer="0.23622047244094491"/>
  <pageSetup paperSize="9" scale="8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S258"/>
  <sheetViews>
    <sheetView showGridLines="0" view="pageBreakPreview" zoomScaleSheetLayoutView="100" workbookViewId="0">
      <selection activeCell="AB19" sqref="AB19"/>
    </sheetView>
  </sheetViews>
  <sheetFormatPr defaultColWidth="9.140625" defaultRowHeight="8.25" x14ac:dyDescent="0.25"/>
  <cols>
    <col min="1" max="1" width="0.28515625" style="2" customWidth="1"/>
    <col min="2" max="9" width="1.7109375" style="2" customWidth="1"/>
    <col min="10" max="10" width="2" style="2" customWidth="1"/>
    <col min="11" max="12" width="1.7109375" style="2" customWidth="1"/>
    <col min="13" max="13" width="2.85546875" style="2" customWidth="1"/>
    <col min="14" max="14" width="1.7109375" style="2" customWidth="1"/>
    <col min="15" max="15" width="0.28515625" style="2" customWidth="1"/>
    <col min="16" max="25" width="1.7109375" style="2" customWidth="1"/>
    <col min="26" max="27" width="2.42578125" style="2" customWidth="1"/>
    <col min="28" max="28" width="1.7109375" style="2" customWidth="1"/>
    <col min="29" max="29" width="0.28515625" style="2" customWidth="1"/>
    <col min="30" max="37" width="1.7109375" style="2" customWidth="1"/>
    <col min="38" max="38" width="2.28515625" style="2" customWidth="1"/>
    <col min="39" max="39" width="1.7109375" style="2" customWidth="1"/>
    <col min="40" max="41" width="2.140625" style="2" customWidth="1"/>
    <col min="42" max="42" width="1.7109375" style="2" customWidth="1"/>
    <col min="43" max="43" width="0.28515625" style="2" customWidth="1"/>
    <col min="44" max="51" width="1.7109375" style="2" customWidth="1"/>
    <col min="52" max="52" width="2.5703125" style="2" customWidth="1"/>
    <col min="53" max="54" width="1.7109375" style="2" customWidth="1"/>
    <col min="55" max="55" width="2.85546875" style="2" customWidth="1"/>
    <col min="56" max="56" width="1.7109375" style="2" customWidth="1"/>
    <col min="57" max="57" width="0.28515625" style="2" customWidth="1"/>
    <col min="58" max="64" width="1.7109375" style="2" customWidth="1"/>
    <col min="65" max="65" width="1.85546875" style="2" customWidth="1"/>
    <col min="66" max="67" width="1.7109375" style="2" customWidth="1"/>
    <col min="68" max="68" width="2.5703125" style="2" customWidth="1"/>
    <col min="69" max="70" width="1.7109375" style="2" customWidth="1"/>
    <col min="71" max="71" width="0.28515625" style="2" customWidth="1"/>
    <col min="72" max="16384" width="9.140625" style="2"/>
  </cols>
  <sheetData>
    <row r="1" spans="1:71" ht="19.5" customHeight="1" x14ac:dyDescent="0.25">
      <c r="A1" s="394" t="s">
        <v>830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  <c r="Y1" s="395"/>
      <c r="Z1" s="395"/>
      <c r="AA1" s="395"/>
      <c r="AB1" s="395"/>
      <c r="AC1" s="395"/>
      <c r="AD1" s="395"/>
      <c r="AE1" s="395"/>
      <c r="AF1" s="395"/>
      <c r="AG1" s="395"/>
      <c r="AH1" s="395"/>
      <c r="AI1" s="395"/>
      <c r="AJ1" s="395"/>
      <c r="AK1" s="395"/>
      <c r="AL1" s="395"/>
      <c r="AM1" s="395"/>
      <c r="AN1" s="395"/>
      <c r="AO1" s="395"/>
      <c r="AP1" s="395"/>
      <c r="AQ1" s="395"/>
      <c r="AR1" s="395"/>
      <c r="AS1" s="395"/>
      <c r="AT1" s="395"/>
      <c r="AU1" s="395"/>
      <c r="AV1" s="395"/>
      <c r="AW1" s="395"/>
      <c r="AX1" s="395"/>
      <c r="AY1" s="395"/>
      <c r="AZ1" s="395"/>
      <c r="BA1" s="395"/>
      <c r="BB1" s="395"/>
      <c r="BC1" s="395"/>
      <c r="BD1" s="395"/>
      <c r="BE1" s="395"/>
      <c r="BF1" s="395"/>
      <c r="BG1" s="395"/>
      <c r="BH1" s="395"/>
      <c r="BI1" s="395"/>
      <c r="BJ1" s="395"/>
      <c r="BK1" s="395"/>
      <c r="BL1" s="395"/>
      <c r="BM1" s="395"/>
      <c r="BN1" s="395"/>
      <c r="BO1" s="395"/>
      <c r="BP1" s="395"/>
      <c r="BQ1" s="395"/>
      <c r="BR1" s="396"/>
      <c r="BS1" s="43"/>
    </row>
    <row r="2" spans="1:71" ht="19.5" customHeight="1" x14ac:dyDescent="0.25">
      <c r="A2" s="397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251"/>
      <c r="BN2" s="251"/>
      <c r="BO2" s="251"/>
      <c r="BP2" s="251"/>
      <c r="BQ2" s="251"/>
      <c r="BR2" s="252"/>
      <c r="BS2" s="51"/>
    </row>
    <row r="3" spans="1:71" ht="19.5" customHeight="1" x14ac:dyDescent="0.25">
      <c r="A3" s="397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251"/>
      <c r="BM3" s="251"/>
      <c r="BN3" s="251"/>
      <c r="BO3" s="251"/>
      <c r="BP3" s="251"/>
      <c r="BQ3" s="251"/>
      <c r="BR3" s="252"/>
      <c r="BS3" s="51"/>
    </row>
    <row r="4" spans="1:71" ht="19.5" customHeight="1" x14ac:dyDescent="0.25">
      <c r="A4" s="397"/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2"/>
      <c r="BS4" s="51"/>
    </row>
    <row r="5" spans="1:71" ht="18" customHeight="1" x14ac:dyDescent="0.25">
      <c r="A5" s="46"/>
      <c r="B5" s="332">
        <v>1.4</v>
      </c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46"/>
      <c r="P5" s="331" t="s">
        <v>324</v>
      </c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275"/>
      <c r="BS5" s="51"/>
    </row>
    <row r="6" spans="1:71" hidden="1" x14ac:dyDescent="0.25">
      <c r="A6" s="46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51"/>
    </row>
    <row r="7" spans="1:71" hidden="1" x14ac:dyDescent="0.25">
      <c r="A7" s="46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51"/>
    </row>
    <row r="8" spans="1:71" s="15" customFormat="1" ht="2.1" customHeight="1" x14ac:dyDescent="0.25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22"/>
      <c r="O8" s="22"/>
      <c r="P8" s="22"/>
      <c r="Q8" s="22"/>
      <c r="R8" s="19"/>
      <c r="S8" s="19"/>
      <c r="T8" s="19"/>
      <c r="U8" s="19"/>
      <c r="V8" s="19"/>
      <c r="W8" s="19"/>
      <c r="X8" s="19"/>
      <c r="Y8" s="22"/>
      <c r="Z8" s="22"/>
      <c r="AA8" s="22"/>
      <c r="AB8" s="22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22"/>
      <c r="AZ8" s="22"/>
      <c r="BA8" s="22"/>
      <c r="BB8" s="22"/>
      <c r="BC8" s="22"/>
      <c r="BD8" s="22"/>
      <c r="BE8" s="22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20"/>
    </row>
    <row r="9" spans="1:71" s="15" customFormat="1" ht="18" customHeight="1" x14ac:dyDescent="0.25">
      <c r="A9" s="442" t="s">
        <v>737</v>
      </c>
      <c r="B9" s="442"/>
      <c r="C9" s="442"/>
      <c r="D9" s="442"/>
      <c r="E9" s="442"/>
      <c r="F9" s="442"/>
      <c r="G9" s="442"/>
      <c r="H9" s="442"/>
      <c r="I9" s="442"/>
      <c r="J9" s="442"/>
      <c r="K9" s="442"/>
      <c r="L9" s="442"/>
      <c r="M9" s="442"/>
      <c r="N9" s="442"/>
      <c r="O9" s="442"/>
      <c r="P9" s="442"/>
      <c r="Q9" s="442"/>
      <c r="R9" s="442"/>
      <c r="S9" s="442"/>
      <c r="T9" s="442"/>
      <c r="U9" s="442"/>
      <c r="V9" s="442"/>
      <c r="W9" s="442"/>
      <c r="X9" s="442"/>
      <c r="Y9" s="442"/>
      <c r="Z9" s="442"/>
      <c r="AA9" s="442"/>
      <c r="AB9" s="442"/>
      <c r="AC9" s="442"/>
      <c r="AD9" s="442"/>
      <c r="AE9" s="442"/>
      <c r="AF9" s="442"/>
      <c r="AG9" s="442"/>
      <c r="AH9" s="442"/>
      <c r="AI9" s="442"/>
      <c r="AJ9" s="442"/>
      <c r="AK9" s="442"/>
      <c r="AL9" s="442"/>
      <c r="AM9" s="442"/>
      <c r="AN9" s="442"/>
      <c r="AO9" s="442"/>
      <c r="AP9" s="442"/>
      <c r="AQ9" s="442"/>
      <c r="AR9" s="442"/>
      <c r="AS9" s="442"/>
      <c r="AT9" s="442"/>
      <c r="AU9" s="442"/>
      <c r="AV9" s="442"/>
      <c r="AW9" s="442"/>
      <c r="AX9" s="442"/>
      <c r="AY9" s="442"/>
      <c r="AZ9" s="442"/>
      <c r="BA9" s="442"/>
      <c r="BB9" s="442"/>
      <c r="BC9" s="442"/>
      <c r="BD9" s="442"/>
      <c r="BE9" s="442"/>
      <c r="BF9" s="442"/>
      <c r="BG9" s="442"/>
      <c r="BH9" s="442"/>
      <c r="BI9" s="442"/>
      <c r="BJ9" s="442"/>
      <c r="BK9" s="442"/>
      <c r="BL9" s="442"/>
      <c r="BM9" s="442"/>
      <c r="BN9" s="442"/>
      <c r="BO9" s="442"/>
      <c r="BP9" s="442"/>
      <c r="BQ9" s="442"/>
      <c r="BR9" s="442"/>
      <c r="BS9" s="20"/>
    </row>
    <row r="10" spans="1:71" s="16" customFormat="1" ht="9" customHeight="1" x14ac:dyDescent="0.25">
      <c r="A10" s="52"/>
      <c r="B10" s="439" t="s">
        <v>343</v>
      </c>
      <c r="C10" s="440"/>
      <c r="D10" s="440"/>
      <c r="E10" s="441"/>
      <c r="F10" s="415"/>
      <c r="G10" s="416"/>
      <c r="H10" s="416"/>
      <c r="I10" s="416"/>
      <c r="J10" s="416"/>
      <c r="K10" s="416"/>
      <c r="L10" s="416"/>
      <c r="M10" s="416"/>
      <c r="N10" s="417"/>
      <c r="O10" s="164"/>
      <c r="P10" s="439" t="s">
        <v>641</v>
      </c>
      <c r="Q10" s="440"/>
      <c r="R10" s="440"/>
      <c r="S10" s="441"/>
      <c r="T10" s="220"/>
      <c r="U10" s="220"/>
      <c r="V10" s="220"/>
      <c r="W10" s="220"/>
      <c r="X10" s="220"/>
      <c r="Y10" s="220"/>
      <c r="Z10" s="220"/>
      <c r="AA10" s="220"/>
      <c r="AB10" s="221"/>
      <c r="AC10" s="164"/>
      <c r="AD10" s="439" t="s">
        <v>642</v>
      </c>
      <c r="AE10" s="440"/>
      <c r="AF10" s="440"/>
      <c r="AG10" s="441"/>
      <c r="AH10" s="220"/>
      <c r="AI10" s="220"/>
      <c r="AJ10" s="220"/>
      <c r="AK10" s="220"/>
      <c r="AL10" s="220"/>
      <c r="AM10" s="220"/>
      <c r="AN10" s="220"/>
      <c r="AO10" s="220"/>
      <c r="AP10" s="221"/>
      <c r="AQ10" s="164"/>
      <c r="AR10" s="439" t="s">
        <v>344</v>
      </c>
      <c r="AS10" s="440"/>
      <c r="AT10" s="440"/>
      <c r="AU10" s="441"/>
      <c r="AV10" s="436" t="s">
        <v>648</v>
      </c>
      <c r="AW10" s="437"/>
      <c r="AX10" s="437"/>
      <c r="AY10" s="437"/>
      <c r="AZ10" s="437"/>
      <c r="BA10" s="437"/>
      <c r="BB10" s="437"/>
      <c r="BC10" s="437"/>
      <c r="BD10" s="438"/>
      <c r="BE10" s="164"/>
      <c r="BF10" s="439" t="s">
        <v>345</v>
      </c>
      <c r="BG10" s="440"/>
      <c r="BH10" s="440"/>
      <c r="BI10" s="441"/>
      <c r="BJ10" s="220"/>
      <c r="BK10" s="220"/>
      <c r="BL10" s="220"/>
      <c r="BM10" s="220"/>
      <c r="BN10" s="220"/>
      <c r="BO10" s="220"/>
      <c r="BP10" s="220"/>
      <c r="BQ10" s="220"/>
      <c r="BR10" s="221"/>
      <c r="BS10" s="50"/>
    </row>
    <row r="11" spans="1:71" s="49" customFormat="1" ht="9" customHeight="1" x14ac:dyDescent="0.25">
      <c r="A11" s="47"/>
      <c r="B11" s="165"/>
      <c r="C11" s="166"/>
      <c r="D11" s="166"/>
      <c r="E11" s="166"/>
      <c r="F11" s="166"/>
      <c r="G11" s="166"/>
      <c r="H11" s="166"/>
      <c r="I11" s="166"/>
      <c r="J11" s="166"/>
      <c r="K11" s="166"/>
      <c r="L11" s="166"/>
      <c r="M11" s="166"/>
      <c r="N11" s="167"/>
      <c r="O11" s="166"/>
      <c r="P11" s="165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7"/>
      <c r="AC11" s="166"/>
      <c r="AD11" s="165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7"/>
      <c r="AQ11" s="166"/>
      <c r="AR11" s="165"/>
      <c r="AS11" s="166"/>
      <c r="AT11" s="166"/>
      <c r="AU11" s="166"/>
      <c r="AV11" s="166"/>
      <c r="AW11" s="166"/>
      <c r="AX11" s="166"/>
      <c r="AY11" s="166"/>
      <c r="AZ11" s="166"/>
      <c r="BA11" s="166"/>
      <c r="BB11" s="166"/>
      <c r="BC11" s="166"/>
      <c r="BD11" s="167"/>
      <c r="BE11" s="166"/>
      <c r="BF11" s="165"/>
      <c r="BG11" s="166"/>
      <c r="BH11" s="166"/>
      <c r="BI11" s="166"/>
      <c r="BJ11" s="166"/>
      <c r="BK11" s="166"/>
      <c r="BL11" s="166"/>
      <c r="BM11" s="166"/>
      <c r="BN11" s="166"/>
      <c r="BO11" s="166"/>
      <c r="BP11" s="166"/>
      <c r="BQ11" s="166"/>
      <c r="BR11" s="167"/>
      <c r="BS11" s="48"/>
    </row>
    <row r="12" spans="1:71" s="15" customFormat="1" ht="9" customHeight="1" x14ac:dyDescent="0.25">
      <c r="A12" s="18"/>
      <c r="B12" s="165"/>
      <c r="C12" s="166"/>
      <c r="D12" s="166"/>
      <c r="E12" s="166"/>
      <c r="F12" s="166"/>
      <c r="G12" s="166"/>
      <c r="H12" s="166"/>
      <c r="I12" s="166"/>
      <c r="J12" s="166"/>
      <c r="K12" s="166"/>
      <c r="L12" s="166"/>
      <c r="M12" s="166"/>
      <c r="N12" s="167"/>
      <c r="O12" s="166"/>
      <c r="P12" s="165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7"/>
      <c r="AC12" s="166"/>
      <c r="AD12" s="165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7"/>
      <c r="AQ12" s="166"/>
      <c r="AR12" s="165"/>
      <c r="AS12" s="166"/>
      <c r="AT12" s="166"/>
      <c r="AU12" s="166"/>
      <c r="AV12" s="166"/>
      <c r="AW12" s="166"/>
      <c r="AX12" s="166"/>
      <c r="AY12" s="166"/>
      <c r="AZ12" s="166"/>
      <c r="BA12" s="166"/>
      <c r="BB12" s="166"/>
      <c r="BC12" s="166"/>
      <c r="BD12" s="167"/>
      <c r="BE12" s="166"/>
      <c r="BF12" s="165"/>
      <c r="BG12" s="166"/>
      <c r="BH12" s="166"/>
      <c r="BI12" s="166"/>
      <c r="BJ12" s="166"/>
      <c r="BK12" s="166"/>
      <c r="BL12" s="166"/>
      <c r="BM12" s="166"/>
      <c r="BN12" s="166"/>
      <c r="BO12" s="166"/>
      <c r="BP12" s="166"/>
      <c r="BQ12" s="166"/>
      <c r="BR12" s="167"/>
      <c r="BS12" s="20"/>
    </row>
    <row r="13" spans="1:71" s="15" customFormat="1" ht="9" customHeight="1" x14ac:dyDescent="0.25">
      <c r="A13" s="18"/>
      <c r="B13" s="165"/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6"/>
      <c r="N13" s="167"/>
      <c r="O13" s="166"/>
      <c r="P13" s="165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7"/>
      <c r="AC13" s="166"/>
      <c r="AD13" s="165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7"/>
      <c r="AQ13" s="166"/>
      <c r="AR13" s="165"/>
      <c r="AS13" s="166"/>
      <c r="AT13" s="166"/>
      <c r="AU13" s="166"/>
      <c r="AV13" s="166"/>
      <c r="AW13" s="166"/>
      <c r="AX13" s="166"/>
      <c r="AY13" s="166"/>
      <c r="AZ13" s="166"/>
      <c r="BA13" s="166"/>
      <c r="BB13" s="166"/>
      <c r="BC13" s="166"/>
      <c r="BD13" s="167"/>
      <c r="BE13" s="166"/>
      <c r="BF13" s="165"/>
      <c r="BG13" s="166"/>
      <c r="BH13" s="166"/>
      <c r="BI13" s="166"/>
      <c r="BJ13" s="166"/>
      <c r="BK13" s="166"/>
      <c r="BL13" s="166"/>
      <c r="BM13" s="166"/>
      <c r="BN13" s="166"/>
      <c r="BO13" s="166"/>
      <c r="BP13" s="166"/>
      <c r="BQ13" s="166"/>
      <c r="BR13" s="167"/>
      <c r="BS13" s="20"/>
    </row>
    <row r="14" spans="1:71" s="15" customFormat="1" ht="9" customHeight="1" x14ac:dyDescent="0.25">
      <c r="A14" s="18"/>
      <c r="B14" s="165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67"/>
      <c r="O14" s="166"/>
      <c r="P14" s="165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7"/>
      <c r="AC14" s="166"/>
      <c r="AD14" s="165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7"/>
      <c r="AQ14" s="166"/>
      <c r="AR14" s="165"/>
      <c r="AS14" s="166"/>
      <c r="AT14" s="166"/>
      <c r="AU14" s="166"/>
      <c r="AV14" s="166"/>
      <c r="AW14" s="166"/>
      <c r="AX14" s="166"/>
      <c r="AY14" s="166"/>
      <c r="AZ14" s="166"/>
      <c r="BA14" s="166"/>
      <c r="BB14" s="166"/>
      <c r="BC14" s="166"/>
      <c r="BD14" s="167"/>
      <c r="BE14" s="166"/>
      <c r="BF14" s="165"/>
      <c r="BG14" s="166"/>
      <c r="BH14" s="166"/>
      <c r="BI14" s="166"/>
      <c r="BJ14" s="166"/>
      <c r="BK14" s="166"/>
      <c r="BL14" s="166"/>
      <c r="BM14" s="166"/>
      <c r="BN14" s="166"/>
      <c r="BO14" s="166"/>
      <c r="BP14" s="166"/>
      <c r="BQ14" s="166"/>
      <c r="BR14" s="167"/>
      <c r="BS14" s="20"/>
    </row>
    <row r="15" spans="1:71" s="15" customFormat="1" ht="9" customHeight="1" x14ac:dyDescent="0.25">
      <c r="A15" s="18"/>
      <c r="B15" s="165"/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M15" s="166"/>
      <c r="N15" s="167"/>
      <c r="O15" s="166"/>
      <c r="P15" s="165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7"/>
      <c r="AC15" s="166"/>
      <c r="AD15" s="165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7"/>
      <c r="AQ15" s="166"/>
      <c r="AR15" s="165"/>
      <c r="AS15" s="166"/>
      <c r="AT15" s="166"/>
      <c r="AU15" s="166"/>
      <c r="AV15" s="166"/>
      <c r="AW15" s="166"/>
      <c r="AX15" s="166"/>
      <c r="AY15" s="166"/>
      <c r="AZ15" s="166"/>
      <c r="BA15" s="166"/>
      <c r="BB15" s="166"/>
      <c r="BC15" s="166"/>
      <c r="BD15" s="167"/>
      <c r="BE15" s="166"/>
      <c r="BF15" s="165"/>
      <c r="BG15" s="166"/>
      <c r="BH15" s="166"/>
      <c r="BI15" s="166"/>
      <c r="BJ15" s="166"/>
      <c r="BK15" s="166"/>
      <c r="BL15" s="166"/>
      <c r="BM15" s="166"/>
      <c r="BN15" s="166"/>
      <c r="BO15" s="166"/>
      <c r="BP15" s="166"/>
      <c r="BQ15" s="166"/>
      <c r="BR15" s="167"/>
      <c r="BS15" s="20"/>
    </row>
    <row r="16" spans="1:71" s="15" customFormat="1" ht="9" customHeight="1" x14ac:dyDescent="0.25">
      <c r="A16" s="18"/>
      <c r="B16" s="165"/>
      <c r="C16" s="166"/>
      <c r="D16" s="166"/>
      <c r="E16" s="166"/>
      <c r="F16" s="166"/>
      <c r="G16" s="166"/>
      <c r="H16" s="166"/>
      <c r="I16" s="166"/>
      <c r="J16" s="166"/>
      <c r="K16" s="166"/>
      <c r="L16" s="166"/>
      <c r="M16" s="166"/>
      <c r="N16" s="167"/>
      <c r="O16" s="166"/>
      <c r="P16" s="165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7"/>
      <c r="AC16" s="166"/>
      <c r="AD16" s="165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7"/>
      <c r="AQ16" s="166"/>
      <c r="AR16" s="165"/>
      <c r="AS16" s="166"/>
      <c r="AT16" s="166"/>
      <c r="AU16" s="166"/>
      <c r="AV16" s="166"/>
      <c r="AW16" s="166"/>
      <c r="AX16" s="166"/>
      <c r="AY16" s="166"/>
      <c r="AZ16" s="166"/>
      <c r="BA16" s="166"/>
      <c r="BB16" s="166"/>
      <c r="BC16" s="166"/>
      <c r="BD16" s="167"/>
      <c r="BE16" s="166"/>
      <c r="BF16" s="165"/>
      <c r="BG16" s="166"/>
      <c r="BH16" s="166"/>
      <c r="BI16" s="166"/>
      <c r="BJ16" s="166"/>
      <c r="BK16" s="166"/>
      <c r="BL16" s="166"/>
      <c r="BM16" s="166"/>
      <c r="BN16" s="166"/>
      <c r="BO16" s="166"/>
      <c r="BP16" s="166"/>
      <c r="BQ16" s="166"/>
      <c r="BR16" s="167"/>
      <c r="BS16" s="20"/>
    </row>
    <row r="17" spans="1:71" s="15" customFormat="1" ht="9" customHeight="1" x14ac:dyDescent="0.25">
      <c r="A17" s="18"/>
      <c r="B17" s="165"/>
      <c r="C17" s="166"/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7"/>
      <c r="O17" s="166"/>
      <c r="P17" s="165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7"/>
      <c r="AC17" s="166"/>
      <c r="AD17" s="165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7"/>
      <c r="AQ17" s="166"/>
      <c r="AR17" s="165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  <c r="BD17" s="167"/>
      <c r="BE17" s="166"/>
      <c r="BF17" s="165"/>
      <c r="BG17" s="166"/>
      <c r="BH17" s="166"/>
      <c r="BI17" s="166"/>
      <c r="BJ17" s="166"/>
      <c r="BK17" s="166"/>
      <c r="BL17" s="166"/>
      <c r="BM17" s="166"/>
      <c r="BN17" s="166"/>
      <c r="BO17" s="166"/>
      <c r="BP17" s="166"/>
      <c r="BQ17" s="166"/>
      <c r="BR17" s="167"/>
      <c r="BS17" s="20"/>
    </row>
    <row r="18" spans="1:71" s="15" customFormat="1" ht="9" customHeight="1" x14ac:dyDescent="0.25">
      <c r="A18" s="18"/>
      <c r="B18" s="165"/>
      <c r="C18" s="166"/>
      <c r="D18" s="166"/>
      <c r="E18" s="166"/>
      <c r="F18" s="166"/>
      <c r="G18" s="166"/>
      <c r="H18" s="166"/>
      <c r="I18" s="166"/>
      <c r="J18" s="166"/>
      <c r="K18" s="166"/>
      <c r="L18" s="166"/>
      <c r="M18" s="166"/>
      <c r="N18" s="167"/>
      <c r="O18" s="166"/>
      <c r="P18" s="165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7"/>
      <c r="AC18" s="166"/>
      <c r="AD18" s="165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7"/>
      <c r="AQ18" s="166"/>
      <c r="AR18" s="165"/>
      <c r="AS18" s="166"/>
      <c r="AT18" s="166"/>
      <c r="AU18" s="166"/>
      <c r="AV18" s="166"/>
      <c r="AW18" s="166"/>
      <c r="AX18" s="166"/>
      <c r="AY18" s="166"/>
      <c r="AZ18" s="166"/>
      <c r="BA18" s="166"/>
      <c r="BB18" s="166"/>
      <c r="BC18" s="166"/>
      <c r="BD18" s="167"/>
      <c r="BE18" s="166"/>
      <c r="BF18" s="165"/>
      <c r="BG18" s="166"/>
      <c r="BH18" s="166"/>
      <c r="BI18" s="166"/>
      <c r="BJ18" s="166"/>
      <c r="BK18" s="166"/>
      <c r="BL18" s="166"/>
      <c r="BM18" s="166"/>
      <c r="BN18" s="166"/>
      <c r="BO18" s="166"/>
      <c r="BP18" s="166"/>
      <c r="BQ18" s="166"/>
      <c r="BR18" s="167"/>
      <c r="BS18" s="20"/>
    </row>
    <row r="19" spans="1:71" s="15" customFormat="1" ht="9" customHeight="1" x14ac:dyDescent="0.25">
      <c r="A19" s="18"/>
      <c r="B19" s="165"/>
      <c r="C19" s="166"/>
      <c r="D19" s="166"/>
      <c r="E19" s="166"/>
      <c r="F19" s="166"/>
      <c r="G19" s="166"/>
      <c r="H19" s="166"/>
      <c r="I19" s="166"/>
      <c r="J19" s="166"/>
      <c r="K19" s="166"/>
      <c r="L19" s="166"/>
      <c r="M19" s="166"/>
      <c r="N19" s="167"/>
      <c r="O19" s="166"/>
      <c r="P19" s="165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7"/>
      <c r="AC19" s="166"/>
      <c r="AD19" s="165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7"/>
      <c r="AQ19" s="166"/>
      <c r="AR19" s="398" t="s">
        <v>643</v>
      </c>
      <c r="AS19" s="399"/>
      <c r="AT19" s="399"/>
      <c r="AU19" s="399"/>
      <c r="AV19" s="399"/>
      <c r="AW19" s="399"/>
      <c r="AX19" s="399"/>
      <c r="AY19" s="399"/>
      <c r="AZ19" s="399"/>
      <c r="BA19" s="399"/>
      <c r="BB19" s="399"/>
      <c r="BC19" s="399"/>
      <c r="BD19" s="400"/>
      <c r="BE19" s="166"/>
      <c r="BF19" s="165"/>
      <c r="BG19" s="166"/>
      <c r="BH19" s="166"/>
      <c r="BI19" s="166"/>
      <c r="BJ19" s="166"/>
      <c r="BK19" s="166"/>
      <c r="BL19" s="166"/>
      <c r="BM19" s="166"/>
      <c r="BN19" s="166"/>
      <c r="BO19" s="166"/>
      <c r="BP19" s="166"/>
      <c r="BQ19" s="166"/>
      <c r="BR19" s="167"/>
      <c r="BS19" s="20"/>
    </row>
    <row r="20" spans="1:71" s="15" customFormat="1" ht="9" customHeight="1" x14ac:dyDescent="0.25">
      <c r="A20" s="18"/>
      <c r="B20" s="398" t="s">
        <v>643</v>
      </c>
      <c r="C20" s="399"/>
      <c r="D20" s="399"/>
      <c r="E20" s="399"/>
      <c r="F20" s="399"/>
      <c r="G20" s="399"/>
      <c r="H20" s="399"/>
      <c r="I20" s="399"/>
      <c r="J20" s="399"/>
      <c r="K20" s="399"/>
      <c r="L20" s="399"/>
      <c r="M20" s="399"/>
      <c r="N20" s="400"/>
      <c r="O20" s="166"/>
      <c r="P20" s="398"/>
      <c r="Q20" s="399"/>
      <c r="R20" s="399"/>
      <c r="S20" s="399"/>
      <c r="T20" s="399"/>
      <c r="U20" s="399"/>
      <c r="V20" s="399"/>
      <c r="W20" s="399"/>
      <c r="X20" s="399"/>
      <c r="Y20" s="399"/>
      <c r="Z20" s="399"/>
      <c r="AA20" s="399"/>
      <c r="AB20" s="400"/>
      <c r="AC20" s="166"/>
      <c r="AD20" s="398"/>
      <c r="AE20" s="399"/>
      <c r="AF20" s="399"/>
      <c r="AG20" s="399"/>
      <c r="AH20" s="399"/>
      <c r="AI20" s="399"/>
      <c r="AJ20" s="399"/>
      <c r="AK20" s="399"/>
      <c r="AL20" s="399"/>
      <c r="AM20" s="399"/>
      <c r="AN20" s="399"/>
      <c r="AO20" s="399"/>
      <c r="AP20" s="400"/>
      <c r="AQ20" s="166"/>
      <c r="AR20" s="132" t="s">
        <v>718</v>
      </c>
      <c r="AS20" s="133"/>
      <c r="AT20" s="133"/>
      <c r="AU20" s="133"/>
      <c r="AV20" s="133"/>
      <c r="AW20" s="133"/>
      <c r="AX20" s="133"/>
      <c r="AY20" s="133"/>
      <c r="AZ20" s="133"/>
      <c r="BA20" s="133"/>
      <c r="BB20" s="133"/>
      <c r="BC20" s="133"/>
      <c r="BD20" s="134"/>
      <c r="BE20" s="166"/>
      <c r="BF20" s="165"/>
      <c r="BG20" s="166"/>
      <c r="BH20" s="166"/>
      <c r="BI20" s="166"/>
      <c r="BJ20" s="166"/>
      <c r="BK20" s="166"/>
      <c r="BL20" s="166"/>
      <c r="BM20" s="166"/>
      <c r="BN20" s="166"/>
      <c r="BO20" s="166"/>
      <c r="BP20" s="166"/>
      <c r="BQ20" s="166"/>
      <c r="BR20" s="167"/>
      <c r="BS20" s="20"/>
    </row>
    <row r="21" spans="1:71" s="15" customFormat="1" ht="9" customHeight="1" x14ac:dyDescent="0.25">
      <c r="A21" s="18"/>
      <c r="B21" s="398" t="s">
        <v>714</v>
      </c>
      <c r="C21" s="399"/>
      <c r="D21" s="399"/>
      <c r="E21" s="399"/>
      <c r="F21" s="399"/>
      <c r="G21" s="399"/>
      <c r="H21" s="399"/>
      <c r="I21" s="399"/>
      <c r="J21" s="399"/>
      <c r="K21" s="399"/>
      <c r="L21" s="399"/>
      <c r="M21" s="399"/>
      <c r="N21" s="400"/>
      <c r="O21" s="166"/>
      <c r="P21" s="398" t="s">
        <v>643</v>
      </c>
      <c r="Q21" s="399"/>
      <c r="R21" s="399"/>
      <c r="S21" s="399"/>
      <c r="T21" s="399"/>
      <c r="U21" s="399"/>
      <c r="V21" s="399"/>
      <c r="W21" s="399"/>
      <c r="X21" s="399"/>
      <c r="Y21" s="399"/>
      <c r="Z21" s="399"/>
      <c r="AA21" s="399"/>
      <c r="AB21" s="400"/>
      <c r="AC21" s="166"/>
      <c r="AD21" s="398" t="s">
        <v>643</v>
      </c>
      <c r="AE21" s="399"/>
      <c r="AF21" s="399"/>
      <c r="AG21" s="399"/>
      <c r="AH21" s="399"/>
      <c r="AI21" s="399"/>
      <c r="AJ21" s="399"/>
      <c r="AK21" s="399"/>
      <c r="AL21" s="399"/>
      <c r="AM21" s="399"/>
      <c r="AN21" s="399"/>
      <c r="AO21" s="399"/>
      <c r="AP21" s="400"/>
      <c r="AQ21" s="166"/>
      <c r="AR21" s="398" t="s">
        <v>714</v>
      </c>
      <c r="AS21" s="399"/>
      <c r="AT21" s="399"/>
      <c r="AU21" s="399"/>
      <c r="AV21" s="399"/>
      <c r="AW21" s="399"/>
      <c r="AX21" s="399"/>
      <c r="AY21" s="399"/>
      <c r="AZ21" s="399"/>
      <c r="BA21" s="399"/>
      <c r="BB21" s="399"/>
      <c r="BC21" s="399"/>
      <c r="BD21" s="400"/>
      <c r="BE21" s="166"/>
      <c r="BF21" s="165"/>
      <c r="BG21" s="166"/>
      <c r="BH21" s="166"/>
      <c r="BI21" s="166"/>
      <c r="BJ21" s="166"/>
      <c r="BK21" s="166"/>
      <c r="BL21" s="166"/>
      <c r="BM21" s="166"/>
      <c r="BN21" s="166"/>
      <c r="BO21" s="166"/>
      <c r="BP21" s="166"/>
      <c r="BQ21" s="166"/>
      <c r="BR21" s="167"/>
      <c r="BS21" s="20"/>
    </row>
    <row r="22" spans="1:71" s="15" customFormat="1" ht="9" customHeight="1" x14ac:dyDescent="0.2">
      <c r="A22" s="18"/>
      <c r="B22" s="401" t="s">
        <v>645</v>
      </c>
      <c r="C22" s="401"/>
      <c r="D22" s="401"/>
      <c r="E22" s="401"/>
      <c r="F22" s="401"/>
      <c r="G22" s="401"/>
      <c r="H22" s="401"/>
      <c r="I22" s="401"/>
      <c r="J22" s="401"/>
      <c r="K22" s="401"/>
      <c r="L22" s="262">
        <f>CEILING(2186*B5,1)</f>
        <v>3061</v>
      </c>
      <c r="M22" s="262"/>
      <c r="N22" s="262"/>
      <c r="O22" s="168"/>
      <c r="P22" s="176" t="s">
        <v>714</v>
      </c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8"/>
      <c r="AC22" s="168"/>
      <c r="AD22" s="176" t="s">
        <v>714</v>
      </c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8"/>
      <c r="AQ22" s="168"/>
      <c r="AR22" s="401" t="s">
        <v>645</v>
      </c>
      <c r="AS22" s="401"/>
      <c r="AT22" s="401"/>
      <c r="AU22" s="401"/>
      <c r="AV22" s="401"/>
      <c r="AW22" s="401"/>
      <c r="AX22" s="401"/>
      <c r="AY22" s="401"/>
      <c r="AZ22" s="401"/>
      <c r="BA22" s="401"/>
      <c r="BB22" s="262">
        <f>CEILING(2501*B5,1)</f>
        <v>3502</v>
      </c>
      <c r="BC22" s="262"/>
      <c r="BD22" s="262"/>
      <c r="BE22" s="168"/>
      <c r="BF22" s="398" t="s">
        <v>644</v>
      </c>
      <c r="BG22" s="399"/>
      <c r="BH22" s="399"/>
      <c r="BI22" s="399"/>
      <c r="BJ22" s="399"/>
      <c r="BK22" s="399"/>
      <c r="BL22" s="399"/>
      <c r="BM22" s="399"/>
      <c r="BN22" s="399"/>
      <c r="BO22" s="399"/>
      <c r="BP22" s="399"/>
      <c r="BQ22" s="399"/>
      <c r="BR22" s="400"/>
      <c r="BS22" s="20"/>
    </row>
    <row r="23" spans="1:71" s="15" customFormat="1" ht="9" customHeight="1" x14ac:dyDescent="0.2">
      <c r="A23" s="18"/>
      <c r="B23" s="401" t="s">
        <v>646</v>
      </c>
      <c r="C23" s="401"/>
      <c r="D23" s="401"/>
      <c r="E23" s="401"/>
      <c r="F23" s="401"/>
      <c r="G23" s="401"/>
      <c r="H23" s="401"/>
      <c r="I23" s="401"/>
      <c r="J23" s="401"/>
      <c r="K23" s="401"/>
      <c r="L23" s="262">
        <f>CEILING(2240*B5,1)</f>
        <v>3136</v>
      </c>
      <c r="M23" s="262"/>
      <c r="N23" s="262"/>
      <c r="O23" s="215"/>
      <c r="P23" s="401" t="s">
        <v>645</v>
      </c>
      <c r="Q23" s="401"/>
      <c r="R23" s="401"/>
      <c r="S23" s="401"/>
      <c r="T23" s="401"/>
      <c r="U23" s="401"/>
      <c r="V23" s="401"/>
      <c r="W23" s="401"/>
      <c r="X23" s="401"/>
      <c r="Y23" s="401"/>
      <c r="Z23" s="262">
        <f>CEILING(2479*B5,1)</f>
        <v>3471</v>
      </c>
      <c r="AA23" s="262"/>
      <c r="AB23" s="262"/>
      <c r="AC23" s="215"/>
      <c r="AD23" s="435" t="s">
        <v>712</v>
      </c>
      <c r="AE23" s="435"/>
      <c r="AF23" s="435"/>
      <c r="AG23" s="435"/>
      <c r="AH23" s="435"/>
      <c r="AI23" s="435"/>
      <c r="AJ23" s="435"/>
      <c r="AK23" s="435"/>
      <c r="AL23" s="435"/>
      <c r="AM23" s="435"/>
      <c r="AN23" s="262">
        <f>CEILING(4169*B5,1)</f>
        <v>5837</v>
      </c>
      <c r="AO23" s="262"/>
      <c r="AP23" s="262"/>
      <c r="AQ23" s="215"/>
      <c r="AR23" s="401" t="s">
        <v>646</v>
      </c>
      <c r="AS23" s="401"/>
      <c r="AT23" s="401"/>
      <c r="AU23" s="401"/>
      <c r="AV23" s="401"/>
      <c r="AW23" s="401"/>
      <c r="AX23" s="401"/>
      <c r="AY23" s="401"/>
      <c r="AZ23" s="401"/>
      <c r="BA23" s="401"/>
      <c r="BB23" s="262">
        <f>CEILING(2591*B5,1)</f>
        <v>3628</v>
      </c>
      <c r="BC23" s="262"/>
      <c r="BD23" s="262"/>
      <c r="BE23" s="168"/>
      <c r="BF23" s="398" t="s">
        <v>714</v>
      </c>
      <c r="BG23" s="399"/>
      <c r="BH23" s="399"/>
      <c r="BI23" s="399"/>
      <c r="BJ23" s="399"/>
      <c r="BK23" s="399"/>
      <c r="BL23" s="399"/>
      <c r="BM23" s="399"/>
      <c r="BN23" s="399"/>
      <c r="BO23" s="399"/>
      <c r="BP23" s="399"/>
      <c r="BQ23" s="399"/>
      <c r="BR23" s="400"/>
      <c r="BS23" s="20"/>
    </row>
    <row r="24" spans="1:71" s="15" customFormat="1" ht="9" customHeight="1" x14ac:dyDescent="0.2">
      <c r="A24" s="18"/>
      <c r="B24" s="401" t="s">
        <v>647</v>
      </c>
      <c r="C24" s="401"/>
      <c r="D24" s="401"/>
      <c r="E24" s="401"/>
      <c r="F24" s="401"/>
      <c r="G24" s="401"/>
      <c r="H24" s="401"/>
      <c r="I24" s="401"/>
      <c r="J24" s="401"/>
      <c r="K24" s="401"/>
      <c r="L24" s="262">
        <f>CEILING(2354*B5,1)</f>
        <v>3296</v>
      </c>
      <c r="M24" s="262"/>
      <c r="N24" s="262"/>
      <c r="O24" s="215"/>
      <c r="P24" s="401" t="s">
        <v>646</v>
      </c>
      <c r="Q24" s="401"/>
      <c r="R24" s="401"/>
      <c r="S24" s="401"/>
      <c r="T24" s="401"/>
      <c r="U24" s="401"/>
      <c r="V24" s="401"/>
      <c r="W24" s="401"/>
      <c r="X24" s="401"/>
      <c r="Y24" s="401"/>
      <c r="Z24" s="262">
        <f>CEILING(2591*B5,1)</f>
        <v>3628</v>
      </c>
      <c r="AA24" s="262"/>
      <c r="AB24" s="262"/>
      <c r="AC24" s="215"/>
      <c r="AD24" s="435" t="s">
        <v>713</v>
      </c>
      <c r="AE24" s="435"/>
      <c r="AF24" s="435"/>
      <c r="AG24" s="435"/>
      <c r="AH24" s="435"/>
      <c r="AI24" s="435"/>
      <c r="AJ24" s="435"/>
      <c r="AK24" s="435"/>
      <c r="AL24" s="435"/>
      <c r="AM24" s="435"/>
      <c r="AN24" s="262">
        <f>CEILING(4430*B5,1)</f>
        <v>6202</v>
      </c>
      <c r="AO24" s="262"/>
      <c r="AP24" s="262"/>
      <c r="AQ24" s="215"/>
      <c r="AR24" s="401" t="s">
        <v>647</v>
      </c>
      <c r="AS24" s="401"/>
      <c r="AT24" s="401"/>
      <c r="AU24" s="401"/>
      <c r="AV24" s="401"/>
      <c r="AW24" s="401"/>
      <c r="AX24" s="401"/>
      <c r="AY24" s="401"/>
      <c r="AZ24" s="401"/>
      <c r="BA24" s="401"/>
      <c r="BB24" s="262">
        <f>CEILING(2682*B5,1)</f>
        <v>3755</v>
      </c>
      <c r="BC24" s="262"/>
      <c r="BD24" s="262"/>
      <c r="BE24" s="217"/>
      <c r="BF24" s="401" t="s">
        <v>649</v>
      </c>
      <c r="BG24" s="401"/>
      <c r="BH24" s="401"/>
      <c r="BI24" s="401"/>
      <c r="BJ24" s="401"/>
      <c r="BK24" s="401"/>
      <c r="BL24" s="401"/>
      <c r="BM24" s="401"/>
      <c r="BN24" s="401"/>
      <c r="BO24" s="401"/>
      <c r="BP24" s="262">
        <f>CEILING(3262*B5,1)</f>
        <v>4567</v>
      </c>
      <c r="BQ24" s="262"/>
      <c r="BR24" s="262"/>
      <c r="BS24" s="20"/>
    </row>
    <row r="25" spans="1:71" s="15" customFormat="1" ht="2.1" customHeight="1" x14ac:dyDescent="0.25">
      <c r="A25" s="18"/>
      <c r="B25" s="166"/>
      <c r="C25" s="166"/>
      <c r="D25" s="166"/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66"/>
      <c r="BS25" s="20"/>
    </row>
    <row r="26" spans="1:71" s="15" customFormat="1" ht="9" customHeight="1" x14ac:dyDescent="0.25">
      <c r="A26" s="18"/>
      <c r="B26" s="409" t="s">
        <v>346</v>
      </c>
      <c r="C26" s="410"/>
      <c r="D26" s="410"/>
      <c r="E26" s="411"/>
      <c r="F26" s="169"/>
      <c r="G26" s="169"/>
      <c r="H26" s="169"/>
      <c r="I26" s="169"/>
      <c r="J26" s="169"/>
      <c r="K26" s="169"/>
      <c r="L26" s="169"/>
      <c r="M26" s="169"/>
      <c r="N26" s="179"/>
      <c r="O26" s="166"/>
      <c r="P26" s="409" t="s">
        <v>347</v>
      </c>
      <c r="Q26" s="410"/>
      <c r="R26" s="410"/>
      <c r="S26" s="411"/>
      <c r="T26" s="169"/>
      <c r="U26" s="169"/>
      <c r="V26" s="169"/>
      <c r="W26" s="169"/>
      <c r="X26" s="169"/>
      <c r="Y26" s="169"/>
      <c r="Z26" s="169"/>
      <c r="AA26" s="169"/>
      <c r="AB26" s="179"/>
      <c r="AC26" s="166"/>
      <c r="AD26" s="409" t="s">
        <v>348</v>
      </c>
      <c r="AE26" s="410"/>
      <c r="AF26" s="410"/>
      <c r="AG26" s="411"/>
      <c r="AH26" s="169"/>
      <c r="AI26" s="169"/>
      <c r="AJ26" s="169"/>
      <c r="AK26" s="169"/>
      <c r="AL26" s="169"/>
      <c r="AM26" s="169"/>
      <c r="AN26" s="169"/>
      <c r="AO26" s="169"/>
      <c r="AP26" s="179"/>
      <c r="AQ26" s="166"/>
      <c r="AR26" s="409" t="s">
        <v>208</v>
      </c>
      <c r="AS26" s="410"/>
      <c r="AT26" s="410"/>
      <c r="AU26" s="411"/>
      <c r="AV26" s="412" t="s">
        <v>655</v>
      </c>
      <c r="AW26" s="413"/>
      <c r="AX26" s="413"/>
      <c r="AY26" s="413"/>
      <c r="AZ26" s="413"/>
      <c r="BA26" s="413"/>
      <c r="BB26" s="413"/>
      <c r="BC26" s="413"/>
      <c r="BD26" s="414"/>
      <c r="BE26" s="166"/>
      <c r="BF26" s="409" t="s">
        <v>351</v>
      </c>
      <c r="BG26" s="410"/>
      <c r="BH26" s="410"/>
      <c r="BI26" s="411"/>
      <c r="BJ26" s="169"/>
      <c r="BK26" s="169"/>
      <c r="BL26" s="169"/>
      <c r="BM26" s="169"/>
      <c r="BN26" s="169"/>
      <c r="BO26" s="169"/>
      <c r="BP26" s="169"/>
      <c r="BQ26" s="169"/>
      <c r="BR26" s="179"/>
      <c r="BS26" s="20"/>
    </row>
    <row r="27" spans="1:71" s="15" customFormat="1" ht="9" customHeight="1" x14ac:dyDescent="0.25">
      <c r="A27" s="18"/>
      <c r="B27" s="165"/>
      <c r="C27" s="166"/>
      <c r="D27" s="166"/>
      <c r="E27" s="166"/>
      <c r="F27" s="166"/>
      <c r="G27" s="166"/>
      <c r="H27" s="166"/>
      <c r="I27" s="166"/>
      <c r="J27" s="166"/>
      <c r="K27" s="166"/>
      <c r="L27" s="166"/>
      <c r="M27" s="166"/>
      <c r="N27" s="167"/>
      <c r="O27" s="166"/>
      <c r="P27" s="165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7"/>
      <c r="AC27" s="166"/>
      <c r="AD27" s="165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7"/>
      <c r="AQ27" s="166"/>
      <c r="AR27" s="165"/>
      <c r="AS27" s="166"/>
      <c r="AT27" s="166"/>
      <c r="AU27" s="166"/>
      <c r="AV27" s="166"/>
      <c r="AW27" s="166"/>
      <c r="AX27" s="166"/>
      <c r="AY27" s="166"/>
      <c r="AZ27" s="166"/>
      <c r="BA27" s="166"/>
      <c r="BB27" s="166"/>
      <c r="BC27" s="166"/>
      <c r="BD27" s="167"/>
      <c r="BE27" s="166"/>
      <c r="BF27" s="165"/>
      <c r="BG27" s="166"/>
      <c r="BH27" s="166"/>
      <c r="BI27" s="166"/>
      <c r="BJ27" s="166"/>
      <c r="BK27" s="166"/>
      <c r="BL27" s="166"/>
      <c r="BM27" s="166"/>
      <c r="BN27" s="166"/>
      <c r="BO27" s="166"/>
      <c r="BP27" s="166"/>
      <c r="BQ27" s="166"/>
      <c r="BR27" s="167"/>
      <c r="BS27" s="20"/>
    </row>
    <row r="28" spans="1:71" s="15" customFormat="1" ht="9" customHeight="1" x14ac:dyDescent="0.25">
      <c r="A28" s="18"/>
      <c r="B28" s="165"/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7"/>
      <c r="O28" s="166"/>
      <c r="P28" s="165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7"/>
      <c r="AC28" s="166"/>
      <c r="AD28" s="165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7"/>
      <c r="AQ28" s="166"/>
      <c r="AR28" s="165"/>
      <c r="AS28" s="166"/>
      <c r="AT28" s="166"/>
      <c r="AU28" s="166"/>
      <c r="AV28" s="166"/>
      <c r="AW28" s="166"/>
      <c r="AX28" s="166"/>
      <c r="AY28" s="166"/>
      <c r="AZ28" s="166"/>
      <c r="BA28" s="166"/>
      <c r="BB28" s="166"/>
      <c r="BC28" s="166"/>
      <c r="BD28" s="167"/>
      <c r="BE28" s="166"/>
      <c r="BF28" s="165"/>
      <c r="BG28" s="166"/>
      <c r="BH28" s="166"/>
      <c r="BI28" s="166"/>
      <c r="BJ28" s="166"/>
      <c r="BK28" s="166"/>
      <c r="BL28" s="166"/>
      <c r="BM28" s="166"/>
      <c r="BN28" s="166"/>
      <c r="BO28" s="166"/>
      <c r="BP28" s="166"/>
      <c r="BQ28" s="166"/>
      <c r="BR28" s="167"/>
      <c r="BS28" s="20"/>
    </row>
    <row r="29" spans="1:71" s="15" customFormat="1" ht="9" customHeight="1" x14ac:dyDescent="0.25">
      <c r="A29" s="18"/>
      <c r="B29" s="165"/>
      <c r="C29" s="166"/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7"/>
      <c r="O29" s="166"/>
      <c r="P29" s="165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7"/>
      <c r="AC29" s="166"/>
      <c r="AD29" s="165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7"/>
      <c r="AQ29" s="166"/>
      <c r="AR29" s="165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7"/>
      <c r="BE29" s="166"/>
      <c r="BF29" s="165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7"/>
      <c r="BS29" s="20"/>
    </row>
    <row r="30" spans="1:71" s="15" customFormat="1" ht="9" customHeight="1" x14ac:dyDescent="0.25">
      <c r="A30" s="18"/>
      <c r="B30" s="165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7"/>
      <c r="O30" s="166"/>
      <c r="P30" s="165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7"/>
      <c r="AC30" s="166"/>
      <c r="AD30" s="165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7"/>
      <c r="AQ30" s="166"/>
      <c r="AR30" s="165"/>
      <c r="AS30" s="166"/>
      <c r="AT30" s="166"/>
      <c r="AU30" s="166"/>
      <c r="AV30" s="166"/>
      <c r="AW30" s="166"/>
      <c r="AX30" s="166"/>
      <c r="AY30" s="166"/>
      <c r="AZ30" s="166"/>
      <c r="BA30" s="166"/>
      <c r="BB30" s="166"/>
      <c r="BC30" s="166"/>
      <c r="BD30" s="167"/>
      <c r="BE30" s="166"/>
      <c r="BF30" s="165"/>
      <c r="BG30" s="166"/>
      <c r="BH30" s="166"/>
      <c r="BI30" s="166"/>
      <c r="BJ30" s="166"/>
      <c r="BK30" s="166"/>
      <c r="BL30" s="166"/>
      <c r="BM30" s="166"/>
      <c r="BN30" s="166"/>
      <c r="BO30" s="166"/>
      <c r="BP30" s="166"/>
      <c r="BQ30" s="166"/>
      <c r="BR30" s="167"/>
      <c r="BS30" s="20"/>
    </row>
    <row r="31" spans="1:71" s="15" customFormat="1" ht="9" customHeight="1" x14ac:dyDescent="0.25">
      <c r="A31" s="18"/>
      <c r="B31" s="165"/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7"/>
      <c r="O31" s="166"/>
      <c r="P31" s="165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7"/>
      <c r="AC31" s="166"/>
      <c r="AD31" s="165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7"/>
      <c r="AQ31" s="166"/>
      <c r="AR31" s="165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166"/>
      <c r="BD31" s="167"/>
      <c r="BE31" s="166"/>
      <c r="BF31" s="165"/>
      <c r="BG31" s="166"/>
      <c r="BH31" s="166"/>
      <c r="BI31" s="166"/>
      <c r="BJ31" s="166"/>
      <c r="BK31" s="166"/>
      <c r="BL31" s="166"/>
      <c r="BM31" s="166"/>
      <c r="BN31" s="166"/>
      <c r="BO31" s="166"/>
      <c r="BP31" s="166"/>
      <c r="BQ31" s="166"/>
      <c r="BR31" s="167"/>
      <c r="BS31" s="20"/>
    </row>
    <row r="32" spans="1:71" s="15" customFormat="1" ht="9" customHeight="1" x14ac:dyDescent="0.25">
      <c r="A32" s="18"/>
      <c r="B32" s="165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7"/>
      <c r="O32" s="166"/>
      <c r="P32" s="165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7"/>
      <c r="AC32" s="166"/>
      <c r="AD32" s="165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7"/>
      <c r="AQ32" s="166"/>
      <c r="AR32" s="165"/>
      <c r="AS32" s="166"/>
      <c r="AT32" s="166"/>
      <c r="AU32" s="166"/>
      <c r="AV32" s="166"/>
      <c r="AW32" s="166"/>
      <c r="AX32" s="166"/>
      <c r="AY32" s="166"/>
      <c r="AZ32" s="166"/>
      <c r="BA32" s="166"/>
      <c r="BB32" s="166"/>
      <c r="BC32" s="166"/>
      <c r="BD32" s="167"/>
      <c r="BE32" s="166"/>
      <c r="BF32" s="165"/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7"/>
      <c r="BS32" s="20"/>
    </row>
    <row r="33" spans="1:71" s="15" customFormat="1" ht="9" customHeight="1" x14ac:dyDescent="0.25">
      <c r="A33" s="18"/>
      <c r="B33" s="165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7"/>
      <c r="O33" s="166"/>
      <c r="P33" s="165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7"/>
      <c r="AC33" s="166"/>
      <c r="AD33" s="165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7"/>
      <c r="AQ33" s="166"/>
      <c r="AR33" s="165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7"/>
      <c r="BE33" s="166"/>
      <c r="BF33" s="165"/>
      <c r="BG33" s="166"/>
      <c r="BH33" s="166"/>
      <c r="BI33" s="166"/>
      <c r="BJ33" s="166"/>
      <c r="BK33" s="166"/>
      <c r="BL33" s="166"/>
      <c r="BM33" s="166"/>
      <c r="BN33" s="166"/>
      <c r="BO33" s="166"/>
      <c r="BP33" s="166"/>
      <c r="BQ33" s="166"/>
      <c r="BR33" s="167"/>
      <c r="BS33" s="20"/>
    </row>
    <row r="34" spans="1:71" s="15" customFormat="1" ht="9" customHeight="1" x14ac:dyDescent="0.25">
      <c r="A34" s="18"/>
      <c r="B34" s="165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7"/>
      <c r="O34" s="166"/>
      <c r="P34" s="165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7"/>
      <c r="AC34" s="166"/>
      <c r="AD34" s="165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7"/>
      <c r="AQ34" s="166"/>
      <c r="AR34" s="165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7"/>
      <c r="BE34" s="166"/>
      <c r="BF34" s="165"/>
      <c r="BG34" s="166"/>
      <c r="BH34" s="166"/>
      <c r="BI34" s="166"/>
      <c r="BJ34" s="166"/>
      <c r="BK34" s="166"/>
      <c r="BL34" s="166"/>
      <c r="BM34" s="166"/>
      <c r="BN34" s="166"/>
      <c r="BO34" s="166"/>
      <c r="BP34" s="166"/>
      <c r="BQ34" s="166"/>
      <c r="BR34" s="167"/>
      <c r="BS34" s="20"/>
    </row>
    <row r="35" spans="1:71" s="15" customFormat="1" ht="9" customHeight="1" x14ac:dyDescent="0.25">
      <c r="A35" s="18"/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7"/>
      <c r="O35" s="166"/>
      <c r="P35" s="165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7"/>
      <c r="AC35" s="166"/>
      <c r="AD35" s="165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7"/>
      <c r="AQ35" s="166"/>
      <c r="AR35" s="165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7"/>
      <c r="BE35" s="166"/>
      <c r="BF35" s="165"/>
      <c r="BG35" s="166"/>
      <c r="BH35" s="166"/>
      <c r="BI35" s="166"/>
      <c r="BJ35" s="166"/>
      <c r="BK35" s="166"/>
      <c r="BL35" s="166"/>
      <c r="BM35" s="166"/>
      <c r="BN35" s="166"/>
      <c r="BO35" s="166"/>
      <c r="BP35" s="166"/>
      <c r="BQ35" s="166"/>
      <c r="BR35" s="167"/>
      <c r="BS35" s="20"/>
    </row>
    <row r="36" spans="1:71" s="15" customFormat="1" ht="9" customHeight="1" x14ac:dyDescent="0.25">
      <c r="A36" s="18"/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7"/>
      <c r="O36" s="166"/>
      <c r="P36" s="165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7"/>
      <c r="AC36" s="166"/>
      <c r="AD36" s="165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7"/>
      <c r="AQ36" s="166"/>
      <c r="AR36" s="165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7"/>
      <c r="BE36" s="166"/>
      <c r="BF36" s="165"/>
      <c r="BG36" s="166"/>
      <c r="BH36" s="166"/>
      <c r="BI36" s="166"/>
      <c r="BJ36" s="166"/>
      <c r="BK36" s="166"/>
      <c r="BL36" s="166"/>
      <c r="BM36" s="166"/>
      <c r="BN36" s="166"/>
      <c r="BO36" s="166"/>
      <c r="BP36" s="166"/>
      <c r="BQ36" s="166"/>
      <c r="BR36" s="167"/>
      <c r="BS36" s="20"/>
    </row>
    <row r="37" spans="1:71" s="15" customFormat="1" ht="9" customHeight="1" x14ac:dyDescent="0.25">
      <c r="A37" s="18"/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7"/>
      <c r="O37" s="166"/>
      <c r="P37" s="398" t="s">
        <v>650</v>
      </c>
      <c r="Q37" s="399"/>
      <c r="R37" s="399"/>
      <c r="S37" s="399"/>
      <c r="T37" s="399"/>
      <c r="U37" s="399"/>
      <c r="V37" s="399"/>
      <c r="W37" s="399"/>
      <c r="X37" s="399"/>
      <c r="Y37" s="399"/>
      <c r="Z37" s="399"/>
      <c r="AA37" s="399"/>
      <c r="AB37" s="400"/>
      <c r="AC37" s="166"/>
      <c r="AD37" s="398" t="s">
        <v>650</v>
      </c>
      <c r="AE37" s="399"/>
      <c r="AF37" s="399"/>
      <c r="AG37" s="399"/>
      <c r="AH37" s="399"/>
      <c r="AI37" s="399"/>
      <c r="AJ37" s="399"/>
      <c r="AK37" s="399"/>
      <c r="AL37" s="399"/>
      <c r="AM37" s="399"/>
      <c r="AN37" s="399"/>
      <c r="AO37" s="399"/>
      <c r="AP37" s="400"/>
      <c r="AQ37" s="166"/>
      <c r="AR37" s="398" t="s">
        <v>656</v>
      </c>
      <c r="AS37" s="399"/>
      <c r="AT37" s="399"/>
      <c r="AU37" s="399"/>
      <c r="AV37" s="399"/>
      <c r="AW37" s="399"/>
      <c r="AX37" s="399"/>
      <c r="AY37" s="399"/>
      <c r="AZ37" s="399"/>
      <c r="BA37" s="399"/>
      <c r="BB37" s="399"/>
      <c r="BC37" s="399"/>
      <c r="BD37" s="400"/>
      <c r="BE37" s="166"/>
      <c r="BF37" s="165"/>
      <c r="BG37" s="166"/>
      <c r="BH37" s="166"/>
      <c r="BI37" s="166"/>
      <c r="BJ37" s="166"/>
      <c r="BK37" s="166"/>
      <c r="BL37" s="166"/>
      <c r="BM37" s="166"/>
      <c r="BN37" s="166"/>
      <c r="BO37" s="166"/>
      <c r="BP37" s="166"/>
      <c r="BQ37" s="166"/>
      <c r="BR37" s="167"/>
      <c r="BS37" s="20"/>
    </row>
    <row r="38" spans="1:71" s="15" customFormat="1" ht="9" customHeight="1" x14ac:dyDescent="0.25">
      <c r="A38" s="18"/>
      <c r="B38" s="398" t="s">
        <v>650</v>
      </c>
      <c r="C38" s="399"/>
      <c r="D38" s="399"/>
      <c r="E38" s="399"/>
      <c r="F38" s="399"/>
      <c r="G38" s="399"/>
      <c r="H38" s="399"/>
      <c r="I38" s="399"/>
      <c r="J38" s="399"/>
      <c r="K38" s="399"/>
      <c r="L38" s="399"/>
      <c r="M38" s="399"/>
      <c r="N38" s="400"/>
      <c r="O38" s="166"/>
      <c r="P38" s="131" t="s">
        <v>715</v>
      </c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66"/>
      <c r="AD38" s="131" t="s">
        <v>716</v>
      </c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66"/>
      <c r="AR38" s="398" t="s">
        <v>657</v>
      </c>
      <c r="AS38" s="399"/>
      <c r="AT38" s="399"/>
      <c r="AU38" s="399"/>
      <c r="AV38" s="399"/>
      <c r="AW38" s="399"/>
      <c r="AX38" s="400"/>
      <c r="AY38" s="402" t="s">
        <v>651</v>
      </c>
      <c r="AZ38" s="402"/>
      <c r="BA38" s="402"/>
      <c r="BB38" s="402" t="s">
        <v>652</v>
      </c>
      <c r="BC38" s="402"/>
      <c r="BD38" s="402"/>
      <c r="BE38" s="166"/>
      <c r="BF38" s="398"/>
      <c r="BG38" s="399"/>
      <c r="BH38" s="399"/>
      <c r="BI38" s="399"/>
      <c r="BJ38" s="399"/>
      <c r="BK38" s="399"/>
      <c r="BL38" s="399"/>
      <c r="BM38" s="399"/>
      <c r="BN38" s="399"/>
      <c r="BO38" s="399"/>
      <c r="BP38" s="399"/>
      <c r="BQ38" s="399"/>
      <c r="BR38" s="400"/>
      <c r="BS38" s="20"/>
    </row>
    <row r="39" spans="1:71" s="15" customFormat="1" ht="9" customHeight="1" x14ac:dyDescent="0.25">
      <c r="A39" s="18"/>
      <c r="B39" s="398" t="s">
        <v>714</v>
      </c>
      <c r="C39" s="399"/>
      <c r="D39" s="399"/>
      <c r="E39" s="399"/>
      <c r="F39" s="399"/>
      <c r="G39" s="399"/>
      <c r="H39" s="399"/>
      <c r="I39" s="399"/>
      <c r="J39" s="399"/>
      <c r="K39" s="399"/>
      <c r="L39" s="399"/>
      <c r="M39" s="399"/>
      <c r="N39" s="400"/>
      <c r="O39" s="166"/>
      <c r="P39" s="398" t="s">
        <v>714</v>
      </c>
      <c r="Q39" s="399"/>
      <c r="R39" s="399"/>
      <c r="S39" s="399"/>
      <c r="T39" s="399"/>
      <c r="U39" s="399"/>
      <c r="V39" s="399"/>
      <c r="W39" s="399"/>
      <c r="X39" s="399"/>
      <c r="Y39" s="399"/>
      <c r="Z39" s="399"/>
      <c r="AA39" s="399"/>
      <c r="AB39" s="400"/>
      <c r="AC39" s="166"/>
      <c r="AD39" s="398" t="s">
        <v>714</v>
      </c>
      <c r="AE39" s="399"/>
      <c r="AF39" s="399"/>
      <c r="AG39" s="399"/>
      <c r="AH39" s="399"/>
      <c r="AI39" s="399"/>
      <c r="AJ39" s="399"/>
      <c r="AK39" s="399"/>
      <c r="AL39" s="399"/>
      <c r="AM39" s="399"/>
      <c r="AN39" s="399"/>
      <c r="AO39" s="399"/>
      <c r="AP39" s="400"/>
      <c r="AQ39" s="166"/>
      <c r="AR39" s="401" t="s">
        <v>653</v>
      </c>
      <c r="AS39" s="401"/>
      <c r="AT39" s="401"/>
      <c r="AU39" s="401"/>
      <c r="AV39" s="401"/>
      <c r="AW39" s="401"/>
      <c r="AX39" s="401"/>
      <c r="AY39" s="422">
        <f>CEILING(2773*B5,1)</f>
        <v>3883</v>
      </c>
      <c r="AZ39" s="422"/>
      <c r="BA39" s="422"/>
      <c r="BB39" s="262">
        <f>CEILING(3677*B5,1)</f>
        <v>5148</v>
      </c>
      <c r="BC39" s="262"/>
      <c r="BD39" s="262"/>
      <c r="BE39" s="166"/>
      <c r="BF39" s="398" t="s">
        <v>658</v>
      </c>
      <c r="BG39" s="399"/>
      <c r="BH39" s="399"/>
      <c r="BI39" s="399"/>
      <c r="BJ39" s="399"/>
      <c r="BK39" s="399"/>
      <c r="BL39" s="399"/>
      <c r="BM39" s="399"/>
      <c r="BN39" s="399"/>
      <c r="BO39" s="399"/>
      <c r="BP39" s="399"/>
      <c r="BQ39" s="399"/>
      <c r="BR39" s="400"/>
      <c r="BS39" s="20"/>
    </row>
    <row r="40" spans="1:71" s="15" customFormat="1" ht="9" customHeight="1" x14ac:dyDescent="0.15">
      <c r="A40" s="18"/>
      <c r="B40" s="401" t="s">
        <v>722</v>
      </c>
      <c r="C40" s="401"/>
      <c r="D40" s="401"/>
      <c r="E40" s="401"/>
      <c r="F40" s="401"/>
      <c r="G40" s="401"/>
      <c r="H40" s="401"/>
      <c r="I40" s="401"/>
      <c r="J40" s="401"/>
      <c r="K40" s="401"/>
      <c r="L40" s="262">
        <f>CEILING(5488*B5,1)</f>
        <v>7684</v>
      </c>
      <c r="M40" s="262"/>
      <c r="N40" s="262"/>
      <c r="O40" s="215"/>
      <c r="P40" s="401" t="s">
        <v>723</v>
      </c>
      <c r="Q40" s="401"/>
      <c r="R40" s="401"/>
      <c r="S40" s="401"/>
      <c r="T40" s="401"/>
      <c r="U40" s="401"/>
      <c r="V40" s="401"/>
      <c r="W40" s="401"/>
      <c r="X40" s="401"/>
      <c r="Y40" s="401"/>
      <c r="Z40" s="262">
        <f>CEILING(7541*B5,1)</f>
        <v>10558</v>
      </c>
      <c r="AA40" s="262"/>
      <c r="AB40" s="262"/>
      <c r="AC40" s="215"/>
      <c r="AD40" s="401" t="s">
        <v>724</v>
      </c>
      <c r="AE40" s="401"/>
      <c r="AF40" s="401"/>
      <c r="AG40" s="401"/>
      <c r="AH40" s="401"/>
      <c r="AI40" s="401"/>
      <c r="AJ40" s="401"/>
      <c r="AK40" s="401"/>
      <c r="AL40" s="401"/>
      <c r="AM40" s="401"/>
      <c r="AN40" s="262">
        <f>CEILING(13243*B5,1)</f>
        <v>18541</v>
      </c>
      <c r="AO40" s="262"/>
      <c r="AP40" s="262"/>
      <c r="AQ40" s="215"/>
      <c r="AR40" s="401" t="s">
        <v>654</v>
      </c>
      <c r="AS40" s="401"/>
      <c r="AT40" s="401"/>
      <c r="AU40" s="401"/>
      <c r="AV40" s="401"/>
      <c r="AW40" s="401"/>
      <c r="AX40" s="401"/>
      <c r="AY40" s="422">
        <f>CEILING(3374*B5,1)</f>
        <v>4724</v>
      </c>
      <c r="AZ40" s="422"/>
      <c r="BA40" s="422"/>
      <c r="BB40" s="262">
        <f>CEILING(4468*B5,1)</f>
        <v>6256</v>
      </c>
      <c r="BC40" s="262"/>
      <c r="BD40" s="262"/>
      <c r="BE40" s="215"/>
      <c r="BF40" s="401" t="s">
        <v>659</v>
      </c>
      <c r="BG40" s="401"/>
      <c r="BH40" s="401"/>
      <c r="BI40" s="401"/>
      <c r="BJ40" s="401"/>
      <c r="BK40" s="401"/>
      <c r="BL40" s="401"/>
      <c r="BM40" s="401"/>
      <c r="BN40" s="401"/>
      <c r="BO40" s="401"/>
      <c r="BP40" s="262">
        <f>CEILING(1673*B5,1)</f>
        <v>2343</v>
      </c>
      <c r="BQ40" s="262"/>
      <c r="BR40" s="262"/>
      <c r="BS40" s="207"/>
    </row>
    <row r="41" spans="1:71" s="15" customFormat="1" ht="2.1" customHeight="1" x14ac:dyDescent="0.25">
      <c r="A41" s="18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  <c r="BA41" s="166"/>
      <c r="BB41" s="166"/>
      <c r="BC41" s="166"/>
      <c r="BD41" s="166"/>
      <c r="BE41" s="166"/>
      <c r="BF41" s="166"/>
      <c r="BG41" s="166"/>
      <c r="BH41" s="166"/>
      <c r="BI41" s="166"/>
      <c r="BJ41" s="166"/>
      <c r="BK41" s="166"/>
      <c r="BL41" s="166"/>
      <c r="BM41" s="166"/>
      <c r="BN41" s="166"/>
      <c r="BO41" s="166"/>
      <c r="BP41" s="166"/>
      <c r="BQ41" s="166"/>
      <c r="BR41" s="166"/>
      <c r="BS41" s="20"/>
    </row>
    <row r="42" spans="1:71" s="15" customFormat="1" ht="9" customHeight="1" x14ac:dyDescent="0.25">
      <c r="A42" s="18"/>
      <c r="B42" s="409" t="s">
        <v>352</v>
      </c>
      <c r="C42" s="410"/>
      <c r="D42" s="410"/>
      <c r="E42" s="411"/>
      <c r="F42" s="169"/>
      <c r="G42" s="169"/>
      <c r="H42" s="169"/>
      <c r="I42" s="169"/>
      <c r="J42" s="169"/>
      <c r="K42" s="169"/>
      <c r="L42" s="169"/>
      <c r="M42" s="169"/>
      <c r="N42" s="179"/>
      <c r="O42" s="166"/>
      <c r="P42" s="409" t="s">
        <v>353</v>
      </c>
      <c r="Q42" s="410"/>
      <c r="R42" s="410"/>
      <c r="S42" s="411"/>
      <c r="T42" s="169"/>
      <c r="U42" s="169"/>
      <c r="V42" s="169"/>
      <c r="W42" s="169"/>
      <c r="X42" s="169"/>
      <c r="Y42" s="169"/>
      <c r="Z42" s="169"/>
      <c r="AA42" s="169"/>
      <c r="AB42" s="179"/>
      <c r="AC42" s="166"/>
      <c r="AD42" s="409" t="s">
        <v>211</v>
      </c>
      <c r="AE42" s="410"/>
      <c r="AF42" s="410"/>
      <c r="AG42" s="411"/>
      <c r="AH42" s="169"/>
      <c r="AI42" s="169"/>
      <c r="AJ42" s="169"/>
      <c r="AK42" s="169"/>
      <c r="AL42" s="169"/>
      <c r="AM42" s="169"/>
      <c r="AN42" s="169"/>
      <c r="AO42" s="169"/>
      <c r="AP42" s="179"/>
      <c r="AQ42" s="166"/>
      <c r="AR42" s="409" t="s">
        <v>212</v>
      </c>
      <c r="AS42" s="410"/>
      <c r="AT42" s="410"/>
      <c r="AU42" s="411"/>
      <c r="AV42" s="169"/>
      <c r="AW42" s="169"/>
      <c r="AX42" s="169"/>
      <c r="AY42" s="169"/>
      <c r="AZ42" s="169"/>
      <c r="BA42" s="169"/>
      <c r="BB42" s="169"/>
      <c r="BC42" s="169"/>
      <c r="BD42" s="179"/>
      <c r="BE42" s="166"/>
      <c r="BF42" s="409" t="s">
        <v>327</v>
      </c>
      <c r="BG42" s="410"/>
      <c r="BH42" s="410"/>
      <c r="BI42" s="411"/>
      <c r="BJ42" s="169"/>
      <c r="BK42" s="169"/>
      <c r="BL42" s="169"/>
      <c r="BM42" s="169"/>
      <c r="BN42" s="169"/>
      <c r="BO42" s="169"/>
      <c r="BP42" s="169"/>
      <c r="BQ42" s="169"/>
      <c r="BR42" s="179"/>
      <c r="BS42" s="20"/>
    </row>
    <row r="43" spans="1:71" s="49" customFormat="1" ht="9" customHeight="1" x14ac:dyDescent="0.25">
      <c r="A43" s="47"/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7"/>
      <c r="O43" s="166"/>
      <c r="P43" s="165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7"/>
      <c r="AC43" s="166"/>
      <c r="AD43" s="165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7"/>
      <c r="AQ43" s="166"/>
      <c r="AR43" s="165"/>
      <c r="AS43" s="166"/>
      <c r="AT43" s="166"/>
      <c r="AU43" s="166"/>
      <c r="AV43" s="166"/>
      <c r="AW43" s="166"/>
      <c r="AX43" s="166"/>
      <c r="AY43" s="166"/>
      <c r="AZ43" s="166"/>
      <c r="BA43" s="166"/>
      <c r="BB43" s="166"/>
      <c r="BC43" s="166"/>
      <c r="BD43" s="167"/>
      <c r="BE43" s="166"/>
      <c r="BF43" s="165"/>
      <c r="BG43" s="166"/>
      <c r="BH43" s="166"/>
      <c r="BI43" s="166"/>
      <c r="BJ43" s="166"/>
      <c r="BK43" s="166"/>
      <c r="BL43" s="166"/>
      <c r="BM43" s="166"/>
      <c r="BN43" s="166"/>
      <c r="BO43" s="166"/>
      <c r="BP43" s="166"/>
      <c r="BQ43" s="166"/>
      <c r="BR43" s="167"/>
      <c r="BS43" s="48"/>
    </row>
    <row r="44" spans="1:71" s="15" customFormat="1" ht="9" customHeight="1" x14ac:dyDescent="0.25">
      <c r="A44" s="18"/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7"/>
      <c r="O44" s="166"/>
      <c r="P44" s="165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7"/>
      <c r="AC44" s="166"/>
      <c r="AD44" s="165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7"/>
      <c r="AQ44" s="166"/>
      <c r="AR44" s="165"/>
      <c r="AS44" s="166"/>
      <c r="AT44" s="166"/>
      <c r="AU44" s="166"/>
      <c r="AV44" s="166"/>
      <c r="AW44" s="166"/>
      <c r="AX44" s="166"/>
      <c r="AY44" s="166"/>
      <c r="AZ44" s="166"/>
      <c r="BA44" s="166"/>
      <c r="BB44" s="166"/>
      <c r="BC44" s="166"/>
      <c r="BD44" s="167"/>
      <c r="BE44" s="166"/>
      <c r="BF44" s="165"/>
      <c r="BG44" s="166"/>
      <c r="BH44" s="166"/>
      <c r="BI44" s="166"/>
      <c r="BJ44" s="166"/>
      <c r="BK44" s="166"/>
      <c r="BL44" s="166"/>
      <c r="BM44" s="166"/>
      <c r="BN44" s="166"/>
      <c r="BO44" s="166"/>
      <c r="BP44" s="166"/>
      <c r="BQ44" s="166"/>
      <c r="BR44" s="167"/>
      <c r="BS44" s="20"/>
    </row>
    <row r="45" spans="1:71" s="15" customFormat="1" ht="9" customHeight="1" x14ac:dyDescent="0.25">
      <c r="A45" s="18"/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7"/>
      <c r="O45" s="166"/>
      <c r="P45" s="165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7"/>
      <c r="AC45" s="166"/>
      <c r="AD45" s="165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7"/>
      <c r="AQ45" s="166"/>
      <c r="AR45" s="165"/>
      <c r="AS45" s="166"/>
      <c r="AT45" s="166"/>
      <c r="AU45" s="166"/>
      <c r="AV45" s="166"/>
      <c r="AW45" s="166"/>
      <c r="AX45" s="166"/>
      <c r="AY45" s="166"/>
      <c r="AZ45" s="166"/>
      <c r="BA45" s="166"/>
      <c r="BB45" s="166"/>
      <c r="BC45" s="166"/>
      <c r="BD45" s="167"/>
      <c r="BE45" s="166"/>
      <c r="BF45" s="165"/>
      <c r="BG45" s="166"/>
      <c r="BH45" s="166"/>
      <c r="BI45" s="166"/>
      <c r="BJ45" s="166"/>
      <c r="BK45" s="166"/>
      <c r="BL45" s="166"/>
      <c r="BM45" s="166"/>
      <c r="BN45" s="166"/>
      <c r="BO45" s="166"/>
      <c r="BP45" s="166"/>
      <c r="BQ45" s="166"/>
      <c r="BR45" s="167"/>
      <c r="BS45" s="20"/>
    </row>
    <row r="46" spans="1:71" s="15" customFormat="1" ht="9" customHeight="1" x14ac:dyDescent="0.25">
      <c r="A46" s="18"/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7"/>
      <c r="O46" s="166"/>
      <c r="P46" s="165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7"/>
      <c r="AC46" s="166"/>
      <c r="AD46" s="165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7"/>
      <c r="AQ46" s="166"/>
      <c r="AR46" s="165"/>
      <c r="AS46" s="166"/>
      <c r="AT46" s="166"/>
      <c r="AU46" s="166"/>
      <c r="AV46" s="166"/>
      <c r="AW46" s="166"/>
      <c r="AX46" s="166"/>
      <c r="AY46" s="166"/>
      <c r="AZ46" s="166"/>
      <c r="BA46" s="166"/>
      <c r="BB46" s="166"/>
      <c r="BC46" s="166"/>
      <c r="BD46" s="167"/>
      <c r="BE46" s="166"/>
      <c r="BF46" s="165"/>
      <c r="BG46" s="166"/>
      <c r="BH46" s="166"/>
      <c r="BI46" s="166"/>
      <c r="BJ46" s="166"/>
      <c r="BK46" s="166"/>
      <c r="BL46" s="166"/>
      <c r="BM46" s="166"/>
      <c r="BN46" s="166"/>
      <c r="BO46" s="166"/>
      <c r="BP46" s="166"/>
      <c r="BQ46" s="166"/>
      <c r="BR46" s="167"/>
      <c r="BS46" s="20"/>
    </row>
    <row r="47" spans="1:71" s="15" customFormat="1" ht="9" customHeight="1" x14ac:dyDescent="0.25">
      <c r="A47" s="18"/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7"/>
      <c r="O47" s="166"/>
      <c r="P47" s="165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7"/>
      <c r="AC47" s="166"/>
      <c r="AD47" s="165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7"/>
      <c r="AQ47" s="166"/>
      <c r="AR47" s="165"/>
      <c r="AS47" s="166"/>
      <c r="AT47" s="166"/>
      <c r="AU47" s="166"/>
      <c r="AV47" s="166"/>
      <c r="AW47" s="166"/>
      <c r="AX47" s="166"/>
      <c r="AY47" s="166"/>
      <c r="AZ47" s="166"/>
      <c r="BA47" s="166"/>
      <c r="BB47" s="166"/>
      <c r="BC47" s="166"/>
      <c r="BD47" s="167"/>
      <c r="BE47" s="166"/>
      <c r="BF47" s="165"/>
      <c r="BG47" s="166"/>
      <c r="BH47" s="166"/>
      <c r="BI47" s="166"/>
      <c r="BJ47" s="166"/>
      <c r="BK47" s="166"/>
      <c r="BL47" s="166"/>
      <c r="BM47" s="166"/>
      <c r="BN47" s="166"/>
      <c r="BO47" s="166"/>
      <c r="BP47" s="166"/>
      <c r="BQ47" s="166"/>
      <c r="BR47" s="167"/>
      <c r="BS47" s="20"/>
    </row>
    <row r="48" spans="1:71" s="15" customFormat="1" ht="9" customHeight="1" x14ac:dyDescent="0.25">
      <c r="A48" s="18"/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7"/>
      <c r="O48" s="166"/>
      <c r="P48" s="165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7"/>
      <c r="AC48" s="166"/>
      <c r="AD48" s="165"/>
      <c r="AE48" s="166"/>
      <c r="AF48" s="166"/>
      <c r="AG48" s="166"/>
      <c r="AH48" s="166"/>
      <c r="AI48" s="166"/>
      <c r="AJ48" s="166"/>
      <c r="AK48" s="166"/>
      <c r="AL48" s="166"/>
      <c r="AM48" s="166"/>
      <c r="AN48" s="166"/>
      <c r="AO48" s="166"/>
      <c r="AP48" s="167"/>
      <c r="AQ48" s="166"/>
      <c r="AR48" s="165"/>
      <c r="AS48" s="166"/>
      <c r="AT48" s="166"/>
      <c r="AU48" s="166"/>
      <c r="AV48" s="166"/>
      <c r="AW48" s="166"/>
      <c r="AX48" s="166"/>
      <c r="AY48" s="166"/>
      <c r="AZ48" s="166"/>
      <c r="BA48" s="166"/>
      <c r="BB48" s="166"/>
      <c r="BC48" s="166"/>
      <c r="BD48" s="167"/>
      <c r="BE48" s="166"/>
      <c r="BF48" s="165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7"/>
      <c r="BS48" s="20"/>
    </row>
    <row r="49" spans="1:71" s="15" customFormat="1" ht="9" customHeight="1" x14ac:dyDescent="0.25">
      <c r="A49" s="18"/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7"/>
      <c r="O49" s="166"/>
      <c r="P49" s="165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7"/>
      <c r="AC49" s="166"/>
      <c r="AD49" s="165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7"/>
      <c r="AQ49" s="166"/>
      <c r="AR49" s="165"/>
      <c r="AS49" s="166"/>
      <c r="AT49" s="166"/>
      <c r="AU49" s="166"/>
      <c r="AV49" s="166"/>
      <c r="AW49" s="166"/>
      <c r="AX49" s="166"/>
      <c r="AY49" s="166"/>
      <c r="AZ49" s="166"/>
      <c r="BA49" s="166"/>
      <c r="BB49" s="166"/>
      <c r="BC49" s="166"/>
      <c r="BD49" s="167"/>
      <c r="BE49" s="166"/>
      <c r="BF49" s="165"/>
      <c r="BG49" s="166"/>
      <c r="BH49" s="166"/>
      <c r="BI49" s="166"/>
      <c r="BJ49" s="166"/>
      <c r="BK49" s="166"/>
      <c r="BL49" s="166"/>
      <c r="BM49" s="166"/>
      <c r="BN49" s="166"/>
      <c r="BO49" s="166"/>
      <c r="BP49" s="166"/>
      <c r="BQ49" s="166"/>
      <c r="BR49" s="167"/>
      <c r="BS49" s="20"/>
    </row>
    <row r="50" spans="1:71" s="15" customFormat="1" ht="9" customHeight="1" x14ac:dyDescent="0.25">
      <c r="A50" s="18"/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7"/>
      <c r="O50" s="166"/>
      <c r="P50" s="165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7"/>
      <c r="AC50" s="166"/>
      <c r="AD50" s="165"/>
      <c r="AE50" s="166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7"/>
      <c r="AQ50" s="166"/>
      <c r="AR50" s="165"/>
      <c r="AS50" s="166"/>
      <c r="AT50" s="166"/>
      <c r="AU50" s="166"/>
      <c r="AV50" s="166"/>
      <c r="AW50" s="166"/>
      <c r="AX50" s="166"/>
      <c r="AY50" s="166"/>
      <c r="AZ50" s="166"/>
      <c r="BA50" s="166"/>
      <c r="BB50" s="166"/>
      <c r="BC50" s="166"/>
      <c r="BD50" s="167"/>
      <c r="BE50" s="166"/>
      <c r="BF50" s="165"/>
      <c r="BG50" s="166"/>
      <c r="BH50" s="166"/>
      <c r="BI50" s="166"/>
      <c r="BJ50" s="166"/>
      <c r="BK50" s="166"/>
      <c r="BL50" s="166"/>
      <c r="BM50" s="166"/>
      <c r="BN50" s="166"/>
      <c r="BO50" s="166"/>
      <c r="BP50" s="166"/>
      <c r="BQ50" s="166"/>
      <c r="BR50" s="167"/>
      <c r="BS50" s="20"/>
    </row>
    <row r="51" spans="1:71" s="15" customFormat="1" ht="9" customHeight="1" x14ac:dyDescent="0.25">
      <c r="A51" s="18"/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7"/>
      <c r="O51" s="166"/>
      <c r="P51" s="165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7"/>
      <c r="AC51" s="166"/>
      <c r="AD51" s="165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7"/>
      <c r="AQ51" s="166"/>
      <c r="AR51" s="165"/>
      <c r="AS51" s="166"/>
      <c r="AT51" s="166"/>
      <c r="AU51" s="166"/>
      <c r="AV51" s="166"/>
      <c r="AW51" s="166"/>
      <c r="AX51" s="166"/>
      <c r="AY51" s="166"/>
      <c r="AZ51" s="166"/>
      <c r="BA51" s="166"/>
      <c r="BB51" s="166"/>
      <c r="BC51" s="166"/>
      <c r="BD51" s="167"/>
      <c r="BE51" s="166"/>
      <c r="BF51" s="165"/>
      <c r="BG51" s="166"/>
      <c r="BH51" s="166"/>
      <c r="BI51" s="166"/>
      <c r="BJ51" s="166"/>
      <c r="BK51" s="166"/>
      <c r="BL51" s="166"/>
      <c r="BM51" s="166"/>
      <c r="BN51" s="166"/>
      <c r="BO51" s="166"/>
      <c r="BP51" s="166"/>
      <c r="BQ51" s="166"/>
      <c r="BR51" s="167"/>
      <c r="BS51" s="20"/>
    </row>
    <row r="52" spans="1:71" s="15" customFormat="1" ht="9" customHeight="1" x14ac:dyDescent="0.25">
      <c r="A52" s="18"/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7"/>
      <c r="O52" s="166"/>
      <c r="P52" s="165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7"/>
      <c r="AC52" s="166"/>
      <c r="AD52" s="165"/>
      <c r="AE52" s="166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7"/>
      <c r="AQ52" s="166"/>
      <c r="AR52" s="165"/>
      <c r="AS52" s="166"/>
      <c r="AT52" s="166"/>
      <c r="AU52" s="166"/>
      <c r="AV52" s="166"/>
      <c r="AW52" s="166"/>
      <c r="AX52" s="166"/>
      <c r="AY52" s="166"/>
      <c r="AZ52" s="166"/>
      <c r="BA52" s="166"/>
      <c r="BB52" s="166"/>
      <c r="BC52" s="166"/>
      <c r="BD52" s="167"/>
      <c r="BE52" s="166"/>
      <c r="BF52" s="165"/>
      <c r="BG52" s="166"/>
      <c r="BH52" s="166"/>
      <c r="BI52" s="166"/>
      <c r="BJ52" s="166"/>
      <c r="BK52" s="166"/>
      <c r="BL52" s="166"/>
      <c r="BM52" s="166"/>
      <c r="BN52" s="166"/>
      <c r="BO52" s="166"/>
      <c r="BP52" s="166"/>
      <c r="BQ52" s="166"/>
      <c r="BR52" s="167"/>
      <c r="BS52" s="20"/>
    </row>
    <row r="53" spans="1:71" s="15" customFormat="1" ht="9" customHeight="1" x14ac:dyDescent="0.25">
      <c r="A53" s="18"/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7"/>
      <c r="O53" s="166"/>
      <c r="P53" s="165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7"/>
      <c r="AC53" s="166"/>
      <c r="AD53" s="398" t="s">
        <v>668</v>
      </c>
      <c r="AE53" s="399"/>
      <c r="AF53" s="399"/>
      <c r="AG53" s="399"/>
      <c r="AH53" s="399"/>
      <c r="AI53" s="399"/>
      <c r="AJ53" s="399"/>
      <c r="AK53" s="399"/>
      <c r="AL53" s="399"/>
      <c r="AM53" s="399"/>
      <c r="AN53" s="399"/>
      <c r="AO53" s="399"/>
      <c r="AP53" s="400"/>
      <c r="AQ53" s="166"/>
      <c r="AR53" s="165"/>
      <c r="AS53" s="166"/>
      <c r="AT53" s="166"/>
      <c r="AU53" s="166"/>
      <c r="AV53" s="166"/>
      <c r="AW53" s="166"/>
      <c r="AX53" s="166"/>
      <c r="AY53" s="166"/>
      <c r="AZ53" s="166"/>
      <c r="BA53" s="166"/>
      <c r="BB53" s="166"/>
      <c r="BC53" s="166"/>
      <c r="BD53" s="167"/>
      <c r="BE53" s="166"/>
      <c r="BF53" s="165"/>
      <c r="BG53" s="166"/>
      <c r="BH53" s="166"/>
      <c r="BI53" s="166"/>
      <c r="BJ53" s="166"/>
      <c r="BK53" s="166"/>
      <c r="BL53" s="166"/>
      <c r="BM53" s="166"/>
      <c r="BN53" s="166"/>
      <c r="BO53" s="166"/>
      <c r="BP53" s="166"/>
      <c r="BQ53" s="166"/>
      <c r="BR53" s="167"/>
      <c r="BS53" s="20"/>
    </row>
    <row r="54" spans="1:71" s="15" customFormat="1" ht="9" customHeight="1" x14ac:dyDescent="0.25">
      <c r="A54" s="18"/>
      <c r="B54" s="398" t="s">
        <v>661</v>
      </c>
      <c r="C54" s="399"/>
      <c r="D54" s="399"/>
      <c r="E54" s="399"/>
      <c r="F54" s="399"/>
      <c r="G54" s="399"/>
      <c r="H54" s="399"/>
      <c r="I54" s="399"/>
      <c r="J54" s="399"/>
      <c r="K54" s="399"/>
      <c r="L54" s="399"/>
      <c r="M54" s="399"/>
      <c r="N54" s="400"/>
      <c r="O54" s="166"/>
      <c r="P54" s="398" t="s">
        <v>661</v>
      </c>
      <c r="Q54" s="399"/>
      <c r="R54" s="399"/>
      <c r="S54" s="399"/>
      <c r="T54" s="399"/>
      <c r="U54" s="399"/>
      <c r="V54" s="399"/>
      <c r="W54" s="399"/>
      <c r="X54" s="399"/>
      <c r="Y54" s="399"/>
      <c r="Z54" s="399"/>
      <c r="AA54" s="399"/>
      <c r="AB54" s="400"/>
      <c r="AC54" s="166"/>
      <c r="AD54" s="398" t="s">
        <v>669</v>
      </c>
      <c r="AE54" s="399"/>
      <c r="AF54" s="399"/>
      <c r="AG54" s="399"/>
      <c r="AH54" s="399"/>
      <c r="AI54" s="399"/>
      <c r="AJ54" s="400"/>
      <c r="AK54" s="402" t="s">
        <v>651</v>
      </c>
      <c r="AL54" s="402"/>
      <c r="AM54" s="402"/>
      <c r="AN54" s="402" t="s">
        <v>652</v>
      </c>
      <c r="AO54" s="402"/>
      <c r="AP54" s="402"/>
      <c r="AQ54" s="166"/>
      <c r="AR54" s="398" t="s">
        <v>668</v>
      </c>
      <c r="AS54" s="399"/>
      <c r="AT54" s="399"/>
      <c r="AU54" s="399"/>
      <c r="AV54" s="399"/>
      <c r="AW54" s="399"/>
      <c r="AX54" s="399"/>
      <c r="AY54" s="399"/>
      <c r="AZ54" s="399"/>
      <c r="BA54" s="399"/>
      <c r="BB54" s="399"/>
      <c r="BC54" s="399"/>
      <c r="BD54" s="400"/>
      <c r="BE54" s="166"/>
      <c r="BF54" s="398" t="s">
        <v>270</v>
      </c>
      <c r="BG54" s="399"/>
      <c r="BH54" s="399"/>
      <c r="BI54" s="399"/>
      <c r="BJ54" s="399"/>
      <c r="BK54" s="399"/>
      <c r="BL54" s="399"/>
      <c r="BM54" s="399"/>
      <c r="BN54" s="399"/>
      <c r="BO54" s="399"/>
      <c r="BP54" s="399"/>
      <c r="BQ54" s="399"/>
      <c r="BR54" s="400"/>
      <c r="BS54" s="20"/>
    </row>
    <row r="55" spans="1:71" s="15" customFormat="1" ht="9" customHeight="1" x14ac:dyDescent="0.25">
      <c r="A55" s="18"/>
      <c r="B55" s="398" t="s">
        <v>662</v>
      </c>
      <c r="C55" s="399"/>
      <c r="D55" s="399"/>
      <c r="E55" s="399"/>
      <c r="F55" s="399"/>
      <c r="G55" s="399"/>
      <c r="H55" s="399"/>
      <c r="I55" s="399"/>
      <c r="J55" s="399"/>
      <c r="K55" s="399"/>
      <c r="L55" s="399"/>
      <c r="M55" s="399"/>
      <c r="N55" s="400"/>
      <c r="O55" s="166"/>
      <c r="P55" s="398" t="s">
        <v>665</v>
      </c>
      <c r="Q55" s="399"/>
      <c r="R55" s="399"/>
      <c r="S55" s="399"/>
      <c r="T55" s="399"/>
      <c r="U55" s="399"/>
      <c r="V55" s="399"/>
      <c r="W55" s="399"/>
      <c r="X55" s="399"/>
      <c r="Y55" s="399"/>
      <c r="Z55" s="399"/>
      <c r="AA55" s="399"/>
      <c r="AB55" s="400"/>
      <c r="AC55" s="166"/>
      <c r="AD55" s="401" t="s">
        <v>666</v>
      </c>
      <c r="AE55" s="401"/>
      <c r="AF55" s="401"/>
      <c r="AG55" s="401"/>
      <c r="AH55" s="401"/>
      <c r="AI55" s="401"/>
      <c r="AJ55" s="401"/>
      <c r="AK55" s="422">
        <f>CEILING(1866*B5,1)</f>
        <v>2613</v>
      </c>
      <c r="AL55" s="422"/>
      <c r="AM55" s="422"/>
      <c r="AN55" s="262">
        <f>CEILING(2877*B5,1)</f>
        <v>4028</v>
      </c>
      <c r="AO55" s="262"/>
      <c r="AP55" s="262"/>
      <c r="AQ55" s="166"/>
      <c r="AR55" s="398" t="s">
        <v>669</v>
      </c>
      <c r="AS55" s="399"/>
      <c r="AT55" s="399"/>
      <c r="AU55" s="399"/>
      <c r="AV55" s="399"/>
      <c r="AW55" s="399"/>
      <c r="AX55" s="400"/>
      <c r="AY55" s="402" t="s">
        <v>651</v>
      </c>
      <c r="AZ55" s="402"/>
      <c r="BA55" s="402"/>
      <c r="BB55" s="402" t="s">
        <v>652</v>
      </c>
      <c r="BC55" s="402"/>
      <c r="BD55" s="402"/>
      <c r="BE55" s="166"/>
      <c r="BF55" s="398"/>
      <c r="BG55" s="399"/>
      <c r="BH55" s="399"/>
      <c r="BI55" s="399"/>
      <c r="BJ55" s="399"/>
      <c r="BK55" s="399"/>
      <c r="BL55" s="400"/>
      <c r="BM55" s="402" t="s">
        <v>651</v>
      </c>
      <c r="BN55" s="402"/>
      <c r="BO55" s="402"/>
      <c r="BP55" s="402" t="s">
        <v>652</v>
      </c>
      <c r="BQ55" s="402"/>
      <c r="BR55" s="402"/>
      <c r="BS55" s="20"/>
    </row>
    <row r="56" spans="1:71" s="15" customFormat="1" ht="9" customHeight="1" x14ac:dyDescent="0.25">
      <c r="A56" s="18"/>
      <c r="B56" s="401" t="s">
        <v>663</v>
      </c>
      <c r="C56" s="401"/>
      <c r="D56" s="401"/>
      <c r="E56" s="401"/>
      <c r="F56" s="401"/>
      <c r="G56" s="401"/>
      <c r="H56" s="401"/>
      <c r="I56" s="401"/>
      <c r="J56" s="401"/>
      <c r="K56" s="401"/>
      <c r="L56" s="262">
        <f>CEILING(2581*B5,1)</f>
        <v>3614</v>
      </c>
      <c r="M56" s="262"/>
      <c r="N56" s="262"/>
      <c r="O56" s="213"/>
      <c r="P56" s="401" t="s">
        <v>664</v>
      </c>
      <c r="Q56" s="401"/>
      <c r="R56" s="401"/>
      <c r="S56" s="401"/>
      <c r="T56" s="401"/>
      <c r="U56" s="401"/>
      <c r="V56" s="401"/>
      <c r="W56" s="401"/>
      <c r="X56" s="401"/>
      <c r="Y56" s="401"/>
      <c r="Z56" s="262">
        <f>CEILING(2012*B5,1)</f>
        <v>2817</v>
      </c>
      <c r="AA56" s="262"/>
      <c r="AB56" s="262"/>
      <c r="AC56" s="213"/>
      <c r="AD56" s="401" t="s">
        <v>667</v>
      </c>
      <c r="AE56" s="401"/>
      <c r="AF56" s="401"/>
      <c r="AG56" s="401"/>
      <c r="AH56" s="401"/>
      <c r="AI56" s="401"/>
      <c r="AJ56" s="401"/>
      <c r="AK56" s="422">
        <f>CEILING(2045*B5,1)</f>
        <v>2863</v>
      </c>
      <c r="AL56" s="422"/>
      <c r="AM56" s="422"/>
      <c r="AN56" s="262">
        <f>CEILING(2938*B5,1)</f>
        <v>4114</v>
      </c>
      <c r="AO56" s="262"/>
      <c r="AP56" s="262"/>
      <c r="AQ56" s="213"/>
      <c r="AR56" s="401" t="s">
        <v>670</v>
      </c>
      <c r="AS56" s="401"/>
      <c r="AT56" s="401"/>
      <c r="AU56" s="401"/>
      <c r="AV56" s="401"/>
      <c r="AW56" s="401"/>
      <c r="AX56" s="401"/>
      <c r="AY56" s="262">
        <f>CEILING(1400*B5,1)</f>
        <v>1960</v>
      </c>
      <c r="AZ56" s="262"/>
      <c r="BA56" s="262"/>
      <c r="BB56" s="262">
        <f>CEILING(2313*B5,1)</f>
        <v>3239</v>
      </c>
      <c r="BC56" s="262"/>
      <c r="BD56" s="262"/>
      <c r="BE56" s="213"/>
      <c r="BF56" s="401" t="s">
        <v>670</v>
      </c>
      <c r="BG56" s="401"/>
      <c r="BH56" s="401"/>
      <c r="BI56" s="401"/>
      <c r="BJ56" s="401"/>
      <c r="BK56" s="401"/>
      <c r="BL56" s="401"/>
      <c r="BM56" s="262">
        <f>CEILING(1866*B5,1)</f>
        <v>2613</v>
      </c>
      <c r="BN56" s="262"/>
      <c r="BO56" s="262"/>
      <c r="BP56" s="262">
        <f>CEILING(3052*B5,1)</f>
        <v>4273</v>
      </c>
      <c r="BQ56" s="262"/>
      <c r="BR56" s="262"/>
      <c r="BS56" s="20"/>
    </row>
    <row r="57" spans="1:71" s="15" customFormat="1" ht="2.1" customHeight="1" x14ac:dyDescent="0.25">
      <c r="A57" s="18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  <c r="AZ57" s="166"/>
      <c r="BA57" s="166"/>
      <c r="BB57" s="166"/>
      <c r="BC57" s="166"/>
      <c r="BD57" s="166"/>
      <c r="BE57" s="166"/>
      <c r="BF57" s="166"/>
      <c r="BG57" s="166"/>
      <c r="BH57" s="166"/>
      <c r="BI57" s="166"/>
      <c r="BJ57" s="166"/>
      <c r="BK57" s="166"/>
      <c r="BL57" s="166"/>
      <c r="BM57" s="166"/>
      <c r="BN57" s="166"/>
      <c r="BO57" s="166"/>
      <c r="BP57" s="166"/>
      <c r="BQ57" s="166"/>
      <c r="BR57" s="166"/>
      <c r="BS57" s="20"/>
    </row>
    <row r="58" spans="1:71" ht="9" customHeight="1" x14ac:dyDescent="0.25">
      <c r="A58" s="46"/>
      <c r="B58" s="429"/>
      <c r="C58" s="430"/>
      <c r="D58" s="430"/>
      <c r="E58" s="430"/>
      <c r="F58" s="430"/>
      <c r="G58" s="430"/>
      <c r="H58" s="430"/>
      <c r="I58" s="430"/>
      <c r="J58" s="430"/>
      <c r="K58" s="430"/>
      <c r="L58" s="430"/>
      <c r="M58" s="430"/>
      <c r="N58" s="431"/>
      <c r="O58" s="166"/>
      <c r="P58" s="429"/>
      <c r="Q58" s="430"/>
      <c r="R58" s="430"/>
      <c r="S58" s="430"/>
      <c r="T58" s="430"/>
      <c r="U58" s="430"/>
      <c r="V58" s="430"/>
      <c r="W58" s="430"/>
      <c r="X58" s="430"/>
      <c r="Y58" s="430"/>
      <c r="Z58" s="430"/>
      <c r="AA58" s="430"/>
      <c r="AB58" s="431"/>
      <c r="AC58" s="166"/>
      <c r="AD58" s="412" t="s">
        <v>743</v>
      </c>
      <c r="AE58" s="413"/>
      <c r="AF58" s="413"/>
      <c r="AG58" s="413"/>
      <c r="AH58" s="413"/>
      <c r="AI58" s="169"/>
      <c r="AJ58" s="169"/>
      <c r="AK58" s="169"/>
      <c r="AL58" s="169"/>
      <c r="AM58" s="169"/>
      <c r="AN58" s="169"/>
      <c r="AO58" s="169"/>
      <c r="AP58" s="170"/>
      <c r="AQ58" s="166"/>
      <c r="AR58" s="409" t="s">
        <v>660</v>
      </c>
      <c r="AS58" s="410"/>
      <c r="AT58" s="410"/>
      <c r="AU58" s="411"/>
      <c r="AV58" s="169"/>
      <c r="AW58" s="169"/>
      <c r="AX58" s="169"/>
      <c r="AY58" s="169"/>
      <c r="AZ58" s="169"/>
      <c r="BA58" s="169"/>
      <c r="BB58" s="169"/>
      <c r="BC58" s="169"/>
      <c r="BD58" s="170"/>
      <c r="BE58" s="166"/>
      <c r="BF58" s="409" t="s">
        <v>328</v>
      </c>
      <c r="BG58" s="410"/>
      <c r="BH58" s="410"/>
      <c r="BI58" s="411"/>
      <c r="BJ58" s="169"/>
      <c r="BK58" s="169"/>
      <c r="BL58" s="169"/>
      <c r="BM58" s="169"/>
      <c r="BN58" s="169"/>
      <c r="BO58" s="169"/>
      <c r="BP58" s="169"/>
      <c r="BQ58" s="169"/>
      <c r="BR58" s="170"/>
      <c r="BS58" s="51"/>
    </row>
    <row r="59" spans="1:71" ht="9" customHeight="1" x14ac:dyDescent="0.25">
      <c r="A59" s="46"/>
      <c r="B59" s="432"/>
      <c r="C59" s="433"/>
      <c r="D59" s="433"/>
      <c r="E59" s="433"/>
      <c r="F59" s="433"/>
      <c r="G59" s="433"/>
      <c r="H59" s="433"/>
      <c r="I59" s="433"/>
      <c r="J59" s="433"/>
      <c r="K59" s="433"/>
      <c r="L59" s="433"/>
      <c r="M59" s="433"/>
      <c r="N59" s="434"/>
      <c r="O59" s="166"/>
      <c r="P59" s="432"/>
      <c r="Q59" s="433"/>
      <c r="R59" s="433"/>
      <c r="S59" s="433"/>
      <c r="T59" s="433"/>
      <c r="U59" s="433"/>
      <c r="V59" s="433"/>
      <c r="W59" s="433"/>
      <c r="X59" s="433"/>
      <c r="Y59" s="433"/>
      <c r="Z59" s="433"/>
      <c r="AA59" s="433"/>
      <c r="AB59" s="434"/>
      <c r="AC59" s="166"/>
      <c r="AD59" s="165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7"/>
      <c r="AQ59" s="166"/>
      <c r="AR59" s="165"/>
      <c r="AS59" s="166"/>
      <c r="AT59" s="166"/>
      <c r="AU59" s="166"/>
      <c r="AV59" s="166"/>
      <c r="AW59" s="166"/>
      <c r="AX59" s="166"/>
      <c r="AY59" s="166"/>
      <c r="AZ59" s="166"/>
      <c r="BA59" s="166"/>
      <c r="BB59" s="166"/>
      <c r="BC59" s="166"/>
      <c r="BD59" s="167"/>
      <c r="BE59" s="166"/>
      <c r="BF59" s="165"/>
      <c r="BG59" s="166"/>
      <c r="BH59" s="166"/>
      <c r="BI59" s="166"/>
      <c r="BJ59" s="166"/>
      <c r="BK59" s="166"/>
      <c r="BL59" s="166"/>
      <c r="BM59" s="166"/>
      <c r="BN59" s="166"/>
      <c r="BO59" s="166"/>
      <c r="BP59" s="166"/>
      <c r="BQ59" s="166"/>
      <c r="BR59" s="167"/>
      <c r="BS59" s="51"/>
    </row>
    <row r="60" spans="1:71" ht="9" customHeight="1" x14ac:dyDescent="0.25">
      <c r="A60" s="46"/>
      <c r="B60" s="165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7"/>
      <c r="O60" s="166"/>
      <c r="P60" s="165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7"/>
      <c r="AC60" s="166"/>
      <c r="AD60" s="165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7"/>
      <c r="AQ60" s="166"/>
      <c r="AR60" s="165"/>
      <c r="AS60" s="166"/>
      <c r="AT60" s="166"/>
      <c r="AU60" s="166"/>
      <c r="AV60" s="166"/>
      <c r="AW60" s="166"/>
      <c r="AX60" s="166"/>
      <c r="AY60" s="166"/>
      <c r="AZ60" s="166"/>
      <c r="BA60" s="166"/>
      <c r="BB60" s="166"/>
      <c r="BC60" s="166"/>
      <c r="BD60" s="167"/>
      <c r="BE60" s="166"/>
      <c r="BF60" s="165"/>
      <c r="BG60" s="166"/>
      <c r="BH60" s="166"/>
      <c r="BI60" s="166"/>
      <c r="BJ60" s="166"/>
      <c r="BK60" s="166"/>
      <c r="BL60" s="166"/>
      <c r="BM60" s="166"/>
      <c r="BN60" s="166"/>
      <c r="BO60" s="166"/>
      <c r="BP60" s="166"/>
      <c r="BQ60" s="166"/>
      <c r="BR60" s="167"/>
      <c r="BS60" s="51"/>
    </row>
    <row r="61" spans="1:71" ht="9" customHeight="1" x14ac:dyDescent="0.25">
      <c r="A61" s="46"/>
      <c r="B61" s="165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7"/>
      <c r="O61" s="166"/>
      <c r="P61" s="165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7"/>
      <c r="AC61" s="166"/>
      <c r="AD61" s="165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7"/>
      <c r="AQ61" s="166"/>
      <c r="AR61" s="165"/>
      <c r="AS61" s="166"/>
      <c r="AT61" s="166"/>
      <c r="AU61" s="166"/>
      <c r="AV61" s="166"/>
      <c r="AW61" s="166"/>
      <c r="AX61" s="166"/>
      <c r="AY61" s="166"/>
      <c r="AZ61" s="166"/>
      <c r="BA61" s="166"/>
      <c r="BB61" s="166"/>
      <c r="BC61" s="166"/>
      <c r="BD61" s="167"/>
      <c r="BE61" s="166"/>
      <c r="BF61" s="165"/>
      <c r="BG61" s="166"/>
      <c r="BH61" s="166"/>
      <c r="BI61" s="166"/>
      <c r="BJ61" s="166"/>
      <c r="BK61" s="166"/>
      <c r="BL61" s="166"/>
      <c r="BM61" s="166"/>
      <c r="BN61" s="166"/>
      <c r="BO61" s="166"/>
      <c r="BP61" s="166"/>
      <c r="BQ61" s="166"/>
      <c r="BR61" s="167"/>
      <c r="BS61" s="51"/>
    </row>
    <row r="62" spans="1:71" ht="9" customHeight="1" x14ac:dyDescent="0.25">
      <c r="A62" s="46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7"/>
      <c r="O62" s="166"/>
      <c r="P62" s="165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7"/>
      <c r="AC62" s="166"/>
      <c r="AD62" s="165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7"/>
      <c r="AQ62" s="166"/>
      <c r="AR62" s="165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7"/>
      <c r="BE62" s="166"/>
      <c r="BF62" s="165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7"/>
      <c r="BS62" s="51"/>
    </row>
    <row r="63" spans="1:71" ht="9" customHeight="1" x14ac:dyDescent="0.25">
      <c r="A63" s="46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7"/>
      <c r="O63" s="166"/>
      <c r="P63" s="165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7"/>
      <c r="AC63" s="166"/>
      <c r="AD63" s="165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7"/>
      <c r="AQ63" s="166"/>
      <c r="AR63" s="165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7"/>
      <c r="BE63" s="166"/>
      <c r="BF63" s="165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7"/>
      <c r="BS63" s="51"/>
    </row>
    <row r="64" spans="1:71" ht="9" customHeight="1" x14ac:dyDescent="0.25">
      <c r="A64" s="46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7"/>
      <c r="O64" s="166"/>
      <c r="P64" s="165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7"/>
      <c r="AC64" s="166"/>
      <c r="AD64" s="165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7"/>
      <c r="AQ64" s="166"/>
      <c r="AR64" s="165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7"/>
      <c r="BE64" s="166"/>
      <c r="BF64" s="165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7"/>
      <c r="BS64" s="51"/>
    </row>
    <row r="65" spans="1:71" ht="9" customHeight="1" x14ac:dyDescent="0.25">
      <c r="A65" s="46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7"/>
      <c r="O65" s="166"/>
      <c r="P65" s="165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7"/>
      <c r="AC65" s="166"/>
      <c r="AD65" s="165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7"/>
      <c r="AQ65" s="166"/>
      <c r="AR65" s="165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7"/>
      <c r="BE65" s="166"/>
      <c r="BF65" s="165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7"/>
      <c r="BS65" s="51"/>
    </row>
    <row r="66" spans="1:71" ht="9" customHeight="1" x14ac:dyDescent="0.25">
      <c r="A66" s="46"/>
      <c r="B66" s="444"/>
      <c r="C66" s="444"/>
      <c r="D66" s="444"/>
      <c r="E66" s="444"/>
      <c r="F66" s="444"/>
      <c r="G66" s="444"/>
      <c r="H66" s="444"/>
      <c r="I66" s="444"/>
      <c r="J66" s="444"/>
      <c r="K66" s="444"/>
      <c r="L66" s="444"/>
      <c r="M66" s="366"/>
      <c r="N66" s="366"/>
      <c r="O66" s="366"/>
      <c r="P66" s="165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7"/>
      <c r="AC66" s="166"/>
      <c r="AD66" s="165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7"/>
      <c r="AQ66" s="166"/>
      <c r="AR66" s="165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7"/>
      <c r="BE66" s="166"/>
      <c r="BF66" s="165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7"/>
      <c r="BS66" s="51"/>
    </row>
    <row r="67" spans="1:71" ht="9" customHeight="1" x14ac:dyDescent="0.25">
      <c r="A67" s="46"/>
      <c r="B67" s="443"/>
      <c r="C67" s="443"/>
      <c r="D67" s="443"/>
      <c r="E67" s="443"/>
      <c r="F67" s="443"/>
      <c r="G67" s="443"/>
      <c r="H67" s="443"/>
      <c r="I67" s="443"/>
      <c r="J67" s="443"/>
      <c r="K67" s="443"/>
      <c r="L67" s="443"/>
      <c r="M67" s="366"/>
      <c r="N67" s="366"/>
      <c r="O67" s="366"/>
      <c r="P67" s="165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7"/>
      <c r="AC67" s="166"/>
      <c r="AD67" s="165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7"/>
      <c r="AQ67" s="166"/>
      <c r="AR67" s="132"/>
      <c r="AS67" s="133"/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4"/>
      <c r="BE67" s="166"/>
      <c r="BF67" s="132"/>
      <c r="BG67" s="133"/>
      <c r="BH67" s="133"/>
      <c r="BI67" s="133"/>
      <c r="BJ67" s="133"/>
      <c r="BK67" s="133"/>
      <c r="BL67" s="133"/>
      <c r="BM67" s="133"/>
      <c r="BN67" s="133"/>
      <c r="BO67" s="133"/>
      <c r="BP67" s="133"/>
      <c r="BQ67" s="133"/>
      <c r="BR67" s="134"/>
      <c r="BS67" s="51"/>
    </row>
    <row r="68" spans="1:71" ht="9" customHeight="1" x14ac:dyDescent="0.25">
      <c r="A68" s="46"/>
      <c r="B68" s="443"/>
      <c r="C68" s="443"/>
      <c r="D68" s="443"/>
      <c r="E68" s="443"/>
      <c r="F68" s="443"/>
      <c r="G68" s="443"/>
      <c r="H68" s="443"/>
      <c r="I68" s="443"/>
      <c r="J68" s="443"/>
      <c r="K68" s="443"/>
      <c r="L68" s="443"/>
      <c r="M68" s="366"/>
      <c r="N68" s="366"/>
      <c r="O68" s="366"/>
      <c r="P68" s="426"/>
      <c r="Q68" s="427"/>
      <c r="R68" s="427"/>
      <c r="S68" s="427"/>
      <c r="T68" s="427"/>
      <c r="U68" s="427"/>
      <c r="V68" s="427"/>
      <c r="W68" s="427"/>
      <c r="X68" s="427"/>
      <c r="Y68" s="428"/>
      <c r="Z68" s="423"/>
      <c r="AA68" s="424"/>
      <c r="AB68" s="425"/>
      <c r="AC68" s="166"/>
      <c r="AD68" s="398" t="s">
        <v>744</v>
      </c>
      <c r="AE68" s="399"/>
      <c r="AF68" s="399"/>
      <c r="AG68" s="399"/>
      <c r="AH68" s="399"/>
      <c r="AI68" s="399"/>
      <c r="AJ68" s="399"/>
      <c r="AK68" s="399"/>
      <c r="AL68" s="399"/>
      <c r="AM68" s="399"/>
      <c r="AN68" s="399"/>
      <c r="AO68" s="399"/>
      <c r="AP68" s="400"/>
      <c r="AQ68" s="166"/>
      <c r="AR68" s="398" t="s">
        <v>633</v>
      </c>
      <c r="AS68" s="399"/>
      <c r="AT68" s="399"/>
      <c r="AU68" s="399"/>
      <c r="AV68" s="399"/>
      <c r="AW68" s="399"/>
      <c r="AX68" s="400"/>
      <c r="AY68" s="402" t="s">
        <v>651</v>
      </c>
      <c r="AZ68" s="402"/>
      <c r="BA68" s="402"/>
      <c r="BB68" s="402" t="s">
        <v>652</v>
      </c>
      <c r="BC68" s="402"/>
      <c r="BD68" s="402"/>
      <c r="BE68" s="166"/>
      <c r="BF68" s="398" t="s">
        <v>671</v>
      </c>
      <c r="BG68" s="399"/>
      <c r="BH68" s="399"/>
      <c r="BI68" s="399"/>
      <c r="BJ68" s="399"/>
      <c r="BK68" s="399"/>
      <c r="BL68" s="399"/>
      <c r="BM68" s="399"/>
      <c r="BN68" s="399"/>
      <c r="BO68" s="399"/>
      <c r="BP68" s="399"/>
      <c r="BQ68" s="399"/>
      <c r="BR68" s="400"/>
      <c r="BS68" s="51"/>
    </row>
    <row r="69" spans="1:71" ht="9" customHeight="1" x14ac:dyDescent="0.25">
      <c r="A69" s="46"/>
      <c r="B69" s="443"/>
      <c r="C69" s="443"/>
      <c r="D69" s="443"/>
      <c r="E69" s="443"/>
      <c r="F69" s="443"/>
      <c r="G69" s="443"/>
      <c r="H69" s="443"/>
      <c r="I69" s="443"/>
      <c r="J69" s="443"/>
      <c r="K69" s="443"/>
      <c r="L69" s="443"/>
      <c r="M69" s="366"/>
      <c r="N69" s="366"/>
      <c r="O69" s="366"/>
      <c r="P69" s="426"/>
      <c r="Q69" s="427"/>
      <c r="R69" s="427"/>
      <c r="S69" s="427"/>
      <c r="T69" s="427"/>
      <c r="U69" s="427"/>
      <c r="V69" s="427"/>
      <c r="W69" s="427"/>
      <c r="X69" s="427"/>
      <c r="Y69" s="428"/>
      <c r="Z69" s="423"/>
      <c r="AA69" s="424"/>
      <c r="AB69" s="425"/>
      <c r="AC69" s="166"/>
      <c r="AD69" s="398"/>
      <c r="AE69" s="399"/>
      <c r="AF69" s="399"/>
      <c r="AG69" s="399"/>
      <c r="AH69" s="399"/>
      <c r="AI69" s="399"/>
      <c r="AJ69" s="400"/>
      <c r="AK69" s="402" t="s">
        <v>651</v>
      </c>
      <c r="AL69" s="402"/>
      <c r="AM69" s="402"/>
      <c r="AN69" s="402" t="s">
        <v>652</v>
      </c>
      <c r="AO69" s="402"/>
      <c r="AP69" s="402"/>
      <c r="AQ69" s="166"/>
      <c r="AR69" s="401" t="s">
        <v>666</v>
      </c>
      <c r="AS69" s="401"/>
      <c r="AT69" s="401"/>
      <c r="AU69" s="401"/>
      <c r="AV69" s="401"/>
      <c r="AW69" s="401"/>
      <c r="AX69" s="401"/>
      <c r="AY69" s="422">
        <f>CEILING(2310*B5,1)</f>
        <v>3234</v>
      </c>
      <c r="AZ69" s="422"/>
      <c r="BA69" s="422"/>
      <c r="BB69" s="262">
        <f>CEILING(3522*B5,1)</f>
        <v>4931</v>
      </c>
      <c r="BC69" s="262"/>
      <c r="BD69" s="262"/>
      <c r="BE69" s="166"/>
      <c r="BF69" s="419"/>
      <c r="BG69" s="420"/>
      <c r="BH69" s="420"/>
      <c r="BI69" s="420"/>
      <c r="BJ69" s="420"/>
      <c r="BK69" s="420"/>
      <c r="BL69" s="421"/>
      <c r="BM69" s="402" t="s">
        <v>651</v>
      </c>
      <c r="BN69" s="402"/>
      <c r="BO69" s="402"/>
      <c r="BP69" s="402" t="s">
        <v>652</v>
      </c>
      <c r="BQ69" s="402"/>
      <c r="BR69" s="402"/>
      <c r="BS69" s="51"/>
    </row>
    <row r="70" spans="1:71" ht="9" customHeight="1" x14ac:dyDescent="0.25">
      <c r="A70" s="46"/>
      <c r="B70" s="445"/>
      <c r="C70" s="445"/>
      <c r="D70" s="445"/>
      <c r="E70" s="445"/>
      <c r="F70" s="445"/>
      <c r="G70" s="445"/>
      <c r="H70" s="445"/>
      <c r="I70" s="445"/>
      <c r="J70" s="445"/>
      <c r="K70" s="445"/>
      <c r="L70" s="445"/>
      <c r="M70" s="366"/>
      <c r="N70" s="366"/>
      <c r="O70" s="366"/>
      <c r="P70" s="426"/>
      <c r="Q70" s="427"/>
      <c r="R70" s="427"/>
      <c r="S70" s="427"/>
      <c r="T70" s="427"/>
      <c r="U70" s="427"/>
      <c r="V70" s="427"/>
      <c r="W70" s="427"/>
      <c r="X70" s="427"/>
      <c r="Y70" s="428"/>
      <c r="Z70" s="423"/>
      <c r="AA70" s="424"/>
      <c r="AB70" s="425"/>
      <c r="AC70" s="174"/>
      <c r="AD70" s="401" t="s">
        <v>670</v>
      </c>
      <c r="AE70" s="401"/>
      <c r="AF70" s="401"/>
      <c r="AG70" s="401"/>
      <c r="AH70" s="401"/>
      <c r="AI70" s="401"/>
      <c r="AJ70" s="401"/>
      <c r="AK70" s="262">
        <f>CEILING(2320*B5,1)</f>
        <v>3248</v>
      </c>
      <c r="AL70" s="262"/>
      <c r="AM70" s="262"/>
      <c r="AN70" s="262">
        <f>CEILING(3764*B5,1)</f>
        <v>5270</v>
      </c>
      <c r="AO70" s="262"/>
      <c r="AP70" s="262"/>
      <c r="AQ70" s="214"/>
      <c r="AR70" s="401" t="s">
        <v>670</v>
      </c>
      <c r="AS70" s="401"/>
      <c r="AT70" s="401"/>
      <c r="AU70" s="401"/>
      <c r="AV70" s="401"/>
      <c r="AW70" s="401"/>
      <c r="AX70" s="401"/>
      <c r="AY70" s="422">
        <f>CEILING(2310*B5,1)</f>
        <v>3234</v>
      </c>
      <c r="AZ70" s="422"/>
      <c r="BA70" s="422"/>
      <c r="BB70" s="262">
        <f>CEILING(3522*B5,1)</f>
        <v>4931</v>
      </c>
      <c r="BC70" s="262"/>
      <c r="BD70" s="262"/>
      <c r="BE70" s="214"/>
      <c r="BF70" s="401" t="s">
        <v>670</v>
      </c>
      <c r="BG70" s="401"/>
      <c r="BH70" s="401"/>
      <c r="BI70" s="401"/>
      <c r="BJ70" s="401"/>
      <c r="BK70" s="401"/>
      <c r="BL70" s="401"/>
      <c r="BM70" s="262">
        <f>CEILING(2388*B5,1)</f>
        <v>3344</v>
      </c>
      <c r="BN70" s="262"/>
      <c r="BO70" s="262"/>
      <c r="BP70" s="262">
        <f>CEILING(3635*B5,1)</f>
        <v>5089</v>
      </c>
      <c r="BQ70" s="262"/>
      <c r="BR70" s="262"/>
      <c r="BS70" s="51"/>
    </row>
    <row r="71" spans="1:71" ht="1.5" customHeight="1" x14ac:dyDescent="0.25">
      <c r="A71" s="46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51"/>
    </row>
    <row r="72" spans="1:71" ht="9" customHeight="1" x14ac:dyDescent="0.25">
      <c r="A72" s="46"/>
      <c r="B72" s="409" t="s">
        <v>329</v>
      </c>
      <c r="C72" s="410"/>
      <c r="D72" s="410"/>
      <c r="E72" s="411"/>
      <c r="F72" s="412" t="s">
        <v>672</v>
      </c>
      <c r="G72" s="413"/>
      <c r="H72" s="413"/>
      <c r="I72" s="413"/>
      <c r="J72" s="413"/>
      <c r="K72" s="413"/>
      <c r="L72" s="413"/>
      <c r="M72" s="413"/>
      <c r="N72" s="414"/>
      <c r="O72" s="166"/>
      <c r="P72" s="171" t="s">
        <v>779</v>
      </c>
      <c r="Q72" s="172"/>
      <c r="R72" s="172"/>
      <c r="S72" s="172"/>
      <c r="T72" s="172" t="s">
        <v>336</v>
      </c>
      <c r="U72" s="172"/>
      <c r="V72" s="172"/>
      <c r="W72" s="172"/>
      <c r="X72" s="172"/>
      <c r="Y72" s="172"/>
      <c r="Z72" s="172"/>
      <c r="AA72" s="172"/>
      <c r="AB72" s="173"/>
      <c r="AC72" s="166"/>
      <c r="AD72" s="409" t="s">
        <v>330</v>
      </c>
      <c r="AE72" s="410"/>
      <c r="AF72" s="410"/>
      <c r="AG72" s="411"/>
      <c r="AH72" s="412" t="s">
        <v>336</v>
      </c>
      <c r="AI72" s="413"/>
      <c r="AJ72" s="413"/>
      <c r="AK72" s="413"/>
      <c r="AL72" s="413"/>
      <c r="AM72" s="413"/>
      <c r="AN72" s="413"/>
      <c r="AO72" s="413"/>
      <c r="AP72" s="414"/>
      <c r="AQ72" s="166"/>
      <c r="AR72" s="409" t="s">
        <v>333</v>
      </c>
      <c r="AS72" s="410"/>
      <c r="AT72" s="410"/>
      <c r="AU72" s="411"/>
      <c r="AV72" s="412" t="s">
        <v>336</v>
      </c>
      <c r="AW72" s="413"/>
      <c r="AX72" s="413"/>
      <c r="AY72" s="413"/>
      <c r="AZ72" s="413"/>
      <c r="BA72" s="413"/>
      <c r="BB72" s="413"/>
      <c r="BC72" s="413"/>
      <c r="BD72" s="414"/>
      <c r="BE72" s="166"/>
      <c r="BF72" s="409" t="s">
        <v>675</v>
      </c>
      <c r="BG72" s="410"/>
      <c r="BH72" s="410"/>
      <c r="BI72" s="411"/>
      <c r="BJ72" s="169"/>
      <c r="BK72" s="169"/>
      <c r="BL72" s="169"/>
      <c r="BM72" s="169"/>
      <c r="BN72" s="169"/>
      <c r="BO72" s="169"/>
      <c r="BP72" s="169"/>
      <c r="BQ72" s="169"/>
      <c r="BR72" s="170"/>
      <c r="BS72" s="51"/>
    </row>
    <row r="73" spans="1:71" ht="9" customHeight="1" x14ac:dyDescent="0.25">
      <c r="A73" s="46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7"/>
      <c r="O73" s="166"/>
      <c r="P73" s="165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7"/>
      <c r="AC73" s="166"/>
      <c r="AD73" s="165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7"/>
      <c r="AQ73" s="166"/>
      <c r="AR73" s="165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7"/>
      <c r="BE73" s="166"/>
      <c r="BF73" s="165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7"/>
      <c r="BS73" s="51"/>
    </row>
    <row r="74" spans="1:71" ht="9" customHeight="1" x14ac:dyDescent="0.25">
      <c r="A74" s="46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7"/>
      <c r="O74" s="166"/>
      <c r="P74" s="165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7"/>
      <c r="AC74" s="166"/>
      <c r="AD74" s="165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7"/>
      <c r="AQ74" s="166"/>
      <c r="AR74" s="165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7"/>
      <c r="BE74" s="166"/>
      <c r="BF74" s="165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7"/>
      <c r="BS74" s="51"/>
    </row>
    <row r="75" spans="1:71" ht="9" customHeight="1" x14ac:dyDescent="0.25">
      <c r="A75" s="46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7"/>
      <c r="O75" s="166"/>
      <c r="P75" s="165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7"/>
      <c r="AC75" s="166"/>
      <c r="AD75" s="165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7"/>
      <c r="AQ75" s="166"/>
      <c r="AR75" s="165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7"/>
      <c r="BE75" s="166"/>
      <c r="BF75" s="165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7"/>
      <c r="BS75" s="51"/>
    </row>
    <row r="76" spans="1:71" ht="9" customHeight="1" x14ac:dyDescent="0.25">
      <c r="A76" s="46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7"/>
      <c r="O76" s="166"/>
      <c r="P76" s="165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7"/>
      <c r="AC76" s="166"/>
      <c r="AD76" s="165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7"/>
      <c r="AQ76" s="166"/>
      <c r="AR76" s="165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7"/>
      <c r="BE76" s="166"/>
      <c r="BF76" s="165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7"/>
      <c r="BS76" s="51"/>
    </row>
    <row r="77" spans="1:71" ht="9" customHeight="1" x14ac:dyDescent="0.25">
      <c r="A77" s="46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7"/>
      <c r="O77" s="166"/>
      <c r="P77" s="165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7"/>
      <c r="AC77" s="166"/>
      <c r="AD77" s="165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7"/>
      <c r="AQ77" s="166"/>
      <c r="AR77" s="165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7"/>
      <c r="BE77" s="166"/>
      <c r="BF77" s="165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7"/>
      <c r="BS77" s="51"/>
    </row>
    <row r="78" spans="1:71" ht="9" customHeight="1" x14ac:dyDescent="0.25">
      <c r="A78" s="46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7"/>
      <c r="O78" s="166"/>
      <c r="P78" s="165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7"/>
      <c r="AC78" s="166"/>
      <c r="AD78" s="165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7"/>
      <c r="AQ78" s="166"/>
      <c r="AR78" s="165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7"/>
      <c r="BE78" s="166"/>
      <c r="BF78" s="165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7"/>
      <c r="BS78" s="51"/>
    </row>
    <row r="79" spans="1:71" ht="9" customHeight="1" x14ac:dyDescent="0.25">
      <c r="A79" s="46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7"/>
      <c r="O79" s="166"/>
      <c r="P79" s="165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7"/>
      <c r="AC79" s="166"/>
      <c r="AD79" s="165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7"/>
      <c r="AQ79" s="166"/>
      <c r="AR79" s="165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7"/>
      <c r="BE79" s="166"/>
      <c r="BF79" s="165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7"/>
      <c r="BS79" s="51"/>
    </row>
    <row r="80" spans="1:71" ht="9" customHeight="1" x14ac:dyDescent="0.25">
      <c r="A80" s="46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7"/>
      <c r="O80" s="166"/>
      <c r="P80" s="165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7"/>
      <c r="AC80" s="166"/>
      <c r="AD80" s="165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7"/>
      <c r="AQ80" s="166"/>
      <c r="AR80" s="165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7"/>
      <c r="BE80" s="166"/>
      <c r="BF80" s="165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7"/>
      <c r="BS80" s="51"/>
    </row>
    <row r="81" spans="1:71" ht="9" customHeight="1" x14ac:dyDescent="0.25">
      <c r="A81" s="46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7"/>
      <c r="O81" s="166"/>
      <c r="P81" s="398" t="s">
        <v>676</v>
      </c>
      <c r="Q81" s="399"/>
      <c r="R81" s="399"/>
      <c r="S81" s="399"/>
      <c r="T81" s="399"/>
      <c r="U81" s="399"/>
      <c r="V81" s="399"/>
      <c r="W81" s="399"/>
      <c r="X81" s="399"/>
      <c r="Y81" s="399"/>
      <c r="Z81" s="399"/>
      <c r="AA81" s="399"/>
      <c r="AB81" s="400"/>
      <c r="AC81" s="166"/>
      <c r="AD81" s="398" t="s">
        <v>676</v>
      </c>
      <c r="AE81" s="399"/>
      <c r="AF81" s="399"/>
      <c r="AG81" s="399"/>
      <c r="AH81" s="399"/>
      <c r="AI81" s="399"/>
      <c r="AJ81" s="399"/>
      <c r="AK81" s="399"/>
      <c r="AL81" s="399"/>
      <c r="AM81" s="399"/>
      <c r="AN81" s="399"/>
      <c r="AO81" s="399"/>
      <c r="AP81" s="400"/>
      <c r="AQ81" s="166"/>
      <c r="AR81" s="398" t="s">
        <v>676</v>
      </c>
      <c r="AS81" s="399"/>
      <c r="AT81" s="399"/>
      <c r="AU81" s="399"/>
      <c r="AV81" s="399"/>
      <c r="AW81" s="399"/>
      <c r="AX81" s="399"/>
      <c r="AY81" s="399"/>
      <c r="AZ81" s="399"/>
      <c r="BA81" s="399"/>
      <c r="BB81" s="399"/>
      <c r="BC81" s="399"/>
      <c r="BD81" s="400"/>
      <c r="BE81" s="166"/>
      <c r="BF81" s="165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7"/>
      <c r="BS81" s="51"/>
    </row>
    <row r="82" spans="1:71" ht="9" customHeight="1" x14ac:dyDescent="0.25">
      <c r="A82" s="46"/>
      <c r="B82" s="398" t="s">
        <v>673</v>
      </c>
      <c r="C82" s="399"/>
      <c r="D82" s="399"/>
      <c r="E82" s="399"/>
      <c r="F82" s="399"/>
      <c r="G82" s="399"/>
      <c r="H82" s="399"/>
      <c r="I82" s="399"/>
      <c r="J82" s="399"/>
      <c r="K82" s="399"/>
      <c r="L82" s="399"/>
      <c r="M82" s="399"/>
      <c r="N82" s="400"/>
      <c r="O82" s="166"/>
      <c r="P82" s="415" t="s">
        <v>677</v>
      </c>
      <c r="Q82" s="416"/>
      <c r="R82" s="416"/>
      <c r="S82" s="416"/>
      <c r="T82" s="416"/>
      <c r="U82" s="416"/>
      <c r="V82" s="416"/>
      <c r="W82" s="416"/>
      <c r="X82" s="416"/>
      <c r="Y82" s="416"/>
      <c r="Z82" s="416"/>
      <c r="AA82" s="416"/>
      <c r="AB82" s="417"/>
      <c r="AC82" s="166"/>
      <c r="AD82" s="132"/>
      <c r="AE82" s="133"/>
      <c r="AF82" s="133"/>
      <c r="AG82" s="418" t="s">
        <v>337</v>
      </c>
      <c r="AH82" s="418"/>
      <c r="AI82" s="402" t="s">
        <v>338</v>
      </c>
      <c r="AJ82" s="402"/>
      <c r="AK82" s="402" t="s">
        <v>339</v>
      </c>
      <c r="AL82" s="402"/>
      <c r="AM82" s="402" t="s">
        <v>340</v>
      </c>
      <c r="AN82" s="402"/>
      <c r="AO82" s="402" t="s">
        <v>341</v>
      </c>
      <c r="AP82" s="402"/>
      <c r="AQ82" s="166"/>
      <c r="AR82" s="418" t="s">
        <v>677</v>
      </c>
      <c r="AS82" s="418"/>
      <c r="AT82" s="418"/>
      <c r="AU82" s="418"/>
      <c r="AV82" s="418"/>
      <c r="AW82" s="418"/>
      <c r="AX82" s="418"/>
      <c r="AY82" s="418"/>
      <c r="AZ82" s="418"/>
      <c r="BA82" s="418"/>
      <c r="BB82" s="418"/>
      <c r="BC82" s="418"/>
      <c r="BD82" s="418"/>
      <c r="BE82" s="166"/>
      <c r="BF82" s="165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7"/>
      <c r="BS82" s="51"/>
    </row>
    <row r="83" spans="1:71" ht="9" customHeight="1" x14ac:dyDescent="0.25">
      <c r="A83" s="46"/>
      <c r="B83" s="398" t="s">
        <v>711</v>
      </c>
      <c r="C83" s="399"/>
      <c r="D83" s="399"/>
      <c r="E83" s="399"/>
      <c r="F83" s="399"/>
      <c r="G83" s="399"/>
      <c r="H83" s="400"/>
      <c r="I83" s="402" t="s">
        <v>621</v>
      </c>
      <c r="J83" s="402"/>
      <c r="K83" s="402"/>
      <c r="L83" s="402" t="s">
        <v>620</v>
      </c>
      <c r="M83" s="402"/>
      <c r="N83" s="402"/>
      <c r="O83" s="166"/>
      <c r="P83" s="261" t="s">
        <v>747</v>
      </c>
      <c r="Q83" s="261"/>
      <c r="R83" s="261"/>
      <c r="S83" s="261"/>
      <c r="T83" s="261"/>
      <c r="U83" s="261"/>
      <c r="V83" s="261"/>
      <c r="W83" s="261"/>
      <c r="X83" s="261"/>
      <c r="Y83" s="261"/>
      <c r="Z83" s="262">
        <f>CEILING(848*B5,1)</f>
        <v>1188</v>
      </c>
      <c r="AA83" s="262"/>
      <c r="AB83" s="262"/>
      <c r="AC83" s="214"/>
      <c r="AD83" s="261" t="s">
        <v>747</v>
      </c>
      <c r="AE83" s="261"/>
      <c r="AF83" s="261"/>
      <c r="AG83" s="261"/>
      <c r="AH83" s="261"/>
      <c r="AI83" s="261"/>
      <c r="AJ83" s="261"/>
      <c r="AK83" s="261"/>
      <c r="AL83" s="261"/>
      <c r="AM83" s="261"/>
      <c r="AN83" s="262">
        <f>CEILING(616*B5,1)</f>
        <v>863</v>
      </c>
      <c r="AO83" s="262"/>
      <c r="AP83" s="262"/>
      <c r="AQ83" s="214"/>
      <c r="AR83" s="261" t="s">
        <v>747</v>
      </c>
      <c r="AS83" s="261"/>
      <c r="AT83" s="261"/>
      <c r="AU83" s="261"/>
      <c r="AV83" s="261"/>
      <c r="AW83" s="261"/>
      <c r="AX83" s="261"/>
      <c r="AY83" s="261"/>
      <c r="AZ83" s="261"/>
      <c r="BA83" s="261"/>
      <c r="BB83" s="262">
        <f>CEILING(819*B5,1)</f>
        <v>1147</v>
      </c>
      <c r="BC83" s="262"/>
      <c r="BD83" s="262"/>
      <c r="BE83" s="166"/>
      <c r="BF83" s="398" t="s">
        <v>350</v>
      </c>
      <c r="BG83" s="399"/>
      <c r="BH83" s="399"/>
      <c r="BI83" s="399"/>
      <c r="BJ83" s="399"/>
      <c r="BK83" s="399"/>
      <c r="BL83" s="399"/>
      <c r="BM83" s="399"/>
      <c r="BN83" s="399"/>
      <c r="BO83" s="399"/>
      <c r="BP83" s="399"/>
      <c r="BQ83" s="399"/>
      <c r="BR83" s="400"/>
      <c r="BS83" s="51"/>
    </row>
    <row r="84" spans="1:71" ht="9" customHeight="1" x14ac:dyDescent="0.25">
      <c r="A84" s="46"/>
      <c r="B84" s="401" t="s">
        <v>674</v>
      </c>
      <c r="C84" s="401"/>
      <c r="D84" s="401"/>
      <c r="E84" s="401"/>
      <c r="F84" s="401"/>
      <c r="G84" s="401"/>
      <c r="H84" s="401"/>
      <c r="I84" s="262">
        <f>CEILING(2376*B5,1)</f>
        <v>3327</v>
      </c>
      <c r="J84" s="262"/>
      <c r="K84" s="262"/>
      <c r="L84" s="262">
        <f>CEILING(11880*B5,1)</f>
        <v>16632</v>
      </c>
      <c r="M84" s="262"/>
      <c r="N84" s="262"/>
      <c r="O84" s="214"/>
      <c r="P84" s="261" t="s">
        <v>748</v>
      </c>
      <c r="Q84" s="261"/>
      <c r="R84" s="261"/>
      <c r="S84" s="261"/>
      <c r="T84" s="261"/>
      <c r="U84" s="261"/>
      <c r="V84" s="261"/>
      <c r="W84" s="261"/>
      <c r="X84" s="261"/>
      <c r="Y84" s="261"/>
      <c r="Z84" s="262">
        <f>CEILING(909*B5,1)</f>
        <v>1273</v>
      </c>
      <c r="AA84" s="262"/>
      <c r="AB84" s="262"/>
      <c r="AC84" s="214"/>
      <c r="AD84" s="261" t="s">
        <v>748</v>
      </c>
      <c r="AE84" s="261"/>
      <c r="AF84" s="261"/>
      <c r="AG84" s="261"/>
      <c r="AH84" s="261"/>
      <c r="AI84" s="261"/>
      <c r="AJ84" s="261"/>
      <c r="AK84" s="261"/>
      <c r="AL84" s="261"/>
      <c r="AM84" s="261"/>
      <c r="AN84" s="262">
        <f>CEILING(679*B5,1)</f>
        <v>951</v>
      </c>
      <c r="AO84" s="262"/>
      <c r="AP84" s="262"/>
      <c r="AQ84" s="214"/>
      <c r="AR84" s="261" t="s">
        <v>748</v>
      </c>
      <c r="AS84" s="261"/>
      <c r="AT84" s="261"/>
      <c r="AU84" s="261"/>
      <c r="AV84" s="261"/>
      <c r="AW84" s="261"/>
      <c r="AX84" s="261"/>
      <c r="AY84" s="261"/>
      <c r="AZ84" s="261"/>
      <c r="BA84" s="261"/>
      <c r="BB84" s="262">
        <f>CEILING(882*B5,1)</f>
        <v>1235</v>
      </c>
      <c r="BC84" s="262"/>
      <c r="BD84" s="262"/>
      <c r="BE84" s="214"/>
      <c r="BF84" s="262" t="s">
        <v>678</v>
      </c>
      <c r="BG84" s="262"/>
      <c r="BH84" s="262"/>
      <c r="BI84" s="262"/>
      <c r="BJ84" s="262"/>
      <c r="BK84" s="262"/>
      <c r="BL84" s="262"/>
      <c r="BM84" s="262"/>
      <c r="BN84" s="262"/>
      <c r="BO84" s="262"/>
      <c r="BP84" s="262">
        <f>CEILING(3409*B5,1)</f>
        <v>4773</v>
      </c>
      <c r="BQ84" s="262"/>
      <c r="BR84" s="262"/>
      <c r="BS84" s="51"/>
    </row>
    <row r="85" spans="1:71" ht="1.5" customHeight="1" x14ac:dyDescent="0.25">
      <c r="A85" s="46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51"/>
    </row>
    <row r="86" spans="1:71" ht="9" customHeight="1" x14ac:dyDescent="0.25">
      <c r="A86" s="46"/>
      <c r="B86" s="403" t="s">
        <v>679</v>
      </c>
      <c r="C86" s="404"/>
      <c r="D86" s="404"/>
      <c r="E86" s="404"/>
      <c r="F86" s="404"/>
      <c r="G86" s="404"/>
      <c r="H86" s="405"/>
      <c r="I86" s="169"/>
      <c r="J86" s="169"/>
      <c r="K86" s="169"/>
      <c r="L86" s="169"/>
      <c r="M86" s="169"/>
      <c r="N86" s="170"/>
      <c r="O86" s="166"/>
      <c r="P86" s="403" t="s">
        <v>680</v>
      </c>
      <c r="Q86" s="404"/>
      <c r="R86" s="404"/>
      <c r="S86" s="404"/>
      <c r="T86" s="404"/>
      <c r="U86" s="404"/>
      <c r="V86" s="405"/>
      <c r="W86" s="169"/>
      <c r="X86" s="169"/>
      <c r="Y86" s="169"/>
      <c r="Z86" s="169"/>
      <c r="AA86" s="169"/>
      <c r="AB86" s="170"/>
      <c r="AC86" s="166"/>
      <c r="AD86" s="409" t="s">
        <v>331</v>
      </c>
      <c r="AE86" s="410"/>
      <c r="AF86" s="410"/>
      <c r="AG86" s="411"/>
      <c r="AH86" s="175"/>
      <c r="AI86" s="175"/>
      <c r="AJ86" s="175"/>
      <c r="AK86" s="169"/>
      <c r="AL86" s="169"/>
      <c r="AM86" s="169"/>
      <c r="AN86" s="169"/>
      <c r="AO86" s="169"/>
      <c r="AP86" s="170"/>
      <c r="AQ86" s="166"/>
      <c r="AR86" s="409" t="s">
        <v>681</v>
      </c>
      <c r="AS86" s="410"/>
      <c r="AT86" s="410"/>
      <c r="AU86" s="411"/>
      <c r="AV86" s="406" t="s">
        <v>685</v>
      </c>
      <c r="AW86" s="407"/>
      <c r="AX86" s="407"/>
      <c r="AY86" s="407"/>
      <c r="AZ86" s="407"/>
      <c r="BA86" s="407"/>
      <c r="BB86" s="407"/>
      <c r="BC86" s="407"/>
      <c r="BD86" s="408"/>
      <c r="BE86" s="166"/>
      <c r="BF86" s="409" t="s">
        <v>682</v>
      </c>
      <c r="BG86" s="410"/>
      <c r="BH86" s="410"/>
      <c r="BI86" s="411"/>
      <c r="BJ86" s="175"/>
      <c r="BK86" s="175"/>
      <c r="BL86" s="175"/>
      <c r="BM86" s="169"/>
      <c r="BN86" s="169"/>
      <c r="BO86" s="169"/>
      <c r="BP86" s="169"/>
      <c r="BQ86" s="169"/>
      <c r="BR86" s="170"/>
      <c r="BS86" s="51"/>
    </row>
    <row r="87" spans="1:71" ht="9" customHeight="1" x14ac:dyDescent="0.25">
      <c r="A87" s="46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7"/>
      <c r="O87" s="166"/>
      <c r="P87" s="165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7"/>
      <c r="AC87" s="166"/>
      <c r="AD87" s="165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7"/>
      <c r="AQ87" s="166"/>
      <c r="AR87" s="165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7"/>
      <c r="BE87" s="166"/>
      <c r="BF87" s="165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7"/>
      <c r="BS87" s="51"/>
    </row>
    <row r="88" spans="1:71" ht="9" customHeight="1" x14ac:dyDescent="0.25">
      <c r="A88" s="46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7"/>
      <c r="O88" s="166"/>
      <c r="P88" s="165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7"/>
      <c r="AC88" s="166"/>
      <c r="AD88" s="165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7"/>
      <c r="AQ88" s="166"/>
      <c r="AR88" s="165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7"/>
      <c r="BE88" s="166"/>
      <c r="BF88" s="165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7"/>
      <c r="BS88" s="51"/>
    </row>
    <row r="89" spans="1:71" ht="9" customHeight="1" x14ac:dyDescent="0.25">
      <c r="A89" s="46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7"/>
      <c r="O89" s="166"/>
      <c r="P89" s="165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7"/>
      <c r="AC89" s="166"/>
      <c r="AD89" s="165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7"/>
      <c r="AQ89" s="166"/>
      <c r="AR89" s="165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7"/>
      <c r="BE89" s="166"/>
      <c r="BF89" s="165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7"/>
      <c r="BS89" s="51"/>
    </row>
    <row r="90" spans="1:71" ht="9" customHeight="1" x14ac:dyDescent="0.25">
      <c r="A90" s="46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7"/>
      <c r="O90" s="166"/>
      <c r="P90" s="165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7"/>
      <c r="AC90" s="166"/>
      <c r="AD90" s="165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7"/>
      <c r="AQ90" s="166"/>
      <c r="AR90" s="165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7"/>
      <c r="BE90" s="166"/>
      <c r="BF90" s="165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7"/>
      <c r="BS90" s="51"/>
    </row>
    <row r="91" spans="1:71" ht="9" customHeight="1" x14ac:dyDescent="0.25">
      <c r="A91" s="46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7"/>
      <c r="O91" s="166"/>
      <c r="P91" s="165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7"/>
      <c r="AC91" s="166"/>
      <c r="AD91" s="165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7"/>
      <c r="AQ91" s="166"/>
      <c r="AR91" s="165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7"/>
      <c r="BE91" s="166"/>
      <c r="BF91" s="165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7"/>
      <c r="BS91" s="51"/>
    </row>
    <row r="92" spans="1:71" ht="9" customHeight="1" x14ac:dyDescent="0.25">
      <c r="A92" s="46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7"/>
      <c r="O92" s="166"/>
      <c r="P92" s="165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7"/>
      <c r="AC92" s="166"/>
      <c r="AD92" s="165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7"/>
      <c r="AQ92" s="166"/>
      <c r="AR92" s="165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7"/>
      <c r="BE92" s="166"/>
      <c r="BF92" s="165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7"/>
      <c r="BS92" s="51"/>
    </row>
    <row r="93" spans="1:71" ht="9" customHeight="1" x14ac:dyDescent="0.25">
      <c r="A93" s="46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7"/>
      <c r="O93" s="166"/>
      <c r="P93" s="165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7"/>
      <c r="AC93" s="166"/>
      <c r="AD93" s="165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7"/>
      <c r="AQ93" s="166"/>
      <c r="AR93" s="165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7"/>
      <c r="BE93" s="166"/>
      <c r="BF93" s="165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7"/>
      <c r="BS93" s="51"/>
    </row>
    <row r="94" spans="1:71" ht="9" customHeight="1" x14ac:dyDescent="0.25">
      <c r="A94" s="46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7"/>
      <c r="O94" s="166"/>
      <c r="P94" s="165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7"/>
      <c r="AC94" s="166"/>
      <c r="AD94" s="165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7"/>
      <c r="AQ94" s="166"/>
      <c r="AR94" s="165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7"/>
      <c r="BE94" s="166"/>
      <c r="BF94" s="165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7"/>
      <c r="BS94" s="51"/>
    </row>
    <row r="95" spans="1:71" ht="9" customHeight="1" x14ac:dyDescent="0.25">
      <c r="A95" s="46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7"/>
      <c r="O95" s="166"/>
      <c r="P95" s="165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7"/>
      <c r="AC95" s="166"/>
      <c r="AD95" s="165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7"/>
      <c r="AQ95" s="166"/>
      <c r="AR95" s="398"/>
      <c r="AS95" s="399"/>
      <c r="AT95" s="399"/>
      <c r="AU95" s="399"/>
      <c r="AV95" s="399"/>
      <c r="AW95" s="399"/>
      <c r="AX95" s="399"/>
      <c r="AY95" s="399"/>
      <c r="AZ95" s="399"/>
      <c r="BA95" s="399"/>
      <c r="BB95" s="399"/>
      <c r="BC95" s="399"/>
      <c r="BD95" s="400"/>
      <c r="BE95" s="166"/>
      <c r="BF95" s="165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7"/>
      <c r="BS95" s="51"/>
    </row>
    <row r="96" spans="1:71" ht="9" customHeight="1" x14ac:dyDescent="0.25">
      <c r="A96" s="46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7"/>
      <c r="O96" s="166"/>
      <c r="P96" s="165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7"/>
      <c r="AC96" s="166"/>
      <c r="AD96" s="398" t="s">
        <v>397</v>
      </c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400"/>
      <c r="AQ96" s="166"/>
      <c r="AR96" s="398" t="s">
        <v>397</v>
      </c>
      <c r="AS96" s="399"/>
      <c r="AT96" s="399"/>
      <c r="AU96" s="399"/>
      <c r="AV96" s="399"/>
      <c r="AW96" s="399"/>
      <c r="AX96" s="399"/>
      <c r="AY96" s="399"/>
      <c r="AZ96" s="399"/>
      <c r="BA96" s="399"/>
      <c r="BB96" s="399"/>
      <c r="BC96" s="399"/>
      <c r="BD96" s="400"/>
      <c r="BE96" s="166"/>
      <c r="BF96" s="398" t="s">
        <v>397</v>
      </c>
      <c r="BG96" s="399"/>
      <c r="BH96" s="399"/>
      <c r="BI96" s="399"/>
      <c r="BJ96" s="399"/>
      <c r="BK96" s="399"/>
      <c r="BL96" s="399"/>
      <c r="BM96" s="399"/>
      <c r="BN96" s="399"/>
      <c r="BO96" s="399"/>
      <c r="BP96" s="399"/>
      <c r="BQ96" s="399"/>
      <c r="BR96" s="400"/>
      <c r="BS96" s="51"/>
    </row>
    <row r="97" spans="1:71" ht="9" customHeight="1" x14ac:dyDescent="0.25">
      <c r="A97" s="46"/>
      <c r="B97" s="398" t="s">
        <v>683</v>
      </c>
      <c r="C97" s="399"/>
      <c r="D97" s="399"/>
      <c r="E97" s="399"/>
      <c r="F97" s="399"/>
      <c r="G97" s="399"/>
      <c r="H97" s="399"/>
      <c r="I97" s="399"/>
      <c r="J97" s="399"/>
      <c r="K97" s="399"/>
      <c r="L97" s="399"/>
      <c r="M97" s="399"/>
      <c r="N97" s="400"/>
      <c r="O97" s="166"/>
      <c r="P97" s="398" t="s">
        <v>683</v>
      </c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400"/>
      <c r="AC97" s="166"/>
      <c r="AD97" s="401" t="s">
        <v>750</v>
      </c>
      <c r="AE97" s="401"/>
      <c r="AF97" s="401"/>
      <c r="AG97" s="401"/>
      <c r="AH97" s="401"/>
      <c r="AI97" s="401"/>
      <c r="AJ97" s="401"/>
      <c r="AK97" s="401"/>
      <c r="AL97" s="401"/>
      <c r="AM97" s="401"/>
      <c r="AN97" s="262">
        <f>CEILING(1229*B5,1)</f>
        <v>1721</v>
      </c>
      <c r="AO97" s="262"/>
      <c r="AP97" s="262"/>
      <c r="AQ97" s="214"/>
      <c r="AR97" s="401" t="s">
        <v>753</v>
      </c>
      <c r="AS97" s="401"/>
      <c r="AT97" s="401"/>
      <c r="AU97" s="401"/>
      <c r="AV97" s="401"/>
      <c r="AW97" s="401"/>
      <c r="AX97" s="401"/>
      <c r="AY97" s="401"/>
      <c r="AZ97" s="401"/>
      <c r="BA97" s="401"/>
      <c r="BB97" s="262">
        <f>CEILING(1195*B5,1)</f>
        <v>1673</v>
      </c>
      <c r="BC97" s="262"/>
      <c r="BD97" s="262"/>
      <c r="BE97" s="214"/>
      <c r="BF97" s="401" t="s">
        <v>755</v>
      </c>
      <c r="BG97" s="401"/>
      <c r="BH97" s="401"/>
      <c r="BI97" s="401"/>
      <c r="BJ97" s="401"/>
      <c r="BK97" s="401"/>
      <c r="BL97" s="401"/>
      <c r="BM97" s="401"/>
      <c r="BN97" s="401"/>
      <c r="BO97" s="401"/>
      <c r="BP97" s="262">
        <f>CEILING(547*B5,1)</f>
        <v>766</v>
      </c>
      <c r="BQ97" s="262"/>
      <c r="BR97" s="262"/>
      <c r="BS97" s="51"/>
    </row>
    <row r="98" spans="1:71" ht="9" customHeight="1" x14ac:dyDescent="0.25">
      <c r="A98" s="46"/>
      <c r="B98" s="261" t="s">
        <v>684</v>
      </c>
      <c r="C98" s="261"/>
      <c r="D98" s="261"/>
      <c r="E98" s="261"/>
      <c r="F98" s="261"/>
      <c r="G98" s="261"/>
      <c r="H98" s="261"/>
      <c r="I98" s="261"/>
      <c r="J98" s="261"/>
      <c r="K98" s="261"/>
      <c r="L98" s="262">
        <f>CEILING(2547*B5,1)</f>
        <v>3566</v>
      </c>
      <c r="M98" s="262"/>
      <c r="N98" s="262"/>
      <c r="O98" s="213"/>
      <c r="P98" s="261" t="s">
        <v>749</v>
      </c>
      <c r="Q98" s="261"/>
      <c r="R98" s="261"/>
      <c r="S98" s="261"/>
      <c r="T98" s="261"/>
      <c r="U98" s="261"/>
      <c r="V98" s="261"/>
      <c r="W98" s="261"/>
      <c r="X98" s="261"/>
      <c r="Y98" s="261"/>
      <c r="Z98" s="262">
        <f>CEILING(1389*B5,1)</f>
        <v>1945</v>
      </c>
      <c r="AA98" s="262"/>
      <c r="AB98" s="262"/>
      <c r="AC98" s="216"/>
      <c r="AD98" s="401" t="s">
        <v>751</v>
      </c>
      <c r="AE98" s="401"/>
      <c r="AF98" s="401"/>
      <c r="AG98" s="401"/>
      <c r="AH98" s="401"/>
      <c r="AI98" s="401"/>
      <c r="AJ98" s="401"/>
      <c r="AK98" s="401"/>
      <c r="AL98" s="401"/>
      <c r="AM98" s="401"/>
      <c r="AN98" s="262">
        <f>CEILING(1274*B5,1)</f>
        <v>1784</v>
      </c>
      <c r="AO98" s="262"/>
      <c r="AP98" s="262"/>
      <c r="AQ98" s="214"/>
      <c r="AR98" s="401" t="s">
        <v>752</v>
      </c>
      <c r="AS98" s="401"/>
      <c r="AT98" s="401"/>
      <c r="AU98" s="401"/>
      <c r="AV98" s="401"/>
      <c r="AW98" s="401"/>
      <c r="AX98" s="401"/>
      <c r="AY98" s="401"/>
      <c r="AZ98" s="401"/>
      <c r="BA98" s="401"/>
      <c r="BB98" s="262">
        <f>CEILING(1365*B5,1)</f>
        <v>1911</v>
      </c>
      <c r="BC98" s="262"/>
      <c r="BD98" s="262"/>
      <c r="BE98" s="214"/>
      <c r="BF98" s="401" t="s">
        <v>754</v>
      </c>
      <c r="BG98" s="401"/>
      <c r="BH98" s="401"/>
      <c r="BI98" s="401"/>
      <c r="BJ98" s="401"/>
      <c r="BK98" s="401"/>
      <c r="BL98" s="401"/>
      <c r="BM98" s="401"/>
      <c r="BN98" s="401"/>
      <c r="BO98" s="401"/>
      <c r="BP98" s="262">
        <f>CEILING(298*B5,1)</f>
        <v>418</v>
      </c>
      <c r="BQ98" s="262"/>
      <c r="BR98" s="262"/>
      <c r="BS98" s="51"/>
    </row>
    <row r="99" spans="1:71" ht="1.5" customHeight="1" x14ac:dyDescent="0.25">
      <c r="A99" s="44"/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  <c r="BQ99" s="68"/>
      <c r="BR99" s="68"/>
      <c r="BS99" s="45"/>
    </row>
    <row r="100" spans="1:71" ht="9" customHeight="1" x14ac:dyDescent="0.25"/>
    <row r="101" spans="1:71" ht="9" customHeight="1" x14ac:dyDescent="0.25"/>
    <row r="102" spans="1:71" ht="9" customHeight="1" x14ac:dyDescent="0.25"/>
    <row r="103" spans="1:71" ht="9" customHeight="1" x14ac:dyDescent="0.25"/>
    <row r="104" spans="1:71" ht="9" customHeight="1" x14ac:dyDescent="0.25"/>
    <row r="105" spans="1:71" ht="9" customHeight="1" x14ac:dyDescent="0.25"/>
    <row r="106" spans="1:71" ht="9" customHeight="1" x14ac:dyDescent="0.25"/>
    <row r="107" spans="1:71" ht="9" customHeight="1" x14ac:dyDescent="0.25"/>
    <row r="108" spans="1:71" ht="9" customHeight="1" x14ac:dyDescent="0.25"/>
    <row r="109" spans="1:71" ht="9" customHeight="1" x14ac:dyDescent="0.25"/>
    <row r="110" spans="1:71" ht="9" customHeight="1" x14ac:dyDescent="0.25"/>
    <row r="111" spans="1:71" ht="9" customHeight="1" x14ac:dyDescent="0.25"/>
    <row r="112" spans="1:71" ht="9" customHeight="1" x14ac:dyDescent="0.25"/>
    <row r="113" ht="9" customHeight="1" x14ac:dyDescent="0.25"/>
    <row r="114" ht="9" customHeight="1" x14ac:dyDescent="0.25"/>
    <row r="115" ht="9" customHeight="1" x14ac:dyDescent="0.25"/>
    <row r="116" ht="9" customHeight="1" x14ac:dyDescent="0.25"/>
    <row r="117" ht="9" customHeight="1" x14ac:dyDescent="0.25"/>
    <row r="118" ht="9" customHeight="1" x14ac:dyDescent="0.25"/>
    <row r="119" ht="9" customHeight="1" x14ac:dyDescent="0.25"/>
    <row r="120" ht="9" customHeight="1" x14ac:dyDescent="0.25"/>
    <row r="121" ht="9" customHeight="1" x14ac:dyDescent="0.25"/>
    <row r="122" ht="9" customHeight="1" x14ac:dyDescent="0.25"/>
    <row r="123" ht="9" customHeight="1" x14ac:dyDescent="0.25"/>
    <row r="124" ht="9" customHeight="1" x14ac:dyDescent="0.25"/>
    <row r="125" ht="9" customHeight="1" x14ac:dyDescent="0.25"/>
    <row r="126" ht="9" customHeight="1" x14ac:dyDescent="0.25"/>
    <row r="127" ht="9" customHeight="1" x14ac:dyDescent="0.25"/>
    <row r="128" ht="9" customHeight="1" x14ac:dyDescent="0.25"/>
    <row r="129" ht="9" customHeight="1" x14ac:dyDescent="0.25"/>
    <row r="130" ht="9" customHeight="1" x14ac:dyDescent="0.25"/>
    <row r="131" ht="9" customHeight="1" x14ac:dyDescent="0.25"/>
    <row r="132" ht="9" customHeight="1" x14ac:dyDescent="0.25"/>
    <row r="133" ht="9" customHeight="1" x14ac:dyDescent="0.25"/>
    <row r="134" ht="9" customHeight="1" x14ac:dyDescent="0.25"/>
    <row r="135" ht="9" customHeight="1" x14ac:dyDescent="0.25"/>
    <row r="136" ht="9" customHeight="1" x14ac:dyDescent="0.25"/>
    <row r="137" ht="9" customHeight="1" x14ac:dyDescent="0.25"/>
    <row r="138" ht="9" customHeight="1" x14ac:dyDescent="0.25"/>
    <row r="139" ht="9" customHeight="1" x14ac:dyDescent="0.25"/>
    <row r="140" ht="9" customHeight="1" x14ac:dyDescent="0.25"/>
    <row r="141" ht="9" customHeight="1" x14ac:dyDescent="0.25"/>
    <row r="142" ht="9" customHeight="1" x14ac:dyDescent="0.25"/>
    <row r="143" ht="9" customHeight="1" x14ac:dyDescent="0.25"/>
    <row r="144" ht="9" customHeight="1" x14ac:dyDescent="0.25"/>
    <row r="145" ht="9" customHeight="1" x14ac:dyDescent="0.25"/>
    <row r="146" ht="9" customHeight="1" x14ac:dyDescent="0.25"/>
    <row r="147" ht="9" customHeight="1" x14ac:dyDescent="0.25"/>
    <row r="148" ht="9" customHeight="1" x14ac:dyDescent="0.25"/>
    <row r="149" ht="9" customHeight="1" x14ac:dyDescent="0.25"/>
    <row r="150" ht="9" customHeight="1" x14ac:dyDescent="0.25"/>
    <row r="151" ht="9" customHeight="1" x14ac:dyDescent="0.25"/>
    <row r="152" ht="9" customHeight="1" x14ac:dyDescent="0.25"/>
    <row r="153" ht="9" customHeight="1" x14ac:dyDescent="0.25"/>
    <row r="154" ht="9" customHeight="1" x14ac:dyDescent="0.25"/>
    <row r="155" ht="9" customHeight="1" x14ac:dyDescent="0.25"/>
    <row r="156" ht="9" customHeight="1" x14ac:dyDescent="0.25"/>
    <row r="157" ht="9" customHeight="1" x14ac:dyDescent="0.25"/>
    <row r="158" ht="9" customHeight="1" x14ac:dyDescent="0.25"/>
    <row r="159" ht="9" customHeight="1" x14ac:dyDescent="0.25"/>
    <row r="160" ht="9" customHeight="1" x14ac:dyDescent="0.25"/>
    <row r="161" ht="9" customHeight="1" x14ac:dyDescent="0.25"/>
    <row r="162" ht="9" customHeight="1" x14ac:dyDescent="0.25"/>
    <row r="163" ht="9" customHeight="1" x14ac:dyDescent="0.25"/>
    <row r="164" ht="9" customHeight="1" x14ac:dyDescent="0.25"/>
    <row r="165" ht="9" customHeight="1" x14ac:dyDescent="0.25"/>
    <row r="166" ht="9" customHeight="1" x14ac:dyDescent="0.25"/>
    <row r="167" ht="9" customHeight="1" x14ac:dyDescent="0.25"/>
    <row r="168" ht="9" customHeight="1" x14ac:dyDescent="0.25"/>
    <row r="169" ht="9" customHeight="1" x14ac:dyDescent="0.25"/>
    <row r="170" ht="9" customHeight="1" x14ac:dyDescent="0.25"/>
    <row r="171" ht="9" customHeight="1" x14ac:dyDescent="0.25"/>
    <row r="172" ht="9" customHeight="1" x14ac:dyDescent="0.25"/>
    <row r="173" ht="9" customHeight="1" x14ac:dyDescent="0.25"/>
    <row r="174" ht="9" customHeight="1" x14ac:dyDescent="0.25"/>
    <row r="175" ht="9" customHeight="1" x14ac:dyDescent="0.25"/>
    <row r="176" ht="9" customHeight="1" x14ac:dyDescent="0.25"/>
    <row r="177" ht="9" customHeight="1" x14ac:dyDescent="0.25"/>
    <row r="178" ht="9" customHeight="1" x14ac:dyDescent="0.25"/>
    <row r="179" ht="9" customHeight="1" x14ac:dyDescent="0.25"/>
    <row r="180" ht="9" customHeight="1" x14ac:dyDescent="0.25"/>
    <row r="181" ht="9" customHeight="1" x14ac:dyDescent="0.25"/>
    <row r="182" ht="9" customHeight="1" x14ac:dyDescent="0.25"/>
    <row r="183" ht="9" customHeight="1" x14ac:dyDescent="0.25"/>
    <row r="184" ht="9" customHeight="1" x14ac:dyDescent="0.25"/>
    <row r="185" ht="9" customHeight="1" x14ac:dyDescent="0.25"/>
    <row r="186" ht="9" customHeight="1" x14ac:dyDescent="0.25"/>
    <row r="187" ht="9" customHeight="1" x14ac:dyDescent="0.25"/>
    <row r="188" ht="9" customHeight="1" x14ac:dyDescent="0.25"/>
    <row r="189" ht="9" customHeight="1" x14ac:dyDescent="0.25"/>
    <row r="190" ht="9" customHeight="1" x14ac:dyDescent="0.25"/>
    <row r="191" ht="9" customHeight="1" x14ac:dyDescent="0.25"/>
    <row r="192" ht="9" customHeight="1" x14ac:dyDescent="0.25"/>
    <row r="193" ht="9" customHeight="1" x14ac:dyDescent="0.25"/>
    <row r="194" ht="9" customHeight="1" x14ac:dyDescent="0.25"/>
    <row r="195" ht="9" customHeight="1" x14ac:dyDescent="0.25"/>
    <row r="196" ht="9" customHeight="1" x14ac:dyDescent="0.25"/>
    <row r="197" ht="9" customHeight="1" x14ac:dyDescent="0.25"/>
    <row r="198" ht="9" customHeight="1" x14ac:dyDescent="0.25"/>
    <row r="199" ht="9" customHeight="1" x14ac:dyDescent="0.25"/>
    <row r="200" ht="9" customHeight="1" x14ac:dyDescent="0.25"/>
    <row r="201" ht="9" customHeight="1" x14ac:dyDescent="0.25"/>
    <row r="202" ht="9" customHeight="1" x14ac:dyDescent="0.25"/>
    <row r="203" ht="9" customHeight="1" x14ac:dyDescent="0.25"/>
    <row r="204" ht="9" customHeight="1" x14ac:dyDescent="0.25"/>
    <row r="205" ht="9" customHeight="1" x14ac:dyDescent="0.25"/>
    <row r="206" ht="9" customHeight="1" x14ac:dyDescent="0.25"/>
    <row r="207" ht="9" customHeight="1" x14ac:dyDescent="0.25"/>
    <row r="208" ht="9" customHeight="1" x14ac:dyDescent="0.25"/>
    <row r="209" ht="9" customHeight="1" x14ac:dyDescent="0.25"/>
    <row r="210" ht="9" customHeight="1" x14ac:dyDescent="0.25"/>
    <row r="211" ht="9" customHeight="1" x14ac:dyDescent="0.25"/>
    <row r="212" ht="9" customHeight="1" x14ac:dyDescent="0.25"/>
    <row r="213" ht="9" customHeight="1" x14ac:dyDescent="0.25"/>
    <row r="214" ht="9" customHeight="1" x14ac:dyDescent="0.25"/>
    <row r="215" ht="9" customHeight="1" x14ac:dyDescent="0.25"/>
    <row r="216" ht="9" customHeight="1" x14ac:dyDescent="0.25"/>
    <row r="217" ht="9" customHeight="1" x14ac:dyDescent="0.25"/>
    <row r="218" ht="9" customHeight="1" x14ac:dyDescent="0.25"/>
    <row r="219" ht="9" customHeight="1" x14ac:dyDescent="0.25"/>
    <row r="220" ht="9" customHeight="1" x14ac:dyDescent="0.25"/>
    <row r="221" ht="9" customHeight="1" x14ac:dyDescent="0.25"/>
    <row r="222" ht="9" customHeight="1" x14ac:dyDescent="0.25"/>
    <row r="223" ht="9" customHeight="1" x14ac:dyDescent="0.25"/>
    <row r="224" ht="9" customHeight="1" x14ac:dyDescent="0.25"/>
    <row r="225" ht="9" customHeight="1" x14ac:dyDescent="0.25"/>
    <row r="226" ht="9" customHeight="1" x14ac:dyDescent="0.25"/>
    <row r="227" ht="9" customHeight="1" x14ac:dyDescent="0.25"/>
    <row r="228" ht="9" customHeight="1" x14ac:dyDescent="0.25"/>
    <row r="229" ht="9" customHeight="1" x14ac:dyDescent="0.25"/>
    <row r="230" ht="9" customHeight="1" x14ac:dyDescent="0.25"/>
    <row r="231" ht="9" customHeight="1" x14ac:dyDescent="0.25"/>
    <row r="232" ht="9" customHeight="1" x14ac:dyDescent="0.25"/>
    <row r="233" ht="9" customHeight="1" x14ac:dyDescent="0.25"/>
    <row r="234" ht="9" customHeight="1" x14ac:dyDescent="0.25"/>
    <row r="235" ht="9" customHeight="1" x14ac:dyDescent="0.25"/>
    <row r="236" ht="9" customHeight="1" x14ac:dyDescent="0.25"/>
    <row r="237" ht="9" customHeight="1" x14ac:dyDescent="0.25"/>
    <row r="238" ht="9" customHeight="1" x14ac:dyDescent="0.25"/>
    <row r="239" ht="9" customHeight="1" x14ac:dyDescent="0.25"/>
    <row r="240" ht="9" customHeight="1" x14ac:dyDescent="0.25"/>
    <row r="241" ht="9" customHeight="1" x14ac:dyDescent="0.25"/>
    <row r="242" ht="9" customHeight="1" x14ac:dyDescent="0.25"/>
    <row r="243" ht="9" customHeight="1" x14ac:dyDescent="0.25"/>
    <row r="244" ht="9" customHeight="1" x14ac:dyDescent="0.25"/>
    <row r="245" ht="9" customHeight="1" x14ac:dyDescent="0.25"/>
    <row r="246" ht="9" customHeight="1" x14ac:dyDescent="0.25"/>
    <row r="247" ht="9" customHeight="1" x14ac:dyDescent="0.25"/>
    <row r="248" ht="9" customHeight="1" x14ac:dyDescent="0.25"/>
    <row r="249" ht="9" customHeight="1" x14ac:dyDescent="0.25"/>
    <row r="250" ht="9" customHeight="1" x14ac:dyDescent="0.25"/>
    <row r="251" ht="9" customHeight="1" x14ac:dyDescent="0.25"/>
    <row r="252" ht="9" customHeight="1" x14ac:dyDescent="0.25"/>
    <row r="253" ht="9" customHeight="1" x14ac:dyDescent="0.25"/>
    <row r="254" ht="9" customHeight="1" x14ac:dyDescent="0.25"/>
    <row r="255" ht="9" customHeight="1" x14ac:dyDescent="0.25"/>
    <row r="256" ht="9" customHeight="1" x14ac:dyDescent="0.25"/>
    <row r="257" ht="9" customHeight="1" x14ac:dyDescent="0.25"/>
    <row r="258" ht="9" customHeight="1" x14ac:dyDescent="0.25"/>
  </sheetData>
  <mergeCells count="223">
    <mergeCell ref="A9:BR9"/>
    <mergeCell ref="P5:BR5"/>
    <mergeCell ref="B5:N5"/>
    <mergeCell ref="M66:O66"/>
    <mergeCell ref="B67:L67"/>
    <mergeCell ref="M67:O67"/>
    <mergeCell ref="M68:O68"/>
    <mergeCell ref="M69:O69"/>
    <mergeCell ref="M70:O70"/>
    <mergeCell ref="B66:L66"/>
    <mergeCell ref="B68:L68"/>
    <mergeCell ref="B69:L69"/>
    <mergeCell ref="B70:L70"/>
    <mergeCell ref="L22:N22"/>
    <mergeCell ref="BP40:BR40"/>
    <mergeCell ref="L40:N40"/>
    <mergeCell ref="B40:K40"/>
    <mergeCell ref="P40:Y40"/>
    <mergeCell ref="Z40:AB40"/>
    <mergeCell ref="AD40:AM40"/>
    <mergeCell ref="BF26:BI26"/>
    <mergeCell ref="BF24:BO24"/>
    <mergeCell ref="BP24:BR24"/>
    <mergeCell ref="BF38:BR38"/>
    <mergeCell ref="BF10:BI10"/>
    <mergeCell ref="P20:AB20"/>
    <mergeCell ref="P10:S10"/>
    <mergeCell ref="AD10:AG10"/>
    <mergeCell ref="P21:AB21"/>
    <mergeCell ref="AD20:AP20"/>
    <mergeCell ref="AD21:AP21"/>
    <mergeCell ref="BF22:BR22"/>
    <mergeCell ref="BF23:BR23"/>
    <mergeCell ref="AD23:AM23"/>
    <mergeCell ref="AN23:AP23"/>
    <mergeCell ref="B22:K22"/>
    <mergeCell ref="B23:K23"/>
    <mergeCell ref="AV10:BD10"/>
    <mergeCell ref="AR19:BD19"/>
    <mergeCell ref="F10:N10"/>
    <mergeCell ref="B20:N20"/>
    <mergeCell ref="B21:N21"/>
    <mergeCell ref="B10:E10"/>
    <mergeCell ref="AR10:AU10"/>
    <mergeCell ref="Z23:AB23"/>
    <mergeCell ref="AD24:AM24"/>
    <mergeCell ref="AN24:AP24"/>
    <mergeCell ref="B24:K24"/>
    <mergeCell ref="P24:Y24"/>
    <mergeCell ref="Z24:AB24"/>
    <mergeCell ref="L24:N24"/>
    <mergeCell ref="L23:N23"/>
    <mergeCell ref="P23:Y23"/>
    <mergeCell ref="AR21:BD21"/>
    <mergeCell ref="BB23:BD23"/>
    <mergeCell ref="AR37:BD37"/>
    <mergeCell ref="AR38:AX38"/>
    <mergeCell ref="BB39:BD39"/>
    <mergeCell ref="AR24:BA24"/>
    <mergeCell ref="BB24:BD24"/>
    <mergeCell ref="AY39:BA39"/>
    <mergeCell ref="B26:E26"/>
    <mergeCell ref="P26:S26"/>
    <mergeCell ref="AD26:AG26"/>
    <mergeCell ref="AR26:AU26"/>
    <mergeCell ref="AV26:BD26"/>
    <mergeCell ref="B38:N38"/>
    <mergeCell ref="B39:N39"/>
    <mergeCell ref="P37:AB37"/>
    <mergeCell ref="P39:AB39"/>
    <mergeCell ref="AD37:AP37"/>
    <mergeCell ref="AD39:AP39"/>
    <mergeCell ref="BB38:BD38"/>
    <mergeCell ref="AY38:BA38"/>
    <mergeCell ref="AR22:BA22"/>
    <mergeCell ref="BB22:BD22"/>
    <mergeCell ref="AR23:BA23"/>
    <mergeCell ref="B42:E42"/>
    <mergeCell ref="P42:S42"/>
    <mergeCell ref="AD42:AG42"/>
    <mergeCell ref="AR42:AU42"/>
    <mergeCell ref="BF42:BI42"/>
    <mergeCell ref="AY40:BA40"/>
    <mergeCell ref="AR39:AX39"/>
    <mergeCell ref="AR40:AX40"/>
    <mergeCell ref="AN40:AP40"/>
    <mergeCell ref="BB40:BD40"/>
    <mergeCell ref="BF40:BO40"/>
    <mergeCell ref="BF39:BR39"/>
    <mergeCell ref="AD53:AP53"/>
    <mergeCell ref="AK54:AM54"/>
    <mergeCell ref="AN54:AP54"/>
    <mergeCell ref="AD54:AJ54"/>
    <mergeCell ref="AR54:BD54"/>
    <mergeCell ref="AN56:AP56"/>
    <mergeCell ref="AK56:AM56"/>
    <mergeCell ref="AN55:AP55"/>
    <mergeCell ref="AK55:AM55"/>
    <mergeCell ref="AD55:AJ55"/>
    <mergeCell ref="AD56:AJ56"/>
    <mergeCell ref="B58:N59"/>
    <mergeCell ref="P58:AB59"/>
    <mergeCell ref="BF54:BR54"/>
    <mergeCell ref="BF55:BL55"/>
    <mergeCell ref="BM55:BO55"/>
    <mergeCell ref="BP55:BR55"/>
    <mergeCell ref="BF56:BL56"/>
    <mergeCell ref="BM56:BO56"/>
    <mergeCell ref="BP56:BR56"/>
    <mergeCell ref="AR55:AX55"/>
    <mergeCell ref="AY55:BA55"/>
    <mergeCell ref="BB55:BD55"/>
    <mergeCell ref="AR56:AX56"/>
    <mergeCell ref="AY56:BA56"/>
    <mergeCell ref="BB56:BD56"/>
    <mergeCell ref="B55:N55"/>
    <mergeCell ref="B56:K56"/>
    <mergeCell ref="L56:N56"/>
    <mergeCell ref="B54:N54"/>
    <mergeCell ref="AR58:AU58"/>
    <mergeCell ref="BF58:BI58"/>
    <mergeCell ref="P54:AB54"/>
    <mergeCell ref="P55:AB55"/>
    <mergeCell ref="P56:Y56"/>
    <mergeCell ref="AD70:AJ70"/>
    <mergeCell ref="AK70:AM70"/>
    <mergeCell ref="AN70:AP70"/>
    <mergeCell ref="Z69:AB69"/>
    <mergeCell ref="Z70:AB70"/>
    <mergeCell ref="Z56:AB56"/>
    <mergeCell ref="AD58:AH58"/>
    <mergeCell ref="P68:Y68"/>
    <mergeCell ref="Z68:AB68"/>
    <mergeCell ref="P69:Y69"/>
    <mergeCell ref="P70:Y70"/>
    <mergeCell ref="AD68:AP68"/>
    <mergeCell ref="AD69:AJ69"/>
    <mergeCell ref="AK69:AM69"/>
    <mergeCell ref="AN69:AP69"/>
    <mergeCell ref="AR68:AX68"/>
    <mergeCell ref="AY68:BA68"/>
    <mergeCell ref="BB68:BD68"/>
    <mergeCell ref="BF68:BR68"/>
    <mergeCell ref="BF69:BL69"/>
    <mergeCell ref="BM69:BO69"/>
    <mergeCell ref="BP69:BR69"/>
    <mergeCell ref="BF70:BL70"/>
    <mergeCell ref="BM70:BO70"/>
    <mergeCell ref="BP70:BR70"/>
    <mergeCell ref="AR69:AX69"/>
    <mergeCell ref="AY69:BA69"/>
    <mergeCell ref="BB69:BD69"/>
    <mergeCell ref="AR70:AX70"/>
    <mergeCell ref="AY70:BA70"/>
    <mergeCell ref="BB70:BD70"/>
    <mergeCell ref="BF83:BR83"/>
    <mergeCell ref="BP84:BR84"/>
    <mergeCell ref="BF84:BO84"/>
    <mergeCell ref="AD86:AG86"/>
    <mergeCell ref="AR86:AU86"/>
    <mergeCell ref="BF86:BI86"/>
    <mergeCell ref="BF72:BI72"/>
    <mergeCell ref="AR82:BD82"/>
    <mergeCell ref="AH72:AP72"/>
    <mergeCell ref="AV72:BD72"/>
    <mergeCell ref="BB84:BD84"/>
    <mergeCell ref="AR84:BA84"/>
    <mergeCell ref="AN84:AP84"/>
    <mergeCell ref="AD84:AM84"/>
    <mergeCell ref="AD81:AP81"/>
    <mergeCell ref="AR81:BD81"/>
    <mergeCell ref="AR83:BA83"/>
    <mergeCell ref="BB83:BD83"/>
    <mergeCell ref="AI82:AJ82"/>
    <mergeCell ref="AG82:AH82"/>
    <mergeCell ref="AD83:AM83"/>
    <mergeCell ref="AN83:AP83"/>
    <mergeCell ref="B72:E72"/>
    <mergeCell ref="B82:N82"/>
    <mergeCell ref="B83:H83"/>
    <mergeCell ref="I83:K83"/>
    <mergeCell ref="L83:N83"/>
    <mergeCell ref="B84:H84"/>
    <mergeCell ref="I84:K84"/>
    <mergeCell ref="L84:N84"/>
    <mergeCell ref="Z84:AB84"/>
    <mergeCell ref="P81:AB81"/>
    <mergeCell ref="P83:Y83"/>
    <mergeCell ref="Z83:AB83"/>
    <mergeCell ref="P86:V86"/>
    <mergeCell ref="AV86:BD86"/>
    <mergeCell ref="BB98:BD98"/>
    <mergeCell ref="AD72:AG72"/>
    <mergeCell ref="AR72:AU72"/>
    <mergeCell ref="AR96:BD96"/>
    <mergeCell ref="AD98:AM98"/>
    <mergeCell ref="F72:N72"/>
    <mergeCell ref="P82:AB82"/>
    <mergeCell ref="P84:Y84"/>
    <mergeCell ref="A1:BR4"/>
    <mergeCell ref="BF96:BR96"/>
    <mergeCell ref="BF97:BO97"/>
    <mergeCell ref="BP97:BR97"/>
    <mergeCell ref="BF98:BO98"/>
    <mergeCell ref="BP98:BR98"/>
    <mergeCell ref="AR95:BD95"/>
    <mergeCell ref="AR97:BA97"/>
    <mergeCell ref="BB97:BD97"/>
    <mergeCell ref="AD96:AP96"/>
    <mergeCell ref="AD97:AM97"/>
    <mergeCell ref="AN97:AP97"/>
    <mergeCell ref="B97:N97"/>
    <mergeCell ref="B98:K98"/>
    <mergeCell ref="L98:N98"/>
    <mergeCell ref="P97:AB97"/>
    <mergeCell ref="P98:Y98"/>
    <mergeCell ref="Z98:AB98"/>
    <mergeCell ref="AR98:BA98"/>
    <mergeCell ref="AN98:AP98"/>
    <mergeCell ref="AO82:AP82"/>
    <mergeCell ref="AM82:AN82"/>
    <mergeCell ref="AK82:AL82"/>
    <mergeCell ref="B86:H86"/>
  </mergeCells>
  <printOptions horizontalCentered="1"/>
  <pageMargins left="0.23622047244094491" right="0.23622047244094491" top="0.23622047244094491" bottom="0.23622047244094491" header="0.23622047244094491" footer="0.23622047244094491"/>
  <pageSetup paperSize="9" scale="8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S310"/>
  <sheetViews>
    <sheetView showGridLines="0" view="pageBreakPreview" zoomScaleSheetLayoutView="100" workbookViewId="0">
      <selection activeCell="A7" sqref="A7:BQ7"/>
    </sheetView>
  </sheetViews>
  <sheetFormatPr defaultColWidth="9.140625" defaultRowHeight="8.25" x14ac:dyDescent="0.25"/>
  <cols>
    <col min="1" max="1" width="0.28515625" style="2" customWidth="1"/>
    <col min="2" max="11" width="1.7109375" style="2" customWidth="1"/>
    <col min="12" max="12" width="0.28515625" style="2" customWidth="1"/>
    <col min="13" max="22" width="1.7109375" style="2" customWidth="1"/>
    <col min="23" max="23" width="0.28515625" style="2" customWidth="1"/>
    <col min="24" max="33" width="1.7109375" style="2" customWidth="1"/>
    <col min="34" max="34" width="0.28515625" style="2" customWidth="1"/>
    <col min="35" max="44" width="1.7109375" style="2" customWidth="1"/>
    <col min="45" max="45" width="0.28515625" style="2" customWidth="1"/>
    <col min="46" max="51" width="1.7109375" style="2" customWidth="1"/>
    <col min="52" max="52" width="2.140625" style="2" customWidth="1"/>
    <col min="53" max="53" width="1.7109375" style="2" customWidth="1"/>
    <col min="54" max="54" width="2.42578125" style="2" customWidth="1"/>
    <col min="55" max="56" width="1.7109375" style="2" customWidth="1"/>
    <col min="57" max="57" width="0.28515625" style="2" customWidth="1"/>
    <col min="58" max="69" width="1.7109375" style="2" customWidth="1"/>
    <col min="70" max="70" width="0.28515625" style="2" customWidth="1"/>
    <col min="71" max="16384" width="9.140625" style="2"/>
  </cols>
  <sheetData>
    <row r="1" spans="1:70" ht="19.5" customHeight="1" x14ac:dyDescent="0.25">
      <c r="A1" s="446" t="s">
        <v>830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  <c r="BL1" s="251"/>
      <c r="BM1" s="251"/>
      <c r="BN1" s="251"/>
      <c r="BO1" s="251"/>
      <c r="BP1" s="251"/>
      <c r="BQ1" s="251"/>
      <c r="BR1" s="51"/>
    </row>
    <row r="2" spans="1:70" ht="19.5" customHeight="1" x14ac:dyDescent="0.25">
      <c r="A2" s="397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251"/>
      <c r="BN2" s="251"/>
      <c r="BO2" s="251"/>
      <c r="BP2" s="251"/>
      <c r="BQ2" s="251"/>
      <c r="BR2" s="51"/>
    </row>
    <row r="3" spans="1:70" ht="19.5" customHeight="1" x14ac:dyDescent="0.25">
      <c r="A3" s="397"/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251"/>
      <c r="BM3" s="251"/>
      <c r="BN3" s="251"/>
      <c r="BO3" s="251"/>
      <c r="BP3" s="251"/>
      <c r="BQ3" s="251"/>
      <c r="BR3" s="51"/>
    </row>
    <row r="4" spans="1:70" ht="19.5" customHeight="1" x14ac:dyDescent="0.25">
      <c r="A4" s="397"/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51"/>
    </row>
    <row r="5" spans="1:70" ht="18" customHeight="1" x14ac:dyDescent="0.25">
      <c r="A5" s="46"/>
      <c r="B5" s="332">
        <v>1.4</v>
      </c>
      <c r="C5" s="257"/>
      <c r="D5" s="257"/>
      <c r="E5" s="257"/>
      <c r="F5" s="257"/>
      <c r="G5" s="257"/>
      <c r="H5" s="257"/>
      <c r="I5" s="257"/>
      <c r="J5" s="257"/>
      <c r="K5" s="257"/>
      <c r="L5" s="246"/>
      <c r="M5" s="331" t="s">
        <v>325</v>
      </c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275"/>
      <c r="BR5" s="51"/>
    </row>
    <row r="6" spans="1:70" ht="1.5" customHeight="1" x14ac:dyDescent="0.25">
      <c r="A6" s="46"/>
      <c r="B6" s="54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5"/>
      <c r="BR6" s="51"/>
    </row>
    <row r="7" spans="1:70" ht="19.5" customHeight="1" x14ac:dyDescent="0.25">
      <c r="A7" s="442" t="s">
        <v>737</v>
      </c>
      <c r="B7" s="442"/>
      <c r="C7" s="442"/>
      <c r="D7" s="442"/>
      <c r="E7" s="442"/>
      <c r="F7" s="442"/>
      <c r="G7" s="442"/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42"/>
      <c r="AC7" s="442"/>
      <c r="AD7" s="442"/>
      <c r="AE7" s="442"/>
      <c r="AF7" s="442"/>
      <c r="AG7" s="442"/>
      <c r="AH7" s="442"/>
      <c r="AI7" s="442"/>
      <c r="AJ7" s="442"/>
      <c r="AK7" s="442"/>
      <c r="AL7" s="442"/>
      <c r="AM7" s="442"/>
      <c r="AN7" s="442"/>
      <c r="AO7" s="442"/>
      <c r="AP7" s="442"/>
      <c r="AQ7" s="442"/>
      <c r="AR7" s="442"/>
      <c r="AS7" s="442"/>
      <c r="AT7" s="442"/>
      <c r="AU7" s="442"/>
      <c r="AV7" s="442"/>
      <c r="AW7" s="442"/>
      <c r="AX7" s="442"/>
      <c r="AY7" s="442"/>
      <c r="AZ7" s="442"/>
      <c r="BA7" s="442"/>
      <c r="BB7" s="442"/>
      <c r="BC7" s="442"/>
      <c r="BD7" s="442"/>
      <c r="BE7" s="442"/>
      <c r="BF7" s="442"/>
      <c r="BG7" s="442"/>
      <c r="BH7" s="442"/>
      <c r="BI7" s="442"/>
      <c r="BJ7" s="442"/>
      <c r="BK7" s="442"/>
      <c r="BL7" s="442"/>
      <c r="BM7" s="442"/>
      <c r="BN7" s="442"/>
      <c r="BO7" s="442"/>
      <c r="BP7" s="442"/>
      <c r="BQ7" s="442"/>
      <c r="BR7" s="51"/>
    </row>
    <row r="8" spans="1:70" ht="23.25" customHeight="1" x14ac:dyDescent="0.25">
      <c r="A8" s="46"/>
      <c r="B8" s="471" t="s">
        <v>709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  <c r="Q8" s="471"/>
      <c r="R8" s="471"/>
      <c r="S8" s="471"/>
      <c r="T8" s="471"/>
      <c r="U8" s="471"/>
      <c r="V8" s="471"/>
      <c r="W8" s="471"/>
      <c r="X8" s="471"/>
      <c r="Y8" s="471"/>
      <c r="Z8" s="471"/>
      <c r="AA8" s="471"/>
      <c r="AB8" s="471"/>
      <c r="AC8" s="471"/>
      <c r="AD8" s="471"/>
      <c r="AE8" s="471"/>
      <c r="AF8" s="471"/>
      <c r="AG8" s="471"/>
      <c r="AH8" s="471"/>
      <c r="AI8" s="471"/>
      <c r="AJ8" s="471"/>
      <c r="AK8" s="471"/>
      <c r="AL8" s="471"/>
      <c r="AM8" s="471"/>
      <c r="AN8" s="471"/>
      <c r="AO8" s="471"/>
      <c r="AP8" s="471"/>
      <c r="AQ8" s="471"/>
      <c r="AR8" s="471"/>
      <c r="AS8" s="471"/>
      <c r="AT8" s="471"/>
      <c r="AU8" s="471"/>
      <c r="AV8" s="471"/>
      <c r="AW8" s="471"/>
      <c r="AX8" s="471"/>
      <c r="AY8" s="471"/>
      <c r="AZ8" s="471"/>
      <c r="BA8" s="471"/>
      <c r="BB8" s="471"/>
      <c r="BC8" s="471"/>
      <c r="BD8" s="471"/>
      <c r="BE8" s="471"/>
      <c r="BF8" s="471"/>
      <c r="BG8" s="471"/>
      <c r="BH8" s="471"/>
      <c r="BI8" s="471"/>
      <c r="BJ8" s="471"/>
      <c r="BK8" s="471"/>
      <c r="BL8" s="471"/>
      <c r="BM8" s="471"/>
      <c r="BN8" s="471"/>
      <c r="BO8" s="471"/>
      <c r="BP8" s="471"/>
      <c r="BQ8" s="471"/>
      <c r="BR8" s="75"/>
    </row>
    <row r="9" spans="1:70" ht="1.5" customHeight="1" x14ac:dyDescent="0.25">
      <c r="A9" s="46"/>
      <c r="B9" s="76"/>
      <c r="C9" s="77"/>
      <c r="D9" s="77"/>
      <c r="E9" s="77"/>
      <c r="F9" s="77"/>
      <c r="G9" s="77"/>
      <c r="H9" s="77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5"/>
      <c r="BR9" s="75"/>
    </row>
    <row r="10" spans="1:70" s="15" customFormat="1" ht="9" customHeight="1" x14ac:dyDescent="0.25">
      <c r="A10" s="18"/>
      <c r="B10" s="467" t="s">
        <v>180</v>
      </c>
      <c r="C10" s="468"/>
      <c r="D10" s="468"/>
      <c r="E10" s="469"/>
      <c r="F10" s="70"/>
      <c r="G10" s="70"/>
      <c r="H10" s="70"/>
      <c r="I10" s="70"/>
      <c r="J10" s="70"/>
      <c r="K10" s="71"/>
      <c r="L10" s="62"/>
      <c r="M10" s="467" t="s">
        <v>181</v>
      </c>
      <c r="N10" s="468"/>
      <c r="O10" s="468"/>
      <c r="P10" s="469"/>
      <c r="Q10" s="70"/>
      <c r="R10" s="70"/>
      <c r="S10" s="70"/>
      <c r="T10" s="70"/>
      <c r="U10" s="70"/>
      <c r="V10" s="71"/>
      <c r="W10" s="62"/>
      <c r="X10" s="467" t="s">
        <v>182</v>
      </c>
      <c r="Y10" s="468"/>
      <c r="Z10" s="468"/>
      <c r="AA10" s="469"/>
      <c r="AB10" s="70"/>
      <c r="AC10" s="70"/>
      <c r="AD10" s="70"/>
      <c r="AE10" s="70"/>
      <c r="AF10" s="70"/>
      <c r="AG10" s="71"/>
      <c r="AH10" s="60"/>
      <c r="AI10" s="467" t="s">
        <v>183</v>
      </c>
      <c r="AJ10" s="468"/>
      <c r="AK10" s="468"/>
      <c r="AL10" s="469"/>
      <c r="AM10" s="70"/>
      <c r="AN10" s="70"/>
      <c r="AO10" s="70"/>
      <c r="AP10" s="70"/>
      <c r="AQ10" s="70"/>
      <c r="AR10" s="71"/>
      <c r="AS10" s="60"/>
      <c r="AT10" s="467" t="s">
        <v>184</v>
      </c>
      <c r="AU10" s="468"/>
      <c r="AV10" s="468"/>
      <c r="AW10" s="469"/>
      <c r="AX10" s="70"/>
      <c r="AY10" s="70"/>
      <c r="AZ10" s="70"/>
      <c r="BA10" s="70"/>
      <c r="BB10" s="70"/>
      <c r="BC10" s="70"/>
      <c r="BD10" s="71"/>
      <c r="BE10" s="60"/>
      <c r="BF10" s="467" t="s">
        <v>185</v>
      </c>
      <c r="BG10" s="468"/>
      <c r="BH10" s="468"/>
      <c r="BI10" s="469"/>
      <c r="BJ10" s="70"/>
      <c r="BK10" s="70"/>
      <c r="BL10" s="70"/>
      <c r="BM10" s="70"/>
      <c r="BN10" s="70"/>
      <c r="BO10" s="70"/>
      <c r="BP10" s="70"/>
      <c r="BQ10" s="71"/>
      <c r="BR10" s="61"/>
    </row>
    <row r="11" spans="1:70" s="15" customFormat="1" ht="9" customHeight="1" x14ac:dyDescent="0.25">
      <c r="A11" s="18"/>
      <c r="B11" s="59"/>
      <c r="C11" s="60"/>
      <c r="D11" s="60"/>
      <c r="E11" s="60"/>
      <c r="F11" s="60"/>
      <c r="G11" s="60"/>
      <c r="H11" s="60"/>
      <c r="I11" s="60"/>
      <c r="J11" s="60"/>
      <c r="K11" s="61"/>
      <c r="L11" s="62"/>
      <c r="M11" s="59"/>
      <c r="N11" s="60"/>
      <c r="O11" s="60"/>
      <c r="P11" s="60"/>
      <c r="Q11" s="60"/>
      <c r="R11" s="60"/>
      <c r="S11" s="60"/>
      <c r="T11" s="60"/>
      <c r="U11" s="60"/>
      <c r="V11" s="61"/>
      <c r="W11" s="62"/>
      <c r="X11" s="59"/>
      <c r="Y11" s="60"/>
      <c r="Z11" s="60"/>
      <c r="AA11" s="60"/>
      <c r="AB11" s="60"/>
      <c r="AC11" s="60"/>
      <c r="AD11" s="60"/>
      <c r="AE11" s="60"/>
      <c r="AF11" s="60"/>
      <c r="AG11" s="61"/>
      <c r="AH11" s="60"/>
      <c r="AI11" s="59"/>
      <c r="AJ11" s="60"/>
      <c r="AK11" s="60"/>
      <c r="AL11" s="60"/>
      <c r="AM11" s="60"/>
      <c r="AN11" s="60"/>
      <c r="AO11" s="60"/>
      <c r="AP11" s="60"/>
      <c r="AQ11" s="60"/>
      <c r="AR11" s="61"/>
      <c r="AS11" s="60"/>
      <c r="AT11" s="59"/>
      <c r="AU11" s="60"/>
      <c r="AV11" s="60"/>
      <c r="AW11" s="60"/>
      <c r="AX11" s="60"/>
      <c r="AY11" s="60"/>
      <c r="AZ11" s="60"/>
      <c r="BA11" s="60"/>
      <c r="BB11" s="60"/>
      <c r="BC11" s="60"/>
      <c r="BD11" s="61"/>
      <c r="BE11" s="60"/>
      <c r="BF11" s="59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1"/>
      <c r="BR11" s="61"/>
    </row>
    <row r="12" spans="1:70" s="15" customFormat="1" ht="9" customHeight="1" x14ac:dyDescent="0.25">
      <c r="A12" s="18"/>
      <c r="B12" s="59"/>
      <c r="C12" s="60"/>
      <c r="D12" s="60"/>
      <c r="E12" s="60"/>
      <c r="F12" s="60"/>
      <c r="G12" s="60"/>
      <c r="H12" s="60"/>
      <c r="I12" s="60"/>
      <c r="J12" s="60"/>
      <c r="K12" s="61"/>
      <c r="L12" s="62"/>
      <c r="M12" s="59"/>
      <c r="N12" s="60"/>
      <c r="O12" s="60"/>
      <c r="P12" s="60"/>
      <c r="Q12" s="60"/>
      <c r="R12" s="60"/>
      <c r="S12" s="60"/>
      <c r="T12" s="60"/>
      <c r="U12" s="60"/>
      <c r="V12" s="61"/>
      <c r="W12" s="62"/>
      <c r="X12" s="59"/>
      <c r="Y12" s="60"/>
      <c r="Z12" s="60"/>
      <c r="AA12" s="60"/>
      <c r="AB12" s="60"/>
      <c r="AC12" s="60"/>
      <c r="AD12" s="60"/>
      <c r="AE12" s="60"/>
      <c r="AF12" s="60"/>
      <c r="AG12" s="61"/>
      <c r="AH12" s="60"/>
      <c r="AI12" s="59"/>
      <c r="AJ12" s="60"/>
      <c r="AK12" s="60"/>
      <c r="AL12" s="60"/>
      <c r="AM12" s="60"/>
      <c r="AN12" s="60"/>
      <c r="AO12" s="60"/>
      <c r="AP12" s="60"/>
      <c r="AQ12" s="60"/>
      <c r="AR12" s="61"/>
      <c r="AS12" s="60"/>
      <c r="AT12" s="59"/>
      <c r="AU12" s="60"/>
      <c r="AV12" s="60"/>
      <c r="AW12" s="60"/>
      <c r="AX12" s="60"/>
      <c r="AY12" s="60"/>
      <c r="AZ12" s="60"/>
      <c r="BA12" s="60"/>
      <c r="BB12" s="60"/>
      <c r="BC12" s="60"/>
      <c r="BD12" s="61"/>
      <c r="BE12" s="60"/>
      <c r="BF12" s="59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1"/>
      <c r="BR12" s="61"/>
    </row>
    <row r="13" spans="1:70" s="15" customFormat="1" ht="9" customHeight="1" x14ac:dyDescent="0.25">
      <c r="A13" s="18"/>
      <c r="B13" s="59"/>
      <c r="C13" s="60"/>
      <c r="D13" s="60"/>
      <c r="E13" s="60"/>
      <c r="F13" s="60"/>
      <c r="G13" s="60"/>
      <c r="H13" s="60"/>
      <c r="I13" s="60"/>
      <c r="J13" s="60"/>
      <c r="K13" s="61"/>
      <c r="L13" s="62"/>
      <c r="M13" s="59"/>
      <c r="N13" s="60"/>
      <c r="O13" s="60"/>
      <c r="P13" s="60"/>
      <c r="Q13" s="60"/>
      <c r="R13" s="60"/>
      <c r="S13" s="60"/>
      <c r="T13" s="60"/>
      <c r="U13" s="60"/>
      <c r="V13" s="61"/>
      <c r="W13" s="62"/>
      <c r="X13" s="59"/>
      <c r="Y13" s="60"/>
      <c r="Z13" s="60"/>
      <c r="AA13" s="60"/>
      <c r="AB13" s="60"/>
      <c r="AC13" s="60"/>
      <c r="AD13" s="60"/>
      <c r="AE13" s="60"/>
      <c r="AF13" s="60"/>
      <c r="AG13" s="61"/>
      <c r="AH13" s="60"/>
      <c r="AI13" s="59"/>
      <c r="AJ13" s="60"/>
      <c r="AK13" s="60"/>
      <c r="AL13" s="60"/>
      <c r="AM13" s="60"/>
      <c r="AN13" s="60"/>
      <c r="AO13" s="60"/>
      <c r="AP13" s="60"/>
      <c r="AQ13" s="60"/>
      <c r="AR13" s="61"/>
      <c r="AS13" s="60"/>
      <c r="AT13" s="59"/>
      <c r="AU13" s="60"/>
      <c r="AV13" s="60"/>
      <c r="AW13" s="60"/>
      <c r="AX13" s="60"/>
      <c r="AY13" s="60"/>
      <c r="AZ13" s="60"/>
      <c r="BA13" s="60"/>
      <c r="BB13" s="60"/>
      <c r="BC13" s="60"/>
      <c r="BD13" s="61"/>
      <c r="BE13" s="60"/>
      <c r="BF13" s="59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1"/>
      <c r="BR13" s="61"/>
    </row>
    <row r="14" spans="1:70" s="15" customFormat="1" ht="9" customHeight="1" x14ac:dyDescent="0.25">
      <c r="A14" s="18"/>
      <c r="B14" s="59"/>
      <c r="C14" s="60"/>
      <c r="D14" s="60"/>
      <c r="E14" s="60"/>
      <c r="F14" s="60"/>
      <c r="G14" s="60"/>
      <c r="H14" s="60"/>
      <c r="I14" s="60"/>
      <c r="J14" s="60"/>
      <c r="K14" s="61"/>
      <c r="L14" s="62"/>
      <c r="M14" s="59"/>
      <c r="N14" s="60"/>
      <c r="O14" s="60"/>
      <c r="P14" s="60"/>
      <c r="Q14" s="60"/>
      <c r="R14" s="60"/>
      <c r="S14" s="60"/>
      <c r="T14" s="60"/>
      <c r="U14" s="60"/>
      <c r="V14" s="61"/>
      <c r="W14" s="62"/>
      <c r="X14" s="59"/>
      <c r="Y14" s="60"/>
      <c r="Z14" s="60"/>
      <c r="AA14" s="60"/>
      <c r="AB14" s="60"/>
      <c r="AC14" s="60"/>
      <c r="AD14" s="60"/>
      <c r="AE14" s="60"/>
      <c r="AF14" s="60"/>
      <c r="AG14" s="61"/>
      <c r="AH14" s="60"/>
      <c r="AI14" s="59"/>
      <c r="AJ14" s="60"/>
      <c r="AK14" s="60"/>
      <c r="AL14" s="60"/>
      <c r="AM14" s="60"/>
      <c r="AN14" s="60"/>
      <c r="AO14" s="60"/>
      <c r="AP14" s="60"/>
      <c r="AQ14" s="60"/>
      <c r="AR14" s="61"/>
      <c r="AS14" s="60"/>
      <c r="AT14" s="59"/>
      <c r="AU14" s="60"/>
      <c r="AV14" s="60"/>
      <c r="AW14" s="60"/>
      <c r="AX14" s="60"/>
      <c r="AY14" s="60"/>
      <c r="AZ14" s="60"/>
      <c r="BA14" s="60"/>
      <c r="BB14" s="60"/>
      <c r="BC14" s="60"/>
      <c r="BD14" s="61"/>
      <c r="BE14" s="60"/>
      <c r="BF14" s="59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1"/>
      <c r="BR14" s="61"/>
    </row>
    <row r="15" spans="1:70" s="15" customFormat="1" ht="9" customHeight="1" x14ac:dyDescent="0.25">
      <c r="A15" s="18"/>
      <c r="B15" s="59"/>
      <c r="C15" s="60"/>
      <c r="D15" s="60"/>
      <c r="E15" s="60"/>
      <c r="F15" s="60"/>
      <c r="G15" s="60"/>
      <c r="H15" s="60"/>
      <c r="I15" s="60"/>
      <c r="J15" s="60"/>
      <c r="K15" s="61"/>
      <c r="L15" s="62"/>
      <c r="M15" s="59"/>
      <c r="N15" s="60"/>
      <c r="O15" s="60"/>
      <c r="P15" s="60"/>
      <c r="Q15" s="60"/>
      <c r="R15" s="60"/>
      <c r="S15" s="60"/>
      <c r="T15" s="60"/>
      <c r="U15" s="60"/>
      <c r="V15" s="61"/>
      <c r="W15" s="62"/>
      <c r="X15" s="59"/>
      <c r="Y15" s="60"/>
      <c r="Z15" s="60"/>
      <c r="AA15" s="60"/>
      <c r="AB15" s="60"/>
      <c r="AC15" s="60"/>
      <c r="AD15" s="60"/>
      <c r="AE15" s="60"/>
      <c r="AF15" s="60"/>
      <c r="AG15" s="61"/>
      <c r="AH15" s="60"/>
      <c r="AI15" s="59"/>
      <c r="AJ15" s="60"/>
      <c r="AK15" s="60"/>
      <c r="AL15" s="60"/>
      <c r="AM15" s="60"/>
      <c r="AN15" s="60"/>
      <c r="AO15" s="60"/>
      <c r="AP15" s="60"/>
      <c r="AQ15" s="60"/>
      <c r="AR15" s="61"/>
      <c r="AS15" s="60"/>
      <c r="AT15" s="59"/>
      <c r="AU15" s="60"/>
      <c r="AV15" s="60"/>
      <c r="AW15" s="60"/>
      <c r="AX15" s="60"/>
      <c r="AY15" s="60"/>
      <c r="AZ15" s="60"/>
      <c r="BA15" s="60"/>
      <c r="BB15" s="60"/>
      <c r="BC15" s="60"/>
      <c r="BD15" s="61"/>
      <c r="BE15" s="60"/>
      <c r="BF15" s="59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1"/>
      <c r="BR15" s="61"/>
    </row>
    <row r="16" spans="1:70" s="15" customFormat="1" ht="9" customHeight="1" x14ac:dyDescent="0.25">
      <c r="A16" s="18"/>
      <c r="B16" s="59"/>
      <c r="C16" s="60"/>
      <c r="D16" s="60"/>
      <c r="E16" s="60"/>
      <c r="F16" s="60"/>
      <c r="G16" s="60"/>
      <c r="H16" s="60"/>
      <c r="I16" s="60"/>
      <c r="J16" s="60"/>
      <c r="K16" s="61"/>
      <c r="L16" s="62"/>
      <c r="M16" s="59"/>
      <c r="N16" s="60"/>
      <c r="O16" s="60"/>
      <c r="P16" s="60"/>
      <c r="Q16" s="60"/>
      <c r="R16" s="60"/>
      <c r="S16" s="60"/>
      <c r="T16" s="60"/>
      <c r="U16" s="60"/>
      <c r="V16" s="61"/>
      <c r="W16" s="62"/>
      <c r="X16" s="59"/>
      <c r="Y16" s="60"/>
      <c r="Z16" s="60"/>
      <c r="AA16" s="60"/>
      <c r="AB16" s="60"/>
      <c r="AC16" s="60"/>
      <c r="AD16" s="60"/>
      <c r="AE16" s="60"/>
      <c r="AF16" s="60"/>
      <c r="AG16" s="61"/>
      <c r="AH16" s="60"/>
      <c r="AI16" s="59"/>
      <c r="AJ16" s="60"/>
      <c r="AK16" s="60"/>
      <c r="AL16" s="60"/>
      <c r="AM16" s="60"/>
      <c r="AN16" s="60"/>
      <c r="AO16" s="60"/>
      <c r="AP16" s="60"/>
      <c r="AQ16" s="60"/>
      <c r="AR16" s="61"/>
      <c r="AS16" s="60"/>
      <c r="AT16" s="59"/>
      <c r="AU16" s="60"/>
      <c r="AV16" s="60"/>
      <c r="AW16" s="60"/>
      <c r="AX16" s="60"/>
      <c r="AY16" s="60"/>
      <c r="AZ16" s="60"/>
      <c r="BA16" s="60"/>
      <c r="BB16" s="60"/>
      <c r="BC16" s="60"/>
      <c r="BD16" s="61"/>
      <c r="BE16" s="60"/>
      <c r="BF16" s="59"/>
      <c r="BG16" s="60"/>
      <c r="BH16" s="60"/>
      <c r="BI16" s="60"/>
      <c r="BJ16" s="60"/>
      <c r="BK16" s="60"/>
      <c r="BL16" s="60"/>
      <c r="BM16" s="60"/>
      <c r="BN16" s="60"/>
      <c r="BO16" s="60"/>
      <c r="BP16" s="60"/>
      <c r="BQ16" s="61"/>
      <c r="BR16" s="61"/>
    </row>
    <row r="17" spans="1:70" s="15" customFormat="1" ht="9" customHeight="1" x14ac:dyDescent="0.25">
      <c r="A17" s="18"/>
      <c r="B17" s="59"/>
      <c r="C17" s="60"/>
      <c r="D17" s="60"/>
      <c r="E17" s="60"/>
      <c r="F17" s="60"/>
      <c r="G17" s="60"/>
      <c r="H17" s="60"/>
      <c r="I17" s="60"/>
      <c r="J17" s="60"/>
      <c r="K17" s="61"/>
      <c r="L17" s="62"/>
      <c r="M17" s="59"/>
      <c r="N17" s="60"/>
      <c r="O17" s="60"/>
      <c r="P17" s="60"/>
      <c r="Q17" s="60"/>
      <c r="R17" s="60"/>
      <c r="S17" s="60"/>
      <c r="T17" s="60"/>
      <c r="U17" s="60"/>
      <c r="V17" s="61"/>
      <c r="W17" s="62"/>
      <c r="X17" s="59"/>
      <c r="Y17" s="60"/>
      <c r="Z17" s="60"/>
      <c r="AA17" s="60"/>
      <c r="AB17" s="60"/>
      <c r="AC17" s="60"/>
      <c r="AD17" s="60"/>
      <c r="AE17" s="60"/>
      <c r="AF17" s="60"/>
      <c r="AG17" s="61"/>
      <c r="AH17" s="60"/>
      <c r="AI17" s="59"/>
      <c r="AJ17" s="60"/>
      <c r="AK17" s="60"/>
      <c r="AL17" s="60"/>
      <c r="AM17" s="60"/>
      <c r="AN17" s="60"/>
      <c r="AO17" s="60"/>
      <c r="AP17" s="60"/>
      <c r="AQ17" s="60"/>
      <c r="AR17" s="61"/>
      <c r="AS17" s="60"/>
      <c r="AT17" s="59"/>
      <c r="AU17" s="60"/>
      <c r="AV17" s="60"/>
      <c r="AW17" s="60"/>
      <c r="AX17" s="60"/>
      <c r="AY17" s="60"/>
      <c r="AZ17" s="60"/>
      <c r="BA17" s="60"/>
      <c r="BB17" s="60"/>
      <c r="BC17" s="60"/>
      <c r="BD17" s="61"/>
      <c r="BE17" s="60"/>
      <c r="BF17" s="59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1"/>
      <c r="BR17" s="61"/>
    </row>
    <row r="18" spans="1:70" s="15" customFormat="1" ht="9" customHeight="1" x14ac:dyDescent="0.25">
      <c r="A18" s="18"/>
      <c r="B18" s="59"/>
      <c r="C18" s="60"/>
      <c r="D18" s="60"/>
      <c r="E18" s="60"/>
      <c r="F18" s="60"/>
      <c r="G18" s="60"/>
      <c r="H18" s="60"/>
      <c r="I18" s="60"/>
      <c r="J18" s="60"/>
      <c r="K18" s="61"/>
      <c r="L18" s="62"/>
      <c r="M18" s="59"/>
      <c r="N18" s="60"/>
      <c r="O18" s="60"/>
      <c r="P18" s="60"/>
      <c r="Q18" s="60"/>
      <c r="R18" s="60"/>
      <c r="S18" s="60"/>
      <c r="T18" s="60"/>
      <c r="U18" s="60"/>
      <c r="V18" s="61"/>
      <c r="W18" s="62"/>
      <c r="X18" s="59"/>
      <c r="Y18" s="60"/>
      <c r="Z18" s="60"/>
      <c r="AA18" s="60"/>
      <c r="AB18" s="60"/>
      <c r="AC18" s="60"/>
      <c r="AD18" s="60"/>
      <c r="AE18" s="60"/>
      <c r="AF18" s="60"/>
      <c r="AG18" s="61"/>
      <c r="AH18" s="60"/>
      <c r="AI18" s="59"/>
      <c r="AJ18" s="60"/>
      <c r="AK18" s="60"/>
      <c r="AL18" s="60"/>
      <c r="AM18" s="60"/>
      <c r="AN18" s="60"/>
      <c r="AO18" s="60"/>
      <c r="AP18" s="60"/>
      <c r="AQ18" s="60"/>
      <c r="AR18" s="61"/>
      <c r="AS18" s="60"/>
      <c r="AT18" s="59"/>
      <c r="AU18" s="60"/>
      <c r="AV18" s="60"/>
      <c r="AW18" s="60"/>
      <c r="AX18" s="60"/>
      <c r="AY18" s="60"/>
      <c r="AZ18" s="60"/>
      <c r="BA18" s="60"/>
      <c r="BB18" s="60"/>
      <c r="BC18" s="60"/>
      <c r="BD18" s="61"/>
      <c r="BE18" s="60"/>
      <c r="BF18" s="59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1"/>
      <c r="BR18" s="61"/>
    </row>
    <row r="19" spans="1:70" s="15" customFormat="1" ht="9" customHeight="1" x14ac:dyDescent="0.25">
      <c r="A19" s="18"/>
      <c r="B19" s="59"/>
      <c r="C19" s="60"/>
      <c r="D19" s="60"/>
      <c r="E19" s="60"/>
      <c r="F19" s="60"/>
      <c r="G19" s="60"/>
      <c r="H19" s="60"/>
      <c r="I19" s="60"/>
      <c r="J19" s="60"/>
      <c r="K19" s="61"/>
      <c r="L19" s="62"/>
      <c r="M19" s="59"/>
      <c r="N19" s="60"/>
      <c r="O19" s="60"/>
      <c r="P19" s="60"/>
      <c r="Q19" s="60"/>
      <c r="R19" s="60"/>
      <c r="S19" s="60"/>
      <c r="T19" s="60"/>
      <c r="U19" s="60"/>
      <c r="V19" s="61"/>
      <c r="W19" s="62"/>
      <c r="X19" s="59"/>
      <c r="Y19" s="60"/>
      <c r="Z19" s="60"/>
      <c r="AA19" s="60"/>
      <c r="AB19" s="60"/>
      <c r="AC19" s="60"/>
      <c r="AD19" s="60"/>
      <c r="AE19" s="60"/>
      <c r="AF19" s="60"/>
      <c r="AG19" s="61"/>
      <c r="AH19" s="60"/>
      <c r="AI19" s="59"/>
      <c r="AJ19" s="60"/>
      <c r="AK19" s="60"/>
      <c r="AL19" s="60"/>
      <c r="AM19" s="60"/>
      <c r="AN19" s="60"/>
      <c r="AO19" s="60"/>
      <c r="AP19" s="60"/>
      <c r="AQ19" s="60"/>
      <c r="AR19" s="61"/>
      <c r="AS19" s="60"/>
      <c r="AT19" s="59"/>
      <c r="AU19" s="60"/>
      <c r="AV19" s="60"/>
      <c r="AW19" s="60"/>
      <c r="AX19" s="60"/>
      <c r="AY19" s="60"/>
      <c r="AZ19" s="60"/>
      <c r="BA19" s="60"/>
      <c r="BB19" s="60"/>
      <c r="BC19" s="60"/>
      <c r="BD19" s="61"/>
      <c r="BE19" s="60"/>
      <c r="BF19" s="59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1"/>
      <c r="BR19" s="61"/>
    </row>
    <row r="20" spans="1:70" s="15" customFormat="1" ht="9" customHeight="1" x14ac:dyDescent="0.25">
      <c r="A20" s="18"/>
      <c r="B20" s="59"/>
      <c r="C20" s="60"/>
      <c r="D20" s="60"/>
      <c r="E20" s="60"/>
      <c r="F20" s="60"/>
      <c r="G20" s="60"/>
      <c r="H20" s="60"/>
      <c r="I20" s="60"/>
      <c r="J20" s="60"/>
      <c r="K20" s="61"/>
      <c r="L20" s="62"/>
      <c r="M20" s="59"/>
      <c r="N20" s="60"/>
      <c r="O20" s="60"/>
      <c r="P20" s="60"/>
      <c r="Q20" s="60"/>
      <c r="R20" s="60"/>
      <c r="S20" s="60"/>
      <c r="T20" s="60"/>
      <c r="U20" s="60"/>
      <c r="V20" s="61"/>
      <c r="W20" s="62"/>
      <c r="X20" s="59"/>
      <c r="Y20" s="60"/>
      <c r="Z20" s="60"/>
      <c r="AA20" s="60"/>
      <c r="AB20" s="60"/>
      <c r="AC20" s="60"/>
      <c r="AD20" s="60"/>
      <c r="AE20" s="60"/>
      <c r="AF20" s="60"/>
      <c r="AG20" s="61"/>
      <c r="AH20" s="60"/>
      <c r="AI20" s="59"/>
      <c r="AJ20" s="60"/>
      <c r="AK20" s="60"/>
      <c r="AL20" s="60"/>
      <c r="AM20" s="60"/>
      <c r="AN20" s="60"/>
      <c r="AO20" s="60"/>
      <c r="AP20" s="60"/>
      <c r="AQ20" s="60"/>
      <c r="AR20" s="61"/>
      <c r="AS20" s="60"/>
      <c r="AT20" s="59"/>
      <c r="AU20" s="60"/>
      <c r="AV20" s="60"/>
      <c r="AW20" s="60"/>
      <c r="AX20" s="60"/>
      <c r="AY20" s="60"/>
      <c r="AZ20" s="60"/>
      <c r="BA20" s="60"/>
      <c r="BB20" s="60"/>
      <c r="BC20" s="60"/>
      <c r="BD20" s="61"/>
      <c r="BE20" s="60"/>
      <c r="BF20" s="59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1"/>
      <c r="BR20" s="61"/>
    </row>
    <row r="21" spans="1:70" s="15" customFormat="1" ht="9" customHeight="1" x14ac:dyDescent="0.25">
      <c r="A21" s="18"/>
      <c r="B21" s="463" t="s">
        <v>214</v>
      </c>
      <c r="C21" s="458"/>
      <c r="D21" s="458"/>
      <c r="E21" s="458"/>
      <c r="F21" s="458"/>
      <c r="G21" s="458"/>
      <c r="H21" s="458"/>
      <c r="I21" s="458"/>
      <c r="J21" s="458"/>
      <c r="K21" s="460"/>
      <c r="L21" s="74"/>
      <c r="M21" s="463" t="s">
        <v>215</v>
      </c>
      <c r="N21" s="458"/>
      <c r="O21" s="458"/>
      <c r="P21" s="458"/>
      <c r="Q21" s="458"/>
      <c r="R21" s="458"/>
      <c r="S21" s="458"/>
      <c r="T21" s="458"/>
      <c r="U21" s="458"/>
      <c r="V21" s="460"/>
      <c r="W21" s="74"/>
      <c r="X21" s="463" t="s">
        <v>216</v>
      </c>
      <c r="Y21" s="458"/>
      <c r="Z21" s="458"/>
      <c r="AA21" s="458"/>
      <c r="AB21" s="458"/>
      <c r="AC21" s="458"/>
      <c r="AD21" s="458"/>
      <c r="AE21" s="458"/>
      <c r="AF21" s="458"/>
      <c r="AG21" s="460"/>
      <c r="AH21" s="74"/>
      <c r="AI21" s="463" t="s">
        <v>217</v>
      </c>
      <c r="AJ21" s="458"/>
      <c r="AK21" s="458"/>
      <c r="AL21" s="458"/>
      <c r="AM21" s="458"/>
      <c r="AN21" s="458"/>
      <c r="AO21" s="458"/>
      <c r="AP21" s="458"/>
      <c r="AQ21" s="458"/>
      <c r="AR21" s="460"/>
      <c r="AS21" s="74"/>
      <c r="AT21" s="463" t="s">
        <v>218</v>
      </c>
      <c r="AU21" s="458"/>
      <c r="AV21" s="458"/>
      <c r="AW21" s="458"/>
      <c r="AX21" s="458"/>
      <c r="AY21" s="458"/>
      <c r="AZ21" s="458"/>
      <c r="BA21" s="458"/>
      <c r="BB21" s="458"/>
      <c r="BC21" s="458"/>
      <c r="BD21" s="460"/>
      <c r="BE21" s="74"/>
      <c r="BF21" s="463" t="s">
        <v>213</v>
      </c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60"/>
      <c r="BR21" s="61"/>
    </row>
    <row r="22" spans="1:70" s="15" customFormat="1" ht="9" customHeight="1" x14ac:dyDescent="0.25">
      <c r="A22" s="18"/>
      <c r="B22" s="261" t="s">
        <v>703</v>
      </c>
      <c r="C22" s="261"/>
      <c r="D22" s="261"/>
      <c r="E22" s="261"/>
      <c r="F22" s="261"/>
      <c r="G22" s="261"/>
      <c r="H22" s="262">
        <f>CEILING(1880*B5,1)</f>
        <v>2632</v>
      </c>
      <c r="I22" s="262"/>
      <c r="J22" s="262"/>
      <c r="K22" s="262"/>
      <c r="L22" s="204"/>
      <c r="M22" s="261" t="s">
        <v>704</v>
      </c>
      <c r="N22" s="261"/>
      <c r="O22" s="261"/>
      <c r="P22" s="261"/>
      <c r="Q22" s="261"/>
      <c r="R22" s="261"/>
      <c r="S22" s="262">
        <f>CEILING(3048*B5,1)</f>
        <v>4268</v>
      </c>
      <c r="T22" s="262"/>
      <c r="U22" s="262"/>
      <c r="V22" s="262"/>
      <c r="W22" s="204"/>
      <c r="X22" s="261" t="s">
        <v>705</v>
      </c>
      <c r="Y22" s="261"/>
      <c r="Z22" s="261"/>
      <c r="AA22" s="261"/>
      <c r="AB22" s="261"/>
      <c r="AC22" s="261"/>
      <c r="AD22" s="262">
        <f>CEILING(4657*B5,1)</f>
        <v>6520</v>
      </c>
      <c r="AE22" s="262"/>
      <c r="AF22" s="262"/>
      <c r="AG22" s="262"/>
      <c r="AH22" s="205"/>
      <c r="AI22" s="261" t="s">
        <v>706</v>
      </c>
      <c r="AJ22" s="261"/>
      <c r="AK22" s="261"/>
      <c r="AL22" s="261"/>
      <c r="AM22" s="261"/>
      <c r="AN22" s="261"/>
      <c r="AO22" s="262">
        <f>CEILING(6132*B5,1)</f>
        <v>8585</v>
      </c>
      <c r="AP22" s="262"/>
      <c r="AQ22" s="262"/>
      <c r="AR22" s="262"/>
      <c r="AS22" s="205"/>
      <c r="AT22" s="261" t="s">
        <v>707</v>
      </c>
      <c r="AU22" s="261"/>
      <c r="AV22" s="261"/>
      <c r="AW22" s="261"/>
      <c r="AX22" s="261"/>
      <c r="AY22" s="261"/>
      <c r="AZ22" s="261"/>
      <c r="BA22" s="262">
        <f>CEILING(7669*B5,1)</f>
        <v>10737</v>
      </c>
      <c r="BB22" s="262"/>
      <c r="BC22" s="262"/>
      <c r="BD22" s="262"/>
      <c r="BE22" s="205"/>
      <c r="BF22" s="261" t="s">
        <v>708</v>
      </c>
      <c r="BG22" s="261"/>
      <c r="BH22" s="261"/>
      <c r="BI22" s="261"/>
      <c r="BJ22" s="261"/>
      <c r="BK22" s="261"/>
      <c r="BL22" s="261"/>
      <c r="BM22" s="261"/>
      <c r="BN22" s="262">
        <f>CEILING(9109*B5,1)</f>
        <v>12753</v>
      </c>
      <c r="BO22" s="262"/>
      <c r="BP22" s="262"/>
      <c r="BQ22" s="262"/>
      <c r="BR22" s="61"/>
    </row>
    <row r="23" spans="1:70" s="15" customFormat="1" ht="2.1" customHeight="1" x14ac:dyDescent="0.25">
      <c r="A23" s="18"/>
      <c r="B23" s="63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1"/>
      <c r="BR23" s="61"/>
    </row>
    <row r="24" spans="1:70" s="15" customFormat="1" ht="9" customHeight="1" x14ac:dyDescent="0.25">
      <c r="A24" s="18"/>
      <c r="B24" s="467" t="s">
        <v>186</v>
      </c>
      <c r="C24" s="468"/>
      <c r="D24" s="468"/>
      <c r="E24" s="469"/>
      <c r="F24" s="70"/>
      <c r="G24" s="70"/>
      <c r="H24" s="70"/>
      <c r="I24" s="70"/>
      <c r="J24" s="70"/>
      <c r="K24" s="71"/>
      <c r="L24" s="62"/>
      <c r="M24" s="467" t="s">
        <v>187</v>
      </c>
      <c r="N24" s="468"/>
      <c r="O24" s="468"/>
      <c r="P24" s="469"/>
      <c r="Q24" s="70"/>
      <c r="R24" s="70"/>
      <c r="S24" s="70"/>
      <c r="T24" s="70"/>
      <c r="U24" s="70"/>
      <c r="V24" s="71"/>
      <c r="W24" s="62"/>
      <c r="X24" s="467" t="s">
        <v>188</v>
      </c>
      <c r="Y24" s="468"/>
      <c r="Z24" s="468"/>
      <c r="AA24" s="469"/>
      <c r="AB24" s="70"/>
      <c r="AC24" s="70"/>
      <c r="AD24" s="70"/>
      <c r="AE24" s="70"/>
      <c r="AF24" s="70"/>
      <c r="AG24" s="71"/>
      <c r="AH24" s="60"/>
      <c r="AI24" s="467" t="s">
        <v>189</v>
      </c>
      <c r="AJ24" s="468"/>
      <c r="AK24" s="468"/>
      <c r="AL24" s="469"/>
      <c r="AM24" s="70"/>
      <c r="AN24" s="70"/>
      <c r="AO24" s="70"/>
      <c r="AP24" s="70"/>
      <c r="AQ24" s="70"/>
      <c r="AR24" s="71"/>
      <c r="AS24" s="60"/>
      <c r="AT24" s="467" t="s">
        <v>190</v>
      </c>
      <c r="AU24" s="468"/>
      <c r="AV24" s="468"/>
      <c r="AW24" s="469"/>
      <c r="AX24" s="70"/>
      <c r="AY24" s="70"/>
      <c r="AZ24" s="70"/>
      <c r="BA24" s="70"/>
      <c r="BB24" s="70"/>
      <c r="BC24" s="70"/>
      <c r="BD24" s="71"/>
      <c r="BE24" s="60"/>
      <c r="BF24" s="467" t="s">
        <v>191</v>
      </c>
      <c r="BG24" s="468"/>
      <c r="BH24" s="468"/>
      <c r="BI24" s="469"/>
      <c r="BJ24" s="70"/>
      <c r="BK24" s="70"/>
      <c r="BL24" s="70"/>
      <c r="BM24" s="70"/>
      <c r="BN24" s="70"/>
      <c r="BO24" s="70"/>
      <c r="BP24" s="70"/>
      <c r="BQ24" s="71"/>
      <c r="BR24" s="61"/>
    </row>
    <row r="25" spans="1:70" s="15" customFormat="1" ht="9" customHeight="1" x14ac:dyDescent="0.25">
      <c r="A25" s="18"/>
      <c r="B25" s="59"/>
      <c r="C25" s="60"/>
      <c r="D25" s="60"/>
      <c r="E25" s="60"/>
      <c r="F25" s="60"/>
      <c r="G25" s="60"/>
      <c r="H25" s="60"/>
      <c r="I25" s="60"/>
      <c r="J25" s="60"/>
      <c r="K25" s="61"/>
      <c r="L25" s="60"/>
      <c r="M25" s="59"/>
      <c r="N25" s="60"/>
      <c r="O25" s="60"/>
      <c r="P25" s="60"/>
      <c r="Q25" s="60"/>
      <c r="R25" s="60"/>
      <c r="S25" s="60"/>
      <c r="T25" s="60"/>
      <c r="U25" s="60"/>
      <c r="V25" s="61"/>
      <c r="W25" s="60"/>
      <c r="X25" s="59"/>
      <c r="Y25" s="60"/>
      <c r="Z25" s="60"/>
      <c r="AA25" s="60"/>
      <c r="AB25" s="60"/>
      <c r="AC25" s="60"/>
      <c r="AD25" s="60"/>
      <c r="AE25" s="60"/>
      <c r="AF25" s="60"/>
      <c r="AG25" s="61"/>
      <c r="AH25" s="60"/>
      <c r="AI25" s="59"/>
      <c r="AJ25" s="60"/>
      <c r="AK25" s="60"/>
      <c r="AL25" s="60"/>
      <c r="AM25" s="60"/>
      <c r="AN25" s="60"/>
      <c r="AO25" s="60"/>
      <c r="AP25" s="60"/>
      <c r="AQ25" s="60"/>
      <c r="AR25" s="61"/>
      <c r="AS25" s="60"/>
      <c r="AT25" s="59"/>
      <c r="AU25" s="60"/>
      <c r="AV25" s="60"/>
      <c r="AW25" s="60"/>
      <c r="AX25" s="60"/>
      <c r="AY25" s="60"/>
      <c r="AZ25" s="60"/>
      <c r="BA25" s="60"/>
      <c r="BB25" s="60"/>
      <c r="BC25" s="60"/>
      <c r="BD25" s="61"/>
      <c r="BE25" s="60"/>
      <c r="BF25" s="59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1"/>
      <c r="BR25" s="61"/>
    </row>
    <row r="26" spans="1:70" s="15" customFormat="1" ht="9" customHeight="1" x14ac:dyDescent="0.25">
      <c r="A26" s="18"/>
      <c r="B26" s="59"/>
      <c r="C26" s="60"/>
      <c r="D26" s="60"/>
      <c r="E26" s="60"/>
      <c r="F26" s="60"/>
      <c r="G26" s="60"/>
      <c r="H26" s="60"/>
      <c r="I26" s="60"/>
      <c r="J26" s="60"/>
      <c r="K26" s="61"/>
      <c r="L26" s="60"/>
      <c r="M26" s="59"/>
      <c r="N26" s="60"/>
      <c r="O26" s="60"/>
      <c r="P26" s="60"/>
      <c r="Q26" s="60"/>
      <c r="R26" s="60"/>
      <c r="S26" s="60"/>
      <c r="T26" s="60"/>
      <c r="U26" s="60"/>
      <c r="V26" s="61"/>
      <c r="W26" s="60"/>
      <c r="X26" s="59"/>
      <c r="Y26" s="60"/>
      <c r="Z26" s="60"/>
      <c r="AA26" s="60"/>
      <c r="AB26" s="60"/>
      <c r="AC26" s="60"/>
      <c r="AD26" s="60"/>
      <c r="AE26" s="60"/>
      <c r="AF26" s="60"/>
      <c r="AG26" s="61"/>
      <c r="AH26" s="60"/>
      <c r="AI26" s="59"/>
      <c r="AJ26" s="60"/>
      <c r="AK26" s="60"/>
      <c r="AL26" s="60"/>
      <c r="AM26" s="60"/>
      <c r="AN26" s="60"/>
      <c r="AO26" s="60"/>
      <c r="AP26" s="60"/>
      <c r="AQ26" s="60"/>
      <c r="AR26" s="61"/>
      <c r="AS26" s="60"/>
      <c r="AT26" s="59"/>
      <c r="AU26" s="60"/>
      <c r="AV26" s="60"/>
      <c r="AW26" s="60"/>
      <c r="AX26" s="60"/>
      <c r="AY26" s="60"/>
      <c r="AZ26" s="60"/>
      <c r="BA26" s="60"/>
      <c r="BB26" s="60"/>
      <c r="BC26" s="60"/>
      <c r="BD26" s="61"/>
      <c r="BE26" s="60"/>
      <c r="BF26" s="59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1"/>
      <c r="BR26" s="61"/>
    </row>
    <row r="27" spans="1:70" s="15" customFormat="1" ht="9" customHeight="1" x14ac:dyDescent="0.25">
      <c r="A27" s="18"/>
      <c r="B27" s="59"/>
      <c r="C27" s="60"/>
      <c r="D27" s="60"/>
      <c r="E27" s="60"/>
      <c r="F27" s="60"/>
      <c r="G27" s="60"/>
      <c r="H27" s="60"/>
      <c r="I27" s="60"/>
      <c r="J27" s="60"/>
      <c r="K27" s="61"/>
      <c r="L27" s="60"/>
      <c r="M27" s="59"/>
      <c r="N27" s="60"/>
      <c r="O27" s="60"/>
      <c r="P27" s="60"/>
      <c r="Q27" s="60"/>
      <c r="R27" s="60"/>
      <c r="S27" s="60"/>
      <c r="T27" s="60"/>
      <c r="U27" s="60"/>
      <c r="V27" s="61"/>
      <c r="W27" s="60"/>
      <c r="X27" s="59"/>
      <c r="Y27" s="60"/>
      <c r="Z27" s="60"/>
      <c r="AA27" s="60"/>
      <c r="AB27" s="60"/>
      <c r="AC27" s="60"/>
      <c r="AD27" s="60"/>
      <c r="AE27" s="60"/>
      <c r="AF27" s="60"/>
      <c r="AG27" s="61"/>
      <c r="AH27" s="60"/>
      <c r="AI27" s="59"/>
      <c r="AJ27" s="60"/>
      <c r="AK27" s="60"/>
      <c r="AL27" s="60"/>
      <c r="AM27" s="60"/>
      <c r="AN27" s="60"/>
      <c r="AO27" s="60"/>
      <c r="AP27" s="60"/>
      <c r="AQ27" s="60"/>
      <c r="AR27" s="61"/>
      <c r="AS27" s="60"/>
      <c r="AT27" s="59"/>
      <c r="AU27" s="60"/>
      <c r="AV27" s="60"/>
      <c r="AW27" s="60"/>
      <c r="AX27" s="60"/>
      <c r="AY27" s="60"/>
      <c r="AZ27" s="60"/>
      <c r="BA27" s="60"/>
      <c r="BB27" s="60"/>
      <c r="BC27" s="60"/>
      <c r="BD27" s="61"/>
      <c r="BE27" s="60"/>
      <c r="BF27" s="59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1"/>
      <c r="BR27" s="61"/>
    </row>
    <row r="28" spans="1:70" s="15" customFormat="1" ht="9" customHeight="1" x14ac:dyDescent="0.25">
      <c r="A28" s="18"/>
      <c r="B28" s="59"/>
      <c r="C28" s="60"/>
      <c r="D28" s="60"/>
      <c r="E28" s="60"/>
      <c r="F28" s="60"/>
      <c r="G28" s="60"/>
      <c r="H28" s="60"/>
      <c r="I28" s="60"/>
      <c r="J28" s="60"/>
      <c r="K28" s="61"/>
      <c r="L28" s="60"/>
      <c r="M28" s="59"/>
      <c r="N28" s="60"/>
      <c r="O28" s="60"/>
      <c r="P28" s="60"/>
      <c r="Q28" s="60"/>
      <c r="R28" s="60"/>
      <c r="S28" s="60"/>
      <c r="T28" s="60"/>
      <c r="U28" s="60"/>
      <c r="V28" s="61"/>
      <c r="W28" s="60"/>
      <c r="X28" s="59"/>
      <c r="Y28" s="60"/>
      <c r="Z28" s="60"/>
      <c r="AA28" s="60"/>
      <c r="AB28" s="60"/>
      <c r="AC28" s="60"/>
      <c r="AD28" s="60"/>
      <c r="AE28" s="60"/>
      <c r="AF28" s="60"/>
      <c r="AG28" s="61"/>
      <c r="AH28" s="60"/>
      <c r="AI28" s="59"/>
      <c r="AJ28" s="60"/>
      <c r="AK28" s="60"/>
      <c r="AL28" s="60"/>
      <c r="AM28" s="60"/>
      <c r="AN28" s="60"/>
      <c r="AO28" s="60"/>
      <c r="AP28" s="60"/>
      <c r="AQ28" s="60"/>
      <c r="AR28" s="61"/>
      <c r="AS28" s="60"/>
      <c r="AT28" s="59"/>
      <c r="AU28" s="60"/>
      <c r="AV28" s="60"/>
      <c r="AW28" s="60"/>
      <c r="AX28" s="60"/>
      <c r="AY28" s="60"/>
      <c r="AZ28" s="60"/>
      <c r="BA28" s="60"/>
      <c r="BB28" s="60"/>
      <c r="BC28" s="60"/>
      <c r="BD28" s="61"/>
      <c r="BE28" s="60"/>
      <c r="BF28" s="59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1"/>
      <c r="BR28" s="61"/>
    </row>
    <row r="29" spans="1:70" s="15" customFormat="1" ht="9" customHeight="1" x14ac:dyDescent="0.25">
      <c r="A29" s="18"/>
      <c r="B29" s="59"/>
      <c r="C29" s="60"/>
      <c r="D29" s="60"/>
      <c r="E29" s="60"/>
      <c r="F29" s="60"/>
      <c r="G29" s="60"/>
      <c r="H29" s="60"/>
      <c r="I29" s="60"/>
      <c r="J29" s="60"/>
      <c r="K29" s="61"/>
      <c r="L29" s="60"/>
      <c r="M29" s="59"/>
      <c r="N29" s="60"/>
      <c r="O29" s="60"/>
      <c r="P29" s="60"/>
      <c r="Q29" s="60"/>
      <c r="R29" s="60"/>
      <c r="S29" s="60"/>
      <c r="T29" s="60"/>
      <c r="U29" s="60"/>
      <c r="V29" s="61"/>
      <c r="W29" s="60"/>
      <c r="X29" s="59"/>
      <c r="Y29" s="60"/>
      <c r="Z29" s="60"/>
      <c r="AA29" s="60"/>
      <c r="AB29" s="60"/>
      <c r="AC29" s="60"/>
      <c r="AD29" s="60"/>
      <c r="AE29" s="60"/>
      <c r="AF29" s="60"/>
      <c r="AG29" s="61"/>
      <c r="AH29" s="60"/>
      <c r="AI29" s="59"/>
      <c r="AJ29" s="60"/>
      <c r="AK29" s="60"/>
      <c r="AL29" s="60"/>
      <c r="AM29" s="60"/>
      <c r="AN29" s="60"/>
      <c r="AO29" s="60"/>
      <c r="AP29" s="60"/>
      <c r="AQ29" s="60"/>
      <c r="AR29" s="61"/>
      <c r="AS29" s="60"/>
      <c r="AT29" s="59"/>
      <c r="AU29" s="60"/>
      <c r="AV29" s="60"/>
      <c r="AW29" s="60"/>
      <c r="AX29" s="60"/>
      <c r="AY29" s="60"/>
      <c r="AZ29" s="60"/>
      <c r="BA29" s="60"/>
      <c r="BB29" s="60"/>
      <c r="BC29" s="60"/>
      <c r="BD29" s="61"/>
      <c r="BE29" s="60"/>
      <c r="BF29" s="59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1"/>
      <c r="BR29" s="61"/>
    </row>
    <row r="30" spans="1:70" s="15" customFormat="1" ht="9" customHeight="1" x14ac:dyDescent="0.25">
      <c r="A30" s="18"/>
      <c r="B30" s="59"/>
      <c r="C30" s="60"/>
      <c r="D30" s="60"/>
      <c r="E30" s="60"/>
      <c r="F30" s="60"/>
      <c r="G30" s="60"/>
      <c r="H30" s="60"/>
      <c r="I30" s="60"/>
      <c r="J30" s="60"/>
      <c r="K30" s="61"/>
      <c r="L30" s="60"/>
      <c r="M30" s="59"/>
      <c r="N30" s="60"/>
      <c r="O30" s="60"/>
      <c r="P30" s="60"/>
      <c r="Q30" s="60"/>
      <c r="R30" s="60"/>
      <c r="S30" s="60"/>
      <c r="T30" s="60"/>
      <c r="U30" s="60"/>
      <c r="V30" s="61"/>
      <c r="W30" s="60"/>
      <c r="X30" s="59"/>
      <c r="Y30" s="60"/>
      <c r="Z30" s="60"/>
      <c r="AA30" s="60"/>
      <c r="AB30" s="60"/>
      <c r="AC30" s="60"/>
      <c r="AD30" s="60"/>
      <c r="AE30" s="60"/>
      <c r="AF30" s="60"/>
      <c r="AG30" s="61"/>
      <c r="AH30" s="60"/>
      <c r="AI30" s="59"/>
      <c r="AJ30" s="60"/>
      <c r="AK30" s="60"/>
      <c r="AL30" s="60"/>
      <c r="AM30" s="60"/>
      <c r="AN30" s="60"/>
      <c r="AO30" s="60"/>
      <c r="AP30" s="60"/>
      <c r="AQ30" s="60"/>
      <c r="AR30" s="61"/>
      <c r="AS30" s="60"/>
      <c r="AT30" s="59"/>
      <c r="AU30" s="60"/>
      <c r="AV30" s="60"/>
      <c r="AW30" s="60"/>
      <c r="AX30" s="60"/>
      <c r="AY30" s="60"/>
      <c r="AZ30" s="60"/>
      <c r="BA30" s="60"/>
      <c r="BB30" s="60"/>
      <c r="BC30" s="60"/>
      <c r="BD30" s="61"/>
      <c r="BE30" s="60"/>
      <c r="BF30" s="59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1"/>
      <c r="BR30" s="61"/>
    </row>
    <row r="31" spans="1:70" s="15" customFormat="1" ht="9" customHeight="1" x14ac:dyDescent="0.25">
      <c r="A31" s="18"/>
      <c r="B31" s="59"/>
      <c r="C31" s="60"/>
      <c r="D31" s="60"/>
      <c r="E31" s="60"/>
      <c r="F31" s="60"/>
      <c r="G31" s="60"/>
      <c r="H31" s="60"/>
      <c r="I31" s="60"/>
      <c r="J31" s="60"/>
      <c r="K31" s="61"/>
      <c r="L31" s="60"/>
      <c r="M31" s="59"/>
      <c r="N31" s="60"/>
      <c r="O31" s="60"/>
      <c r="P31" s="60"/>
      <c r="Q31" s="60"/>
      <c r="R31" s="60"/>
      <c r="S31" s="60"/>
      <c r="T31" s="60"/>
      <c r="U31" s="60"/>
      <c r="V31" s="61"/>
      <c r="W31" s="60"/>
      <c r="X31" s="59"/>
      <c r="Y31" s="60"/>
      <c r="Z31" s="60"/>
      <c r="AA31" s="60"/>
      <c r="AB31" s="60"/>
      <c r="AC31" s="60"/>
      <c r="AD31" s="60"/>
      <c r="AE31" s="60"/>
      <c r="AF31" s="60"/>
      <c r="AG31" s="61"/>
      <c r="AH31" s="60"/>
      <c r="AI31" s="59"/>
      <c r="AJ31" s="60"/>
      <c r="AK31" s="60"/>
      <c r="AL31" s="60"/>
      <c r="AM31" s="60"/>
      <c r="AN31" s="60"/>
      <c r="AO31" s="60"/>
      <c r="AP31" s="60"/>
      <c r="AQ31" s="60"/>
      <c r="AR31" s="61"/>
      <c r="AS31" s="60"/>
      <c r="AT31" s="59"/>
      <c r="AU31" s="60"/>
      <c r="AV31" s="60"/>
      <c r="AW31" s="60"/>
      <c r="AX31" s="60"/>
      <c r="AY31" s="60"/>
      <c r="AZ31" s="60"/>
      <c r="BA31" s="60"/>
      <c r="BB31" s="60"/>
      <c r="BC31" s="60"/>
      <c r="BD31" s="61"/>
      <c r="BE31" s="60"/>
      <c r="BF31" s="59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1"/>
      <c r="BR31" s="61"/>
    </row>
    <row r="32" spans="1:70" s="15" customFormat="1" ht="9" customHeight="1" x14ac:dyDescent="0.25">
      <c r="A32" s="18"/>
      <c r="B32" s="59"/>
      <c r="C32" s="60"/>
      <c r="D32" s="60"/>
      <c r="E32" s="60"/>
      <c r="F32" s="60"/>
      <c r="G32" s="60"/>
      <c r="H32" s="60"/>
      <c r="I32" s="60"/>
      <c r="J32" s="60"/>
      <c r="K32" s="61"/>
      <c r="L32" s="60"/>
      <c r="M32" s="59"/>
      <c r="N32" s="60"/>
      <c r="O32" s="60"/>
      <c r="P32" s="60"/>
      <c r="Q32" s="60"/>
      <c r="R32" s="60"/>
      <c r="S32" s="60"/>
      <c r="T32" s="60"/>
      <c r="U32" s="60"/>
      <c r="V32" s="61"/>
      <c r="W32" s="60"/>
      <c r="X32" s="59"/>
      <c r="Y32" s="60"/>
      <c r="Z32" s="60"/>
      <c r="AA32" s="60"/>
      <c r="AB32" s="60"/>
      <c r="AC32" s="60"/>
      <c r="AD32" s="60"/>
      <c r="AE32" s="60"/>
      <c r="AF32" s="60"/>
      <c r="AG32" s="61"/>
      <c r="AH32" s="60"/>
      <c r="AI32" s="59"/>
      <c r="AJ32" s="60"/>
      <c r="AK32" s="60"/>
      <c r="AL32" s="60"/>
      <c r="AM32" s="60"/>
      <c r="AN32" s="60"/>
      <c r="AO32" s="60"/>
      <c r="AP32" s="60"/>
      <c r="AQ32" s="60"/>
      <c r="AR32" s="61"/>
      <c r="AS32" s="60"/>
      <c r="AT32" s="59"/>
      <c r="AU32" s="60"/>
      <c r="AV32" s="60"/>
      <c r="AW32" s="60"/>
      <c r="AX32" s="60"/>
      <c r="AY32" s="60"/>
      <c r="AZ32" s="60"/>
      <c r="BA32" s="60"/>
      <c r="BB32" s="60"/>
      <c r="BC32" s="60"/>
      <c r="BD32" s="61"/>
      <c r="BE32" s="60"/>
      <c r="BF32" s="59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1"/>
      <c r="BR32" s="61"/>
    </row>
    <row r="33" spans="1:71" s="15" customFormat="1" ht="9" customHeight="1" x14ac:dyDescent="0.25">
      <c r="A33" s="18"/>
      <c r="B33" s="59"/>
      <c r="C33" s="60"/>
      <c r="D33" s="60"/>
      <c r="E33" s="60"/>
      <c r="F33" s="60"/>
      <c r="G33" s="60"/>
      <c r="H33" s="60"/>
      <c r="I33" s="60"/>
      <c r="J33" s="60"/>
      <c r="K33" s="61"/>
      <c r="L33" s="60"/>
      <c r="M33" s="59"/>
      <c r="N33" s="60"/>
      <c r="O33" s="60"/>
      <c r="P33" s="60"/>
      <c r="Q33" s="60"/>
      <c r="R33" s="60"/>
      <c r="S33" s="60"/>
      <c r="T33" s="60"/>
      <c r="U33" s="60"/>
      <c r="V33" s="61"/>
      <c r="W33" s="60"/>
      <c r="X33" s="59"/>
      <c r="Y33" s="60"/>
      <c r="Z33" s="60"/>
      <c r="AA33" s="60"/>
      <c r="AB33" s="60"/>
      <c r="AC33" s="60"/>
      <c r="AD33" s="60"/>
      <c r="AE33" s="60"/>
      <c r="AF33" s="60"/>
      <c r="AG33" s="61"/>
      <c r="AH33" s="60"/>
      <c r="AI33" s="59"/>
      <c r="AJ33" s="60"/>
      <c r="AK33" s="60"/>
      <c r="AL33" s="60"/>
      <c r="AM33" s="60"/>
      <c r="AN33" s="60"/>
      <c r="AO33" s="60"/>
      <c r="AP33" s="60"/>
      <c r="AQ33" s="60"/>
      <c r="AR33" s="61"/>
      <c r="AS33" s="60"/>
      <c r="AT33" s="59"/>
      <c r="AU33" s="60"/>
      <c r="AV33" s="60"/>
      <c r="AW33" s="60"/>
      <c r="AX33" s="60"/>
      <c r="AY33" s="60"/>
      <c r="AZ33" s="60"/>
      <c r="BA33" s="60"/>
      <c r="BB33" s="60"/>
      <c r="BC33" s="60"/>
      <c r="BD33" s="61"/>
      <c r="BE33" s="60"/>
      <c r="BF33" s="59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1"/>
      <c r="BR33" s="61"/>
    </row>
    <row r="34" spans="1:71" s="15" customFormat="1" ht="9" customHeight="1" x14ac:dyDescent="0.25">
      <c r="A34" s="18"/>
      <c r="B34" s="59"/>
      <c r="C34" s="60"/>
      <c r="D34" s="60"/>
      <c r="E34" s="60"/>
      <c r="F34" s="60"/>
      <c r="G34" s="60"/>
      <c r="H34" s="60"/>
      <c r="I34" s="60"/>
      <c r="J34" s="60"/>
      <c r="K34" s="61"/>
      <c r="L34" s="60"/>
      <c r="M34" s="59"/>
      <c r="N34" s="60"/>
      <c r="O34" s="60"/>
      <c r="P34" s="60"/>
      <c r="Q34" s="60"/>
      <c r="R34" s="60"/>
      <c r="S34" s="60"/>
      <c r="T34" s="60"/>
      <c r="U34" s="60"/>
      <c r="V34" s="61"/>
      <c r="W34" s="60"/>
      <c r="X34" s="59"/>
      <c r="Y34" s="60"/>
      <c r="Z34" s="60"/>
      <c r="AA34" s="60"/>
      <c r="AB34" s="60"/>
      <c r="AC34" s="60"/>
      <c r="AD34" s="60"/>
      <c r="AE34" s="60"/>
      <c r="AF34" s="60"/>
      <c r="AG34" s="61"/>
      <c r="AH34" s="60"/>
      <c r="AI34" s="59"/>
      <c r="AJ34" s="60"/>
      <c r="AK34" s="60"/>
      <c r="AL34" s="60"/>
      <c r="AM34" s="60"/>
      <c r="AN34" s="60"/>
      <c r="AO34" s="60"/>
      <c r="AP34" s="60"/>
      <c r="AQ34" s="60"/>
      <c r="AR34" s="61"/>
      <c r="AS34" s="60"/>
      <c r="AT34" s="59"/>
      <c r="AU34" s="60"/>
      <c r="AV34" s="60"/>
      <c r="AW34" s="60"/>
      <c r="AX34" s="60"/>
      <c r="AY34" s="60"/>
      <c r="AZ34" s="60"/>
      <c r="BA34" s="60"/>
      <c r="BB34" s="60"/>
      <c r="BC34" s="60"/>
      <c r="BD34" s="61"/>
      <c r="BE34" s="60"/>
      <c r="BF34" s="59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1"/>
      <c r="BR34" s="61"/>
    </row>
    <row r="35" spans="1:71" s="15" customFormat="1" ht="9" customHeight="1" x14ac:dyDescent="0.25">
      <c r="A35" s="18"/>
      <c r="B35" s="463" t="s">
        <v>214</v>
      </c>
      <c r="C35" s="458"/>
      <c r="D35" s="458"/>
      <c r="E35" s="458"/>
      <c r="F35" s="458"/>
      <c r="G35" s="458"/>
      <c r="H35" s="458"/>
      <c r="I35" s="458"/>
      <c r="J35" s="458"/>
      <c r="K35" s="460"/>
      <c r="L35" s="74"/>
      <c r="M35" s="463" t="s">
        <v>215</v>
      </c>
      <c r="N35" s="458"/>
      <c r="O35" s="458"/>
      <c r="P35" s="458"/>
      <c r="Q35" s="458"/>
      <c r="R35" s="458"/>
      <c r="S35" s="458"/>
      <c r="T35" s="458"/>
      <c r="U35" s="458"/>
      <c r="V35" s="460"/>
      <c r="W35" s="74"/>
      <c r="X35" s="463" t="s">
        <v>216</v>
      </c>
      <c r="Y35" s="458"/>
      <c r="Z35" s="458"/>
      <c r="AA35" s="458"/>
      <c r="AB35" s="458"/>
      <c r="AC35" s="458"/>
      <c r="AD35" s="458"/>
      <c r="AE35" s="458"/>
      <c r="AF35" s="458"/>
      <c r="AG35" s="460"/>
      <c r="AH35" s="74"/>
      <c r="AI35" s="463" t="s">
        <v>217</v>
      </c>
      <c r="AJ35" s="458"/>
      <c r="AK35" s="458"/>
      <c r="AL35" s="458"/>
      <c r="AM35" s="458"/>
      <c r="AN35" s="458"/>
      <c r="AO35" s="458"/>
      <c r="AP35" s="458"/>
      <c r="AQ35" s="458"/>
      <c r="AR35" s="460"/>
      <c r="AS35" s="74"/>
      <c r="AT35" s="463" t="s">
        <v>218</v>
      </c>
      <c r="AU35" s="458"/>
      <c r="AV35" s="458"/>
      <c r="AW35" s="458"/>
      <c r="AX35" s="458"/>
      <c r="AY35" s="458"/>
      <c r="AZ35" s="458"/>
      <c r="BA35" s="458"/>
      <c r="BB35" s="458"/>
      <c r="BC35" s="458"/>
      <c r="BD35" s="460"/>
      <c r="BE35" s="74"/>
      <c r="BF35" s="463" t="s">
        <v>213</v>
      </c>
      <c r="BG35" s="458"/>
      <c r="BH35" s="458"/>
      <c r="BI35" s="458"/>
      <c r="BJ35" s="458"/>
      <c r="BK35" s="458"/>
      <c r="BL35" s="458"/>
      <c r="BM35" s="458"/>
      <c r="BN35" s="458"/>
      <c r="BO35" s="458"/>
      <c r="BP35" s="458"/>
      <c r="BQ35" s="460"/>
      <c r="BR35" s="61"/>
    </row>
    <row r="36" spans="1:71" s="15" customFormat="1" ht="9" customHeight="1" x14ac:dyDescent="0.25">
      <c r="A36" s="18"/>
      <c r="B36" s="261" t="s">
        <v>703</v>
      </c>
      <c r="C36" s="261"/>
      <c r="D36" s="261"/>
      <c r="E36" s="261"/>
      <c r="F36" s="261"/>
      <c r="G36" s="261"/>
      <c r="H36" s="262">
        <f>CEILING(2176*B5,1)</f>
        <v>3047</v>
      </c>
      <c r="I36" s="262"/>
      <c r="J36" s="262"/>
      <c r="K36" s="262"/>
      <c r="L36" s="204"/>
      <c r="M36" s="261" t="s">
        <v>704</v>
      </c>
      <c r="N36" s="261"/>
      <c r="O36" s="261"/>
      <c r="P36" s="261"/>
      <c r="Q36" s="261"/>
      <c r="R36" s="261"/>
      <c r="S36" s="262">
        <f>CEILING(3346*B5,1)</f>
        <v>4685</v>
      </c>
      <c r="T36" s="262"/>
      <c r="U36" s="262"/>
      <c r="V36" s="262"/>
      <c r="W36" s="204"/>
      <c r="X36" s="261" t="s">
        <v>705</v>
      </c>
      <c r="Y36" s="261"/>
      <c r="Z36" s="261"/>
      <c r="AA36" s="261"/>
      <c r="AB36" s="261"/>
      <c r="AC36" s="261"/>
      <c r="AD36" s="262">
        <f>CEILING(4952*B5,1)</f>
        <v>6933</v>
      </c>
      <c r="AE36" s="262"/>
      <c r="AF36" s="262"/>
      <c r="AG36" s="262"/>
      <c r="AH36" s="205"/>
      <c r="AI36" s="261" t="s">
        <v>706</v>
      </c>
      <c r="AJ36" s="261"/>
      <c r="AK36" s="261"/>
      <c r="AL36" s="261"/>
      <c r="AM36" s="261"/>
      <c r="AN36" s="261"/>
      <c r="AO36" s="262">
        <f>CEILING(6427*B5,1)</f>
        <v>8998</v>
      </c>
      <c r="AP36" s="262"/>
      <c r="AQ36" s="262"/>
      <c r="AR36" s="262"/>
      <c r="AS36" s="205"/>
      <c r="AT36" s="261" t="s">
        <v>707</v>
      </c>
      <c r="AU36" s="261"/>
      <c r="AV36" s="261"/>
      <c r="AW36" s="261"/>
      <c r="AX36" s="261"/>
      <c r="AY36" s="261"/>
      <c r="AZ36" s="261"/>
      <c r="BA36" s="262">
        <f>CEILING(7964*B5,1)</f>
        <v>11150</v>
      </c>
      <c r="BB36" s="262"/>
      <c r="BC36" s="262"/>
      <c r="BD36" s="262"/>
      <c r="BE36" s="205"/>
      <c r="BF36" s="261" t="s">
        <v>708</v>
      </c>
      <c r="BG36" s="261"/>
      <c r="BH36" s="261"/>
      <c r="BI36" s="261"/>
      <c r="BJ36" s="261"/>
      <c r="BK36" s="261"/>
      <c r="BL36" s="261"/>
      <c r="BM36" s="261"/>
      <c r="BN36" s="262">
        <f>CEILING(9403*B5,1)</f>
        <v>13165</v>
      </c>
      <c r="BO36" s="262"/>
      <c r="BP36" s="262"/>
      <c r="BQ36" s="262"/>
      <c r="BR36" s="61"/>
    </row>
    <row r="37" spans="1:71" s="15" customFormat="1" ht="1.5" customHeight="1" x14ac:dyDescent="0.25">
      <c r="A37" s="18"/>
      <c r="B37" s="78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80"/>
      <c r="BR37" s="61"/>
    </row>
    <row r="38" spans="1:71" s="15" customFormat="1" ht="30" customHeight="1" x14ac:dyDescent="0.25">
      <c r="A38" s="18"/>
      <c r="B38" s="470" t="s">
        <v>710</v>
      </c>
      <c r="C38" s="470"/>
      <c r="D38" s="470"/>
      <c r="E38" s="470"/>
      <c r="F38" s="470"/>
      <c r="G38" s="470"/>
      <c r="H38" s="470"/>
      <c r="I38" s="470"/>
      <c r="J38" s="470"/>
      <c r="K38" s="470"/>
      <c r="L38" s="470"/>
      <c r="M38" s="470"/>
      <c r="N38" s="470"/>
      <c r="O38" s="470"/>
      <c r="P38" s="470"/>
      <c r="Q38" s="470"/>
      <c r="R38" s="470"/>
      <c r="S38" s="470"/>
      <c r="T38" s="470"/>
      <c r="U38" s="470"/>
      <c r="V38" s="470"/>
      <c r="W38" s="470"/>
      <c r="X38" s="470"/>
      <c r="Y38" s="470"/>
      <c r="Z38" s="470"/>
      <c r="AA38" s="470"/>
      <c r="AB38" s="470"/>
      <c r="AC38" s="470"/>
      <c r="AD38" s="470"/>
      <c r="AE38" s="470"/>
      <c r="AF38" s="470"/>
      <c r="AG38" s="470"/>
      <c r="AH38" s="470"/>
      <c r="AI38" s="470"/>
      <c r="AJ38" s="470"/>
      <c r="AK38" s="470"/>
      <c r="AL38" s="470"/>
      <c r="AM38" s="470"/>
      <c r="AN38" s="470"/>
      <c r="AO38" s="470"/>
      <c r="AP38" s="470"/>
      <c r="AQ38" s="470"/>
      <c r="AR38" s="470"/>
      <c r="AS38" s="470"/>
      <c r="AT38" s="470"/>
      <c r="AU38" s="470"/>
      <c r="AV38" s="470"/>
      <c r="AW38" s="470"/>
      <c r="AX38" s="470"/>
      <c r="AY38" s="470"/>
      <c r="AZ38" s="470"/>
      <c r="BA38" s="470"/>
      <c r="BB38" s="470"/>
      <c r="BC38" s="470"/>
      <c r="BD38" s="470"/>
      <c r="BE38" s="470"/>
      <c r="BF38" s="470"/>
      <c r="BG38" s="470"/>
      <c r="BH38" s="470"/>
      <c r="BI38" s="470"/>
      <c r="BJ38" s="470"/>
      <c r="BK38" s="470"/>
      <c r="BL38" s="470"/>
      <c r="BM38" s="470"/>
      <c r="BN38" s="470"/>
      <c r="BO38" s="470"/>
      <c r="BP38" s="470"/>
      <c r="BQ38" s="470"/>
      <c r="BR38" s="61"/>
    </row>
    <row r="39" spans="1:71" s="15" customFormat="1" ht="1.5" customHeight="1" x14ac:dyDescent="0.25">
      <c r="A39" s="18"/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5"/>
      <c r="BR39" s="61"/>
    </row>
    <row r="40" spans="1:71" s="15" customFormat="1" ht="9" customHeight="1" x14ac:dyDescent="0.25">
      <c r="A40" s="18"/>
      <c r="B40" s="467" t="s">
        <v>192</v>
      </c>
      <c r="C40" s="468"/>
      <c r="D40" s="468"/>
      <c r="E40" s="468"/>
      <c r="F40" s="469"/>
      <c r="G40" s="70"/>
      <c r="H40" s="70"/>
      <c r="I40" s="70"/>
      <c r="J40" s="70"/>
      <c r="K40" s="71"/>
      <c r="L40" s="60"/>
      <c r="M40" s="467" t="s">
        <v>193</v>
      </c>
      <c r="N40" s="468"/>
      <c r="O40" s="468"/>
      <c r="P40" s="468"/>
      <c r="Q40" s="469"/>
      <c r="R40" s="70"/>
      <c r="S40" s="70"/>
      <c r="T40" s="70"/>
      <c r="U40" s="70"/>
      <c r="V40" s="71"/>
      <c r="W40" s="60"/>
      <c r="X40" s="467" t="s">
        <v>194</v>
      </c>
      <c r="Y40" s="468"/>
      <c r="Z40" s="468"/>
      <c r="AA40" s="468"/>
      <c r="AB40" s="469"/>
      <c r="AC40" s="70"/>
      <c r="AD40" s="70"/>
      <c r="AE40" s="70"/>
      <c r="AF40" s="70"/>
      <c r="AG40" s="71"/>
      <c r="AH40" s="60"/>
      <c r="AI40" s="467" t="s">
        <v>195</v>
      </c>
      <c r="AJ40" s="468"/>
      <c r="AK40" s="468"/>
      <c r="AL40" s="468"/>
      <c r="AM40" s="469"/>
      <c r="AN40" s="70"/>
      <c r="AO40" s="70"/>
      <c r="AP40" s="70"/>
      <c r="AQ40" s="70"/>
      <c r="AR40" s="71"/>
      <c r="AS40" s="60"/>
      <c r="AT40" s="467" t="s">
        <v>196</v>
      </c>
      <c r="AU40" s="468"/>
      <c r="AV40" s="468"/>
      <c r="AW40" s="468"/>
      <c r="AX40" s="469"/>
      <c r="AY40" s="60"/>
      <c r="AZ40" s="60"/>
      <c r="BA40" s="60"/>
      <c r="BB40" s="60"/>
      <c r="BC40" s="60"/>
      <c r="BD40" s="61"/>
      <c r="BE40" s="60"/>
      <c r="BF40" s="467" t="s">
        <v>197</v>
      </c>
      <c r="BG40" s="468"/>
      <c r="BH40" s="468"/>
      <c r="BI40" s="468"/>
      <c r="BJ40" s="469"/>
      <c r="BK40" s="70"/>
      <c r="BL40" s="70"/>
      <c r="BM40" s="70"/>
      <c r="BN40" s="70"/>
      <c r="BO40" s="70"/>
      <c r="BP40" s="70"/>
      <c r="BQ40" s="71"/>
      <c r="BR40" s="61"/>
    </row>
    <row r="41" spans="1:71" s="15" customFormat="1" ht="9" customHeight="1" x14ac:dyDescent="0.25">
      <c r="A41" s="18"/>
      <c r="B41" s="59"/>
      <c r="C41" s="60"/>
      <c r="D41" s="60"/>
      <c r="E41" s="60"/>
      <c r="F41" s="60"/>
      <c r="G41" s="60"/>
      <c r="H41" s="60"/>
      <c r="I41" s="60"/>
      <c r="J41" s="60"/>
      <c r="K41" s="61"/>
      <c r="L41" s="60"/>
      <c r="M41" s="59"/>
      <c r="N41" s="60"/>
      <c r="O41" s="60"/>
      <c r="P41" s="60"/>
      <c r="Q41" s="60"/>
      <c r="R41" s="60"/>
      <c r="S41" s="60"/>
      <c r="T41" s="60"/>
      <c r="U41" s="60"/>
      <c r="V41" s="61"/>
      <c r="W41" s="60"/>
      <c r="X41" s="59"/>
      <c r="Y41" s="60"/>
      <c r="Z41" s="60"/>
      <c r="AA41" s="60"/>
      <c r="AB41" s="60"/>
      <c r="AC41" s="60"/>
      <c r="AD41" s="60"/>
      <c r="AE41" s="60"/>
      <c r="AF41" s="60"/>
      <c r="AG41" s="61"/>
      <c r="AH41" s="60"/>
      <c r="AI41" s="59"/>
      <c r="AJ41" s="60"/>
      <c r="AK41" s="60"/>
      <c r="AL41" s="60"/>
      <c r="AM41" s="60"/>
      <c r="AN41" s="60"/>
      <c r="AO41" s="60"/>
      <c r="AP41" s="60"/>
      <c r="AQ41" s="60"/>
      <c r="AR41" s="61"/>
      <c r="AS41" s="60"/>
      <c r="AT41" s="59"/>
      <c r="AU41" s="60"/>
      <c r="AV41" s="60"/>
      <c r="AW41" s="60"/>
      <c r="AX41" s="60"/>
      <c r="AY41" s="60"/>
      <c r="AZ41" s="60"/>
      <c r="BA41" s="60"/>
      <c r="BB41" s="60"/>
      <c r="BC41" s="60"/>
      <c r="BD41" s="61"/>
      <c r="BE41" s="60"/>
      <c r="BF41" s="59"/>
      <c r="BG41" s="60"/>
      <c r="BH41" s="60"/>
      <c r="BI41" s="60"/>
      <c r="BJ41" s="60"/>
      <c r="BK41" s="60"/>
      <c r="BL41" s="60"/>
      <c r="BM41" s="60"/>
      <c r="BN41" s="60"/>
      <c r="BO41" s="60"/>
      <c r="BP41" s="60"/>
      <c r="BQ41" s="61"/>
      <c r="BR41" s="61"/>
      <c r="BS41" s="17"/>
    </row>
    <row r="42" spans="1:71" s="15" customFormat="1" ht="9" customHeight="1" x14ac:dyDescent="0.25">
      <c r="A42" s="18"/>
      <c r="B42" s="59"/>
      <c r="C42" s="60"/>
      <c r="D42" s="60"/>
      <c r="E42" s="60"/>
      <c r="F42" s="60"/>
      <c r="G42" s="60"/>
      <c r="H42" s="60"/>
      <c r="I42" s="60"/>
      <c r="J42" s="60"/>
      <c r="K42" s="61"/>
      <c r="L42" s="60"/>
      <c r="M42" s="59"/>
      <c r="N42" s="60"/>
      <c r="O42" s="60"/>
      <c r="P42" s="60"/>
      <c r="Q42" s="60"/>
      <c r="R42" s="60"/>
      <c r="S42" s="60"/>
      <c r="T42" s="60"/>
      <c r="U42" s="60"/>
      <c r="V42" s="61"/>
      <c r="W42" s="60"/>
      <c r="X42" s="59"/>
      <c r="Y42" s="60"/>
      <c r="Z42" s="60"/>
      <c r="AA42" s="60"/>
      <c r="AB42" s="60"/>
      <c r="AC42" s="60"/>
      <c r="AD42" s="60"/>
      <c r="AE42" s="60"/>
      <c r="AF42" s="60"/>
      <c r="AG42" s="61"/>
      <c r="AH42" s="60"/>
      <c r="AI42" s="59"/>
      <c r="AJ42" s="60"/>
      <c r="AK42" s="60"/>
      <c r="AL42" s="60"/>
      <c r="AM42" s="60"/>
      <c r="AN42" s="60"/>
      <c r="AO42" s="60"/>
      <c r="AP42" s="60"/>
      <c r="AQ42" s="60"/>
      <c r="AR42" s="61"/>
      <c r="AS42" s="60"/>
      <c r="AT42" s="59"/>
      <c r="AU42" s="60"/>
      <c r="AV42" s="60"/>
      <c r="AW42" s="60"/>
      <c r="AX42" s="60"/>
      <c r="AY42" s="60"/>
      <c r="AZ42" s="60"/>
      <c r="BA42" s="60"/>
      <c r="BB42" s="60"/>
      <c r="BC42" s="60"/>
      <c r="BD42" s="61"/>
      <c r="BE42" s="60"/>
      <c r="BF42" s="59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1"/>
      <c r="BR42" s="61"/>
    </row>
    <row r="43" spans="1:71" s="15" customFormat="1" ht="9" customHeight="1" x14ac:dyDescent="0.25">
      <c r="A43" s="18"/>
      <c r="B43" s="59"/>
      <c r="C43" s="60"/>
      <c r="D43" s="60"/>
      <c r="E43" s="60"/>
      <c r="F43" s="60"/>
      <c r="G43" s="60"/>
      <c r="H43" s="60"/>
      <c r="I43" s="60"/>
      <c r="J43" s="60"/>
      <c r="K43" s="61"/>
      <c r="L43" s="60"/>
      <c r="M43" s="59"/>
      <c r="N43" s="60"/>
      <c r="O43" s="60"/>
      <c r="P43" s="60"/>
      <c r="Q43" s="60"/>
      <c r="R43" s="60"/>
      <c r="S43" s="60"/>
      <c r="T43" s="60"/>
      <c r="U43" s="60"/>
      <c r="V43" s="61"/>
      <c r="W43" s="60"/>
      <c r="X43" s="59"/>
      <c r="Y43" s="60"/>
      <c r="Z43" s="60"/>
      <c r="AA43" s="60"/>
      <c r="AB43" s="60"/>
      <c r="AC43" s="60"/>
      <c r="AD43" s="60"/>
      <c r="AE43" s="60"/>
      <c r="AF43" s="60"/>
      <c r="AG43" s="61"/>
      <c r="AH43" s="60"/>
      <c r="AI43" s="59"/>
      <c r="AJ43" s="60"/>
      <c r="AK43" s="60"/>
      <c r="AL43" s="60"/>
      <c r="AM43" s="60"/>
      <c r="AN43" s="60"/>
      <c r="AO43" s="60"/>
      <c r="AP43" s="60"/>
      <c r="AQ43" s="60"/>
      <c r="AR43" s="61"/>
      <c r="AS43" s="60"/>
      <c r="AT43" s="59"/>
      <c r="AU43" s="60"/>
      <c r="AV43" s="60"/>
      <c r="AW43" s="60"/>
      <c r="AX43" s="60"/>
      <c r="AY43" s="60"/>
      <c r="AZ43" s="60"/>
      <c r="BA43" s="60"/>
      <c r="BB43" s="60"/>
      <c r="BC43" s="60"/>
      <c r="BD43" s="61"/>
      <c r="BE43" s="60"/>
      <c r="BF43" s="59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1"/>
      <c r="BR43" s="61"/>
    </row>
    <row r="44" spans="1:71" s="15" customFormat="1" ht="9" customHeight="1" x14ac:dyDescent="0.25">
      <c r="A44" s="18"/>
      <c r="B44" s="59"/>
      <c r="C44" s="60"/>
      <c r="D44" s="60"/>
      <c r="E44" s="60"/>
      <c r="F44" s="60"/>
      <c r="G44" s="60"/>
      <c r="H44" s="60"/>
      <c r="I44" s="60"/>
      <c r="J44" s="60"/>
      <c r="K44" s="61"/>
      <c r="L44" s="60"/>
      <c r="M44" s="59"/>
      <c r="N44" s="60"/>
      <c r="O44" s="60"/>
      <c r="P44" s="60"/>
      <c r="Q44" s="60"/>
      <c r="R44" s="60"/>
      <c r="S44" s="60"/>
      <c r="T44" s="60"/>
      <c r="U44" s="60"/>
      <c r="V44" s="61"/>
      <c r="W44" s="60"/>
      <c r="X44" s="59"/>
      <c r="Y44" s="60"/>
      <c r="Z44" s="60"/>
      <c r="AA44" s="60"/>
      <c r="AB44" s="60"/>
      <c r="AC44" s="60"/>
      <c r="AD44" s="60"/>
      <c r="AE44" s="60"/>
      <c r="AF44" s="60"/>
      <c r="AG44" s="61"/>
      <c r="AH44" s="60"/>
      <c r="AI44" s="59"/>
      <c r="AJ44" s="60"/>
      <c r="AK44" s="60"/>
      <c r="AL44" s="60"/>
      <c r="AM44" s="60"/>
      <c r="AN44" s="60"/>
      <c r="AO44" s="60"/>
      <c r="AP44" s="60"/>
      <c r="AQ44" s="60"/>
      <c r="AR44" s="61"/>
      <c r="AS44" s="60"/>
      <c r="AT44" s="59"/>
      <c r="AU44" s="60"/>
      <c r="AV44" s="60"/>
      <c r="AW44" s="60"/>
      <c r="AX44" s="60"/>
      <c r="AY44" s="60"/>
      <c r="AZ44" s="60"/>
      <c r="BA44" s="60"/>
      <c r="BB44" s="60"/>
      <c r="BC44" s="60"/>
      <c r="BD44" s="61"/>
      <c r="BE44" s="60"/>
      <c r="BF44" s="59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1"/>
      <c r="BR44" s="61"/>
    </row>
    <row r="45" spans="1:71" s="15" customFormat="1" ht="9" customHeight="1" x14ac:dyDescent="0.25">
      <c r="A45" s="18"/>
      <c r="B45" s="59"/>
      <c r="C45" s="60"/>
      <c r="D45" s="60"/>
      <c r="E45" s="60"/>
      <c r="F45" s="60"/>
      <c r="G45" s="60"/>
      <c r="H45" s="60"/>
      <c r="I45" s="60"/>
      <c r="J45" s="60"/>
      <c r="K45" s="61"/>
      <c r="L45" s="60"/>
      <c r="M45" s="59"/>
      <c r="N45" s="60"/>
      <c r="O45" s="60"/>
      <c r="P45" s="60"/>
      <c r="Q45" s="60"/>
      <c r="R45" s="60"/>
      <c r="S45" s="60"/>
      <c r="T45" s="60"/>
      <c r="U45" s="60"/>
      <c r="V45" s="61"/>
      <c r="W45" s="60"/>
      <c r="X45" s="59"/>
      <c r="Y45" s="60"/>
      <c r="Z45" s="60"/>
      <c r="AA45" s="60"/>
      <c r="AB45" s="60"/>
      <c r="AC45" s="60"/>
      <c r="AD45" s="60"/>
      <c r="AE45" s="60"/>
      <c r="AF45" s="60"/>
      <c r="AG45" s="61"/>
      <c r="AH45" s="60"/>
      <c r="AI45" s="59"/>
      <c r="AJ45" s="60"/>
      <c r="AK45" s="60"/>
      <c r="AL45" s="60"/>
      <c r="AM45" s="60"/>
      <c r="AN45" s="60"/>
      <c r="AO45" s="60"/>
      <c r="AP45" s="60"/>
      <c r="AQ45" s="60"/>
      <c r="AR45" s="61"/>
      <c r="AS45" s="60"/>
      <c r="AT45" s="59"/>
      <c r="AU45" s="60"/>
      <c r="AV45" s="60"/>
      <c r="AW45" s="60"/>
      <c r="AX45" s="60"/>
      <c r="AY45" s="60"/>
      <c r="AZ45" s="60"/>
      <c r="BA45" s="60"/>
      <c r="BB45" s="60"/>
      <c r="BC45" s="60"/>
      <c r="BD45" s="61"/>
      <c r="BE45" s="60"/>
      <c r="BF45" s="59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1"/>
      <c r="BR45" s="61"/>
    </row>
    <row r="46" spans="1:71" s="15" customFormat="1" ht="9" customHeight="1" x14ac:dyDescent="0.25">
      <c r="A46" s="18"/>
      <c r="B46" s="59"/>
      <c r="C46" s="60"/>
      <c r="D46" s="60"/>
      <c r="E46" s="60"/>
      <c r="F46" s="60"/>
      <c r="G46" s="60"/>
      <c r="H46" s="60"/>
      <c r="I46" s="60"/>
      <c r="J46" s="60"/>
      <c r="K46" s="61"/>
      <c r="L46" s="60"/>
      <c r="M46" s="59"/>
      <c r="N46" s="60"/>
      <c r="O46" s="60"/>
      <c r="P46" s="60"/>
      <c r="Q46" s="60"/>
      <c r="R46" s="60"/>
      <c r="S46" s="60"/>
      <c r="T46" s="60"/>
      <c r="U46" s="60"/>
      <c r="V46" s="61"/>
      <c r="W46" s="60"/>
      <c r="X46" s="59"/>
      <c r="Y46" s="60"/>
      <c r="Z46" s="60"/>
      <c r="AA46" s="60"/>
      <c r="AB46" s="60"/>
      <c r="AC46" s="60"/>
      <c r="AD46" s="60"/>
      <c r="AE46" s="60"/>
      <c r="AF46" s="60"/>
      <c r="AG46" s="61"/>
      <c r="AH46" s="60"/>
      <c r="AI46" s="59"/>
      <c r="AJ46" s="60"/>
      <c r="AK46" s="60"/>
      <c r="AL46" s="60"/>
      <c r="AM46" s="60"/>
      <c r="AN46" s="60"/>
      <c r="AO46" s="60"/>
      <c r="AP46" s="60"/>
      <c r="AQ46" s="60"/>
      <c r="AR46" s="61"/>
      <c r="AS46" s="60"/>
      <c r="AT46" s="59"/>
      <c r="AU46" s="60"/>
      <c r="AV46" s="60"/>
      <c r="AW46" s="60"/>
      <c r="AX46" s="60"/>
      <c r="AY46" s="60"/>
      <c r="AZ46" s="60"/>
      <c r="BA46" s="60"/>
      <c r="BB46" s="60"/>
      <c r="BC46" s="60"/>
      <c r="BD46" s="61"/>
      <c r="BE46" s="60"/>
      <c r="BF46" s="59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1"/>
      <c r="BR46" s="61"/>
    </row>
    <row r="47" spans="1:71" s="15" customFormat="1" ht="9" customHeight="1" x14ac:dyDescent="0.25">
      <c r="A47" s="18"/>
      <c r="B47" s="59"/>
      <c r="C47" s="60"/>
      <c r="D47" s="60"/>
      <c r="E47" s="60"/>
      <c r="F47" s="60"/>
      <c r="G47" s="60"/>
      <c r="H47" s="60"/>
      <c r="I47" s="60"/>
      <c r="J47" s="60"/>
      <c r="K47" s="61"/>
      <c r="L47" s="60"/>
      <c r="M47" s="59"/>
      <c r="N47" s="60"/>
      <c r="O47" s="60"/>
      <c r="P47" s="60"/>
      <c r="Q47" s="60"/>
      <c r="R47" s="60"/>
      <c r="S47" s="60"/>
      <c r="T47" s="60"/>
      <c r="U47" s="60"/>
      <c r="V47" s="61"/>
      <c r="W47" s="60"/>
      <c r="X47" s="59"/>
      <c r="Y47" s="60"/>
      <c r="Z47" s="60"/>
      <c r="AA47" s="60"/>
      <c r="AB47" s="60"/>
      <c r="AC47" s="60"/>
      <c r="AD47" s="60"/>
      <c r="AE47" s="60"/>
      <c r="AF47" s="60"/>
      <c r="AG47" s="61"/>
      <c r="AH47" s="60"/>
      <c r="AI47" s="59"/>
      <c r="AJ47" s="60"/>
      <c r="AK47" s="60"/>
      <c r="AL47" s="60"/>
      <c r="AM47" s="60"/>
      <c r="AN47" s="60"/>
      <c r="AO47" s="60"/>
      <c r="AP47" s="60"/>
      <c r="AQ47" s="60"/>
      <c r="AR47" s="61"/>
      <c r="AS47" s="60"/>
      <c r="AT47" s="59"/>
      <c r="AU47" s="60"/>
      <c r="AV47" s="60"/>
      <c r="AW47" s="60"/>
      <c r="AX47" s="60"/>
      <c r="AY47" s="60"/>
      <c r="AZ47" s="60"/>
      <c r="BA47" s="60"/>
      <c r="BB47" s="60"/>
      <c r="BC47" s="60"/>
      <c r="BD47" s="61"/>
      <c r="BE47" s="60"/>
      <c r="BF47" s="59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1"/>
      <c r="BR47" s="61"/>
    </row>
    <row r="48" spans="1:71" s="15" customFormat="1" ht="9" customHeight="1" x14ac:dyDescent="0.25">
      <c r="A48" s="18"/>
      <c r="B48" s="59"/>
      <c r="C48" s="60"/>
      <c r="D48" s="60"/>
      <c r="E48" s="60"/>
      <c r="F48" s="60"/>
      <c r="G48" s="60"/>
      <c r="H48" s="60"/>
      <c r="I48" s="60"/>
      <c r="J48" s="60"/>
      <c r="K48" s="61"/>
      <c r="L48" s="60"/>
      <c r="M48" s="59"/>
      <c r="N48" s="60"/>
      <c r="O48" s="60"/>
      <c r="P48" s="60"/>
      <c r="Q48" s="60"/>
      <c r="R48" s="60"/>
      <c r="S48" s="60"/>
      <c r="T48" s="60"/>
      <c r="U48" s="60"/>
      <c r="V48" s="61"/>
      <c r="W48" s="60"/>
      <c r="X48" s="59"/>
      <c r="Y48" s="60"/>
      <c r="Z48" s="60"/>
      <c r="AA48" s="60"/>
      <c r="AB48" s="60"/>
      <c r="AC48" s="60"/>
      <c r="AD48" s="60"/>
      <c r="AE48" s="60"/>
      <c r="AF48" s="60"/>
      <c r="AG48" s="61"/>
      <c r="AH48" s="60"/>
      <c r="AI48" s="59"/>
      <c r="AJ48" s="60"/>
      <c r="AK48" s="60"/>
      <c r="AL48" s="60"/>
      <c r="AM48" s="60"/>
      <c r="AN48" s="60"/>
      <c r="AO48" s="60"/>
      <c r="AP48" s="60"/>
      <c r="AQ48" s="60"/>
      <c r="AR48" s="61"/>
      <c r="AS48" s="60"/>
      <c r="AT48" s="59"/>
      <c r="AU48" s="60"/>
      <c r="AV48" s="60"/>
      <c r="AW48" s="60"/>
      <c r="AX48" s="60"/>
      <c r="AY48" s="60"/>
      <c r="AZ48" s="60"/>
      <c r="BA48" s="60"/>
      <c r="BB48" s="60"/>
      <c r="BC48" s="60"/>
      <c r="BD48" s="61"/>
      <c r="BE48" s="60"/>
      <c r="BF48" s="59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1"/>
      <c r="BR48" s="61"/>
    </row>
    <row r="49" spans="1:70" s="15" customFormat="1" ht="9" customHeight="1" x14ac:dyDescent="0.25">
      <c r="A49" s="18"/>
      <c r="B49" s="59"/>
      <c r="C49" s="60"/>
      <c r="D49" s="60"/>
      <c r="E49" s="60"/>
      <c r="F49" s="60"/>
      <c r="G49" s="60"/>
      <c r="H49" s="60"/>
      <c r="I49" s="60"/>
      <c r="J49" s="60"/>
      <c r="K49" s="61"/>
      <c r="L49" s="60"/>
      <c r="M49" s="59"/>
      <c r="N49" s="60"/>
      <c r="O49" s="60"/>
      <c r="P49" s="60"/>
      <c r="Q49" s="60"/>
      <c r="R49" s="60"/>
      <c r="S49" s="60"/>
      <c r="T49" s="60"/>
      <c r="U49" s="60"/>
      <c r="V49" s="61"/>
      <c r="W49" s="60"/>
      <c r="X49" s="59"/>
      <c r="Y49" s="60"/>
      <c r="Z49" s="60"/>
      <c r="AA49" s="60"/>
      <c r="AB49" s="60"/>
      <c r="AC49" s="60"/>
      <c r="AD49" s="60"/>
      <c r="AE49" s="60"/>
      <c r="AF49" s="60"/>
      <c r="AG49" s="61"/>
      <c r="AH49" s="60"/>
      <c r="AI49" s="59"/>
      <c r="AJ49" s="60"/>
      <c r="AK49" s="60"/>
      <c r="AL49" s="60"/>
      <c r="AM49" s="60"/>
      <c r="AN49" s="60"/>
      <c r="AO49" s="60"/>
      <c r="AP49" s="60"/>
      <c r="AQ49" s="60"/>
      <c r="AR49" s="61"/>
      <c r="AS49" s="60"/>
      <c r="AT49" s="59"/>
      <c r="AU49" s="60"/>
      <c r="AV49" s="60"/>
      <c r="AW49" s="60"/>
      <c r="AX49" s="60"/>
      <c r="AY49" s="60"/>
      <c r="AZ49" s="60"/>
      <c r="BA49" s="60"/>
      <c r="BB49" s="60"/>
      <c r="BC49" s="60"/>
      <c r="BD49" s="61"/>
      <c r="BE49" s="60"/>
      <c r="BF49" s="59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1"/>
      <c r="BR49" s="61"/>
    </row>
    <row r="50" spans="1:70" s="15" customFormat="1" ht="9" customHeight="1" x14ac:dyDescent="0.25">
      <c r="A50" s="18"/>
      <c r="B50" s="463" t="s">
        <v>214</v>
      </c>
      <c r="C50" s="458"/>
      <c r="D50" s="458"/>
      <c r="E50" s="458"/>
      <c r="F50" s="458"/>
      <c r="G50" s="458"/>
      <c r="H50" s="458"/>
      <c r="I50" s="458"/>
      <c r="J50" s="458"/>
      <c r="K50" s="460"/>
      <c r="L50" s="74"/>
      <c r="M50" s="463" t="s">
        <v>215</v>
      </c>
      <c r="N50" s="458"/>
      <c r="O50" s="458"/>
      <c r="P50" s="458"/>
      <c r="Q50" s="458"/>
      <c r="R50" s="458"/>
      <c r="S50" s="458"/>
      <c r="T50" s="458"/>
      <c r="U50" s="458"/>
      <c r="V50" s="460"/>
      <c r="W50" s="74"/>
      <c r="X50" s="463" t="s">
        <v>216</v>
      </c>
      <c r="Y50" s="458"/>
      <c r="Z50" s="458"/>
      <c r="AA50" s="458"/>
      <c r="AB50" s="458"/>
      <c r="AC50" s="458"/>
      <c r="AD50" s="458"/>
      <c r="AE50" s="458"/>
      <c r="AF50" s="458"/>
      <c r="AG50" s="460"/>
      <c r="AH50" s="74"/>
      <c r="AI50" s="463" t="s">
        <v>217</v>
      </c>
      <c r="AJ50" s="458"/>
      <c r="AK50" s="458"/>
      <c r="AL50" s="458"/>
      <c r="AM50" s="458"/>
      <c r="AN50" s="458"/>
      <c r="AO50" s="458"/>
      <c r="AP50" s="458"/>
      <c r="AQ50" s="458"/>
      <c r="AR50" s="460"/>
      <c r="AS50" s="74"/>
      <c r="AT50" s="463" t="s">
        <v>218</v>
      </c>
      <c r="AU50" s="458"/>
      <c r="AV50" s="458"/>
      <c r="AW50" s="458"/>
      <c r="AX50" s="458"/>
      <c r="AY50" s="458"/>
      <c r="AZ50" s="458"/>
      <c r="BA50" s="458"/>
      <c r="BB50" s="458"/>
      <c r="BC50" s="458"/>
      <c r="BD50" s="460"/>
      <c r="BE50" s="74"/>
      <c r="BF50" s="463" t="s">
        <v>213</v>
      </c>
      <c r="BG50" s="458"/>
      <c r="BH50" s="458"/>
      <c r="BI50" s="458"/>
      <c r="BJ50" s="458"/>
      <c r="BK50" s="458"/>
      <c r="BL50" s="458"/>
      <c r="BM50" s="458"/>
      <c r="BN50" s="458"/>
      <c r="BO50" s="458"/>
      <c r="BP50" s="458"/>
      <c r="BQ50" s="460"/>
      <c r="BR50" s="61"/>
    </row>
    <row r="51" spans="1:70" s="15" customFormat="1" ht="9" customHeight="1" x14ac:dyDescent="0.25">
      <c r="A51" s="18"/>
      <c r="B51" s="464" t="s">
        <v>608</v>
      </c>
      <c r="C51" s="465"/>
      <c r="D51" s="465"/>
      <c r="E51" s="465"/>
      <c r="F51" s="465"/>
      <c r="G51" s="465"/>
      <c r="H51" s="465"/>
      <c r="I51" s="465"/>
      <c r="J51" s="465"/>
      <c r="K51" s="466"/>
      <c r="L51" s="66"/>
      <c r="M51" s="464" t="s">
        <v>608</v>
      </c>
      <c r="N51" s="465"/>
      <c r="O51" s="465"/>
      <c r="P51" s="465"/>
      <c r="Q51" s="465"/>
      <c r="R51" s="465"/>
      <c r="S51" s="465"/>
      <c r="T51" s="465"/>
      <c r="U51" s="465"/>
      <c r="V51" s="466"/>
      <c r="W51" s="66"/>
      <c r="X51" s="464" t="s">
        <v>608</v>
      </c>
      <c r="Y51" s="465"/>
      <c r="Z51" s="465"/>
      <c r="AA51" s="465"/>
      <c r="AB51" s="465"/>
      <c r="AC51" s="465"/>
      <c r="AD51" s="465"/>
      <c r="AE51" s="465"/>
      <c r="AF51" s="465"/>
      <c r="AG51" s="466"/>
      <c r="AH51" s="66"/>
      <c r="AI51" s="464" t="s">
        <v>608</v>
      </c>
      <c r="AJ51" s="465"/>
      <c r="AK51" s="465"/>
      <c r="AL51" s="465"/>
      <c r="AM51" s="465"/>
      <c r="AN51" s="465"/>
      <c r="AO51" s="465"/>
      <c r="AP51" s="465"/>
      <c r="AQ51" s="465"/>
      <c r="AR51" s="466"/>
      <c r="AS51" s="66"/>
      <c r="AT51" s="464" t="s">
        <v>608</v>
      </c>
      <c r="AU51" s="465"/>
      <c r="AV51" s="465"/>
      <c r="AW51" s="465"/>
      <c r="AX51" s="465"/>
      <c r="AY51" s="465"/>
      <c r="AZ51" s="465"/>
      <c r="BA51" s="465"/>
      <c r="BB51" s="465"/>
      <c r="BC51" s="465"/>
      <c r="BD51" s="466"/>
      <c r="BE51" s="66"/>
      <c r="BF51" s="464" t="s">
        <v>608</v>
      </c>
      <c r="BG51" s="465"/>
      <c r="BH51" s="465"/>
      <c r="BI51" s="465"/>
      <c r="BJ51" s="465"/>
      <c r="BK51" s="465"/>
      <c r="BL51" s="465"/>
      <c r="BM51" s="465"/>
      <c r="BN51" s="465"/>
      <c r="BO51" s="465"/>
      <c r="BP51" s="465"/>
      <c r="BQ51" s="466"/>
      <c r="BR51" s="61"/>
    </row>
    <row r="52" spans="1:70" s="15" customFormat="1" ht="9" customHeight="1" x14ac:dyDescent="0.25">
      <c r="A52" s="18"/>
      <c r="B52" s="261" t="s">
        <v>703</v>
      </c>
      <c r="C52" s="261"/>
      <c r="D52" s="261"/>
      <c r="E52" s="261"/>
      <c r="F52" s="261"/>
      <c r="G52" s="261"/>
      <c r="H52" s="262">
        <f>CEILING(2189*B5,1)</f>
        <v>3065</v>
      </c>
      <c r="I52" s="262"/>
      <c r="J52" s="262"/>
      <c r="K52" s="262"/>
      <c r="L52" s="204"/>
      <c r="M52" s="261" t="s">
        <v>704</v>
      </c>
      <c r="N52" s="261"/>
      <c r="O52" s="261"/>
      <c r="P52" s="261"/>
      <c r="Q52" s="261"/>
      <c r="R52" s="261"/>
      <c r="S52" s="262">
        <f>CEILING(3523*B5,1)</f>
        <v>4933</v>
      </c>
      <c r="T52" s="262"/>
      <c r="U52" s="262"/>
      <c r="V52" s="262"/>
      <c r="W52" s="204"/>
      <c r="X52" s="261" t="s">
        <v>705</v>
      </c>
      <c r="Y52" s="261"/>
      <c r="Z52" s="261"/>
      <c r="AA52" s="261"/>
      <c r="AB52" s="261"/>
      <c r="AC52" s="261"/>
      <c r="AD52" s="262">
        <f>CEILING(5271*B5,1)</f>
        <v>7380</v>
      </c>
      <c r="AE52" s="262"/>
      <c r="AF52" s="262"/>
      <c r="AG52" s="262"/>
      <c r="AH52" s="205"/>
      <c r="AI52" s="261" t="s">
        <v>706</v>
      </c>
      <c r="AJ52" s="261"/>
      <c r="AK52" s="261"/>
      <c r="AL52" s="261"/>
      <c r="AM52" s="261"/>
      <c r="AN52" s="261"/>
      <c r="AO52" s="262">
        <f>CEILING(7065*B5,1)</f>
        <v>9891</v>
      </c>
      <c r="AP52" s="262"/>
      <c r="AQ52" s="262"/>
      <c r="AR52" s="262"/>
      <c r="AS52" s="205"/>
      <c r="AT52" s="261" t="s">
        <v>707</v>
      </c>
      <c r="AU52" s="261"/>
      <c r="AV52" s="261"/>
      <c r="AW52" s="261"/>
      <c r="AX52" s="261"/>
      <c r="AY52" s="261"/>
      <c r="AZ52" s="261"/>
      <c r="BA52" s="262">
        <f>CEILING(8754*B5,1)</f>
        <v>12256</v>
      </c>
      <c r="BB52" s="262"/>
      <c r="BC52" s="262"/>
      <c r="BD52" s="262"/>
      <c r="BE52" s="205"/>
      <c r="BF52" s="261" t="s">
        <v>708</v>
      </c>
      <c r="BG52" s="261"/>
      <c r="BH52" s="261"/>
      <c r="BI52" s="261"/>
      <c r="BJ52" s="261"/>
      <c r="BK52" s="261"/>
      <c r="BL52" s="261"/>
      <c r="BM52" s="261"/>
      <c r="BN52" s="262">
        <f>CEILING(10348*B5,1)</f>
        <v>14488</v>
      </c>
      <c r="BO52" s="262"/>
      <c r="BP52" s="262"/>
      <c r="BQ52" s="262"/>
      <c r="BR52" s="61"/>
    </row>
    <row r="53" spans="1:70" s="15" customFormat="1" ht="2.1" customHeight="1" x14ac:dyDescent="0.25">
      <c r="A53" s="18"/>
      <c r="B53" s="59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218"/>
      <c r="AZ53" s="218"/>
      <c r="BA53" s="218"/>
      <c r="BB53" s="218"/>
      <c r="BC53" s="218"/>
      <c r="BD53" s="218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1"/>
      <c r="BR53" s="61"/>
    </row>
    <row r="54" spans="1:70" s="15" customFormat="1" ht="9" customHeight="1" x14ac:dyDescent="0.25">
      <c r="A54" s="18" t="s">
        <v>198</v>
      </c>
      <c r="B54" s="467" t="s">
        <v>199</v>
      </c>
      <c r="C54" s="468"/>
      <c r="D54" s="468"/>
      <c r="E54" s="468"/>
      <c r="F54" s="469"/>
      <c r="G54" s="70"/>
      <c r="H54" s="70"/>
      <c r="I54" s="70"/>
      <c r="J54" s="70"/>
      <c r="K54" s="71"/>
      <c r="L54" s="62"/>
      <c r="M54" s="467" t="s">
        <v>200</v>
      </c>
      <c r="N54" s="468"/>
      <c r="O54" s="468"/>
      <c r="P54" s="468"/>
      <c r="Q54" s="469"/>
      <c r="R54" s="70"/>
      <c r="S54" s="70"/>
      <c r="T54" s="70"/>
      <c r="U54" s="70"/>
      <c r="V54" s="71"/>
      <c r="W54" s="62"/>
      <c r="X54" s="467" t="s">
        <v>201</v>
      </c>
      <c r="Y54" s="468"/>
      <c r="Z54" s="468"/>
      <c r="AA54" s="468"/>
      <c r="AB54" s="469"/>
      <c r="AC54" s="70"/>
      <c r="AD54" s="70"/>
      <c r="AE54" s="70"/>
      <c r="AF54" s="70"/>
      <c r="AG54" s="71"/>
      <c r="AH54" s="60"/>
      <c r="AI54" s="467" t="s">
        <v>202</v>
      </c>
      <c r="AJ54" s="468"/>
      <c r="AK54" s="468"/>
      <c r="AL54" s="468"/>
      <c r="AM54" s="469"/>
      <c r="AN54" s="70"/>
      <c r="AO54" s="70"/>
      <c r="AP54" s="70"/>
      <c r="AQ54" s="70"/>
      <c r="AR54" s="71"/>
      <c r="AS54" s="60"/>
      <c r="AT54" s="467" t="s">
        <v>203</v>
      </c>
      <c r="AU54" s="468"/>
      <c r="AV54" s="468"/>
      <c r="AW54" s="468"/>
      <c r="AX54" s="469"/>
      <c r="AY54" s="81"/>
      <c r="AZ54" s="81"/>
      <c r="BA54" s="81"/>
      <c r="BB54" s="81"/>
      <c r="BC54" s="81"/>
      <c r="BD54" s="82"/>
      <c r="BE54" s="60"/>
      <c r="BF54" s="467" t="s">
        <v>204</v>
      </c>
      <c r="BG54" s="468"/>
      <c r="BH54" s="468"/>
      <c r="BI54" s="468"/>
      <c r="BJ54" s="469"/>
      <c r="BK54" s="70"/>
      <c r="BL54" s="70"/>
      <c r="BM54" s="70"/>
      <c r="BN54" s="70"/>
      <c r="BO54" s="70"/>
      <c r="BP54" s="70"/>
      <c r="BQ54" s="71"/>
      <c r="BR54" s="61"/>
    </row>
    <row r="55" spans="1:70" s="15" customFormat="1" ht="9" customHeight="1" x14ac:dyDescent="0.25">
      <c r="A55" s="18"/>
      <c r="B55" s="59"/>
      <c r="C55" s="60"/>
      <c r="D55" s="60"/>
      <c r="E55" s="60"/>
      <c r="F55" s="60"/>
      <c r="G55" s="60"/>
      <c r="H55" s="60"/>
      <c r="I55" s="60"/>
      <c r="J55" s="60"/>
      <c r="K55" s="61"/>
      <c r="L55" s="60"/>
      <c r="M55" s="59"/>
      <c r="N55" s="60"/>
      <c r="O55" s="60"/>
      <c r="P55" s="60"/>
      <c r="Q55" s="60"/>
      <c r="R55" s="60"/>
      <c r="S55" s="60"/>
      <c r="T55" s="60"/>
      <c r="U55" s="60"/>
      <c r="V55" s="61"/>
      <c r="W55" s="60"/>
      <c r="X55" s="59"/>
      <c r="Y55" s="60"/>
      <c r="Z55" s="60"/>
      <c r="AA55" s="60"/>
      <c r="AB55" s="60"/>
      <c r="AC55" s="60"/>
      <c r="AD55" s="60"/>
      <c r="AE55" s="60"/>
      <c r="AF55" s="60"/>
      <c r="AG55" s="61"/>
      <c r="AH55" s="60"/>
      <c r="AI55" s="59"/>
      <c r="AJ55" s="60"/>
      <c r="AK55" s="60"/>
      <c r="AL55" s="60"/>
      <c r="AM55" s="60"/>
      <c r="AN55" s="60"/>
      <c r="AO55" s="60"/>
      <c r="AP55" s="60"/>
      <c r="AQ55" s="60"/>
      <c r="AR55" s="61"/>
      <c r="AS55" s="60"/>
      <c r="AT55" s="59"/>
      <c r="AU55" s="60"/>
      <c r="AV55" s="60"/>
      <c r="AW55" s="60"/>
      <c r="AX55" s="60"/>
      <c r="AY55" s="60"/>
      <c r="AZ55" s="60"/>
      <c r="BA55" s="60"/>
      <c r="BB55" s="60"/>
      <c r="BC55" s="60"/>
      <c r="BD55" s="61"/>
      <c r="BE55" s="60"/>
      <c r="BF55" s="59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1"/>
      <c r="BR55" s="61"/>
    </row>
    <row r="56" spans="1:70" s="15" customFormat="1" ht="9" customHeight="1" x14ac:dyDescent="0.25">
      <c r="A56" s="18"/>
      <c r="B56" s="59"/>
      <c r="C56" s="60"/>
      <c r="D56" s="60"/>
      <c r="E56" s="60"/>
      <c r="F56" s="60"/>
      <c r="G56" s="60"/>
      <c r="H56" s="60"/>
      <c r="I56" s="60"/>
      <c r="J56" s="60"/>
      <c r="K56" s="61"/>
      <c r="L56" s="60"/>
      <c r="M56" s="59"/>
      <c r="N56" s="60"/>
      <c r="O56" s="60"/>
      <c r="P56" s="60"/>
      <c r="Q56" s="60"/>
      <c r="R56" s="60"/>
      <c r="S56" s="60"/>
      <c r="T56" s="60"/>
      <c r="U56" s="60"/>
      <c r="V56" s="61"/>
      <c r="W56" s="60"/>
      <c r="X56" s="59"/>
      <c r="Y56" s="60"/>
      <c r="Z56" s="60"/>
      <c r="AA56" s="60"/>
      <c r="AB56" s="60"/>
      <c r="AC56" s="60"/>
      <c r="AD56" s="60"/>
      <c r="AE56" s="60"/>
      <c r="AF56" s="60"/>
      <c r="AG56" s="61"/>
      <c r="AH56" s="60"/>
      <c r="AI56" s="59"/>
      <c r="AJ56" s="60"/>
      <c r="AK56" s="60"/>
      <c r="AL56" s="60"/>
      <c r="AM56" s="60"/>
      <c r="AN56" s="60"/>
      <c r="AO56" s="60"/>
      <c r="AP56" s="60"/>
      <c r="AQ56" s="60"/>
      <c r="AR56" s="61"/>
      <c r="AS56" s="60"/>
      <c r="AT56" s="59"/>
      <c r="AU56" s="60"/>
      <c r="AV56" s="60"/>
      <c r="AW56" s="60"/>
      <c r="AX56" s="60"/>
      <c r="AY56" s="60"/>
      <c r="AZ56" s="60"/>
      <c r="BA56" s="60"/>
      <c r="BB56" s="60"/>
      <c r="BC56" s="60"/>
      <c r="BD56" s="61"/>
      <c r="BE56" s="60"/>
      <c r="BF56" s="59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1"/>
      <c r="BR56" s="61"/>
    </row>
    <row r="57" spans="1:70" s="15" customFormat="1" ht="9" customHeight="1" x14ac:dyDescent="0.25">
      <c r="A57" s="18"/>
      <c r="B57" s="59"/>
      <c r="C57" s="60"/>
      <c r="D57" s="60"/>
      <c r="E57" s="60"/>
      <c r="F57" s="60"/>
      <c r="G57" s="60"/>
      <c r="H57" s="60"/>
      <c r="I57" s="60"/>
      <c r="J57" s="60"/>
      <c r="K57" s="61"/>
      <c r="L57" s="60"/>
      <c r="M57" s="59"/>
      <c r="N57" s="60"/>
      <c r="O57" s="60"/>
      <c r="P57" s="60"/>
      <c r="Q57" s="60"/>
      <c r="R57" s="60"/>
      <c r="S57" s="60"/>
      <c r="T57" s="60"/>
      <c r="U57" s="60"/>
      <c r="V57" s="61"/>
      <c r="W57" s="60"/>
      <c r="X57" s="59"/>
      <c r="Y57" s="60"/>
      <c r="Z57" s="60"/>
      <c r="AA57" s="60"/>
      <c r="AB57" s="60"/>
      <c r="AC57" s="60"/>
      <c r="AD57" s="60"/>
      <c r="AE57" s="60"/>
      <c r="AF57" s="60"/>
      <c r="AG57" s="61"/>
      <c r="AH57" s="60"/>
      <c r="AI57" s="59"/>
      <c r="AJ57" s="60"/>
      <c r="AK57" s="60"/>
      <c r="AL57" s="60"/>
      <c r="AM57" s="60"/>
      <c r="AN57" s="60"/>
      <c r="AO57" s="60"/>
      <c r="AP57" s="60"/>
      <c r="AQ57" s="60"/>
      <c r="AR57" s="61"/>
      <c r="AS57" s="60"/>
      <c r="AT57" s="59"/>
      <c r="AU57" s="60"/>
      <c r="AV57" s="60"/>
      <c r="AW57" s="60"/>
      <c r="AX57" s="60"/>
      <c r="AY57" s="60"/>
      <c r="AZ57" s="60"/>
      <c r="BA57" s="60"/>
      <c r="BB57" s="60"/>
      <c r="BC57" s="60"/>
      <c r="BD57" s="61"/>
      <c r="BE57" s="60"/>
      <c r="BF57" s="59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1"/>
      <c r="BR57" s="61"/>
    </row>
    <row r="58" spans="1:70" s="15" customFormat="1" ht="9" customHeight="1" x14ac:dyDescent="0.25">
      <c r="A58" s="18"/>
      <c r="B58" s="59"/>
      <c r="C58" s="60"/>
      <c r="D58" s="60"/>
      <c r="E58" s="60"/>
      <c r="F58" s="60"/>
      <c r="G58" s="60"/>
      <c r="H58" s="60"/>
      <c r="I58" s="60"/>
      <c r="J58" s="60"/>
      <c r="K58" s="61"/>
      <c r="L58" s="60"/>
      <c r="M58" s="59"/>
      <c r="N58" s="60"/>
      <c r="O58" s="60"/>
      <c r="P58" s="60"/>
      <c r="Q58" s="60"/>
      <c r="R58" s="60"/>
      <c r="S58" s="60"/>
      <c r="T58" s="60"/>
      <c r="U58" s="60"/>
      <c r="V58" s="61"/>
      <c r="W58" s="60"/>
      <c r="X58" s="59"/>
      <c r="Y58" s="60"/>
      <c r="Z58" s="60"/>
      <c r="AA58" s="60"/>
      <c r="AB58" s="60"/>
      <c r="AC58" s="60"/>
      <c r="AD58" s="60"/>
      <c r="AE58" s="60"/>
      <c r="AF58" s="60"/>
      <c r="AG58" s="61"/>
      <c r="AH58" s="60"/>
      <c r="AI58" s="59"/>
      <c r="AJ58" s="60"/>
      <c r="AK58" s="60"/>
      <c r="AL58" s="60"/>
      <c r="AM58" s="60"/>
      <c r="AN58" s="60"/>
      <c r="AO58" s="60"/>
      <c r="AP58" s="60"/>
      <c r="AQ58" s="60"/>
      <c r="AR58" s="61"/>
      <c r="AS58" s="60"/>
      <c r="AT58" s="59"/>
      <c r="AU58" s="60"/>
      <c r="AV58" s="60"/>
      <c r="AW58" s="60"/>
      <c r="AX58" s="60"/>
      <c r="AY58" s="60"/>
      <c r="AZ58" s="60"/>
      <c r="BA58" s="60"/>
      <c r="BB58" s="60"/>
      <c r="BC58" s="60"/>
      <c r="BD58" s="61"/>
      <c r="BE58" s="60"/>
      <c r="BF58" s="59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1"/>
      <c r="BR58" s="61"/>
    </row>
    <row r="59" spans="1:70" s="15" customFormat="1" ht="9" customHeight="1" x14ac:dyDescent="0.25">
      <c r="A59" s="18"/>
      <c r="B59" s="59"/>
      <c r="C59" s="60"/>
      <c r="D59" s="60"/>
      <c r="E59" s="60"/>
      <c r="F59" s="60"/>
      <c r="G59" s="60"/>
      <c r="H59" s="60"/>
      <c r="I59" s="60"/>
      <c r="J59" s="60"/>
      <c r="K59" s="61"/>
      <c r="L59" s="60"/>
      <c r="M59" s="59"/>
      <c r="N59" s="60"/>
      <c r="O59" s="60"/>
      <c r="P59" s="60"/>
      <c r="Q59" s="60"/>
      <c r="R59" s="60"/>
      <c r="S59" s="60"/>
      <c r="T59" s="60"/>
      <c r="U59" s="60"/>
      <c r="V59" s="61"/>
      <c r="W59" s="60"/>
      <c r="X59" s="59"/>
      <c r="Y59" s="60"/>
      <c r="Z59" s="60"/>
      <c r="AA59" s="60"/>
      <c r="AB59" s="60"/>
      <c r="AC59" s="60"/>
      <c r="AD59" s="60"/>
      <c r="AE59" s="60"/>
      <c r="AF59" s="60"/>
      <c r="AG59" s="61"/>
      <c r="AH59" s="60"/>
      <c r="AI59" s="59"/>
      <c r="AJ59" s="60"/>
      <c r="AK59" s="60"/>
      <c r="AL59" s="60"/>
      <c r="AM59" s="60"/>
      <c r="AN59" s="60"/>
      <c r="AO59" s="60"/>
      <c r="AP59" s="60"/>
      <c r="AQ59" s="60"/>
      <c r="AR59" s="61"/>
      <c r="AS59" s="60"/>
      <c r="AT59" s="59"/>
      <c r="AU59" s="60"/>
      <c r="AV59" s="60"/>
      <c r="AW59" s="60"/>
      <c r="AX59" s="60"/>
      <c r="AY59" s="60"/>
      <c r="AZ59" s="60"/>
      <c r="BA59" s="60"/>
      <c r="BB59" s="60"/>
      <c r="BC59" s="60"/>
      <c r="BD59" s="61"/>
      <c r="BE59" s="60"/>
      <c r="BF59" s="59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1"/>
      <c r="BR59" s="61"/>
    </row>
    <row r="60" spans="1:70" s="15" customFormat="1" ht="9" customHeight="1" x14ac:dyDescent="0.25">
      <c r="A60" s="18"/>
      <c r="B60" s="59"/>
      <c r="C60" s="60"/>
      <c r="D60" s="60"/>
      <c r="E60" s="60"/>
      <c r="F60" s="60"/>
      <c r="G60" s="60"/>
      <c r="H60" s="60"/>
      <c r="I60" s="60"/>
      <c r="J60" s="60"/>
      <c r="K60" s="61"/>
      <c r="L60" s="60"/>
      <c r="M60" s="59"/>
      <c r="N60" s="60"/>
      <c r="O60" s="60"/>
      <c r="P60" s="60"/>
      <c r="Q60" s="60"/>
      <c r="R60" s="60"/>
      <c r="S60" s="60"/>
      <c r="T60" s="60"/>
      <c r="U60" s="60"/>
      <c r="V60" s="61"/>
      <c r="W60" s="60"/>
      <c r="X60" s="59"/>
      <c r="Y60" s="60"/>
      <c r="Z60" s="60"/>
      <c r="AA60" s="60"/>
      <c r="AB60" s="60"/>
      <c r="AC60" s="60"/>
      <c r="AD60" s="60"/>
      <c r="AE60" s="60"/>
      <c r="AF60" s="60"/>
      <c r="AG60" s="61"/>
      <c r="AH60" s="60"/>
      <c r="AI60" s="59"/>
      <c r="AJ60" s="60"/>
      <c r="AK60" s="60"/>
      <c r="AL60" s="60"/>
      <c r="AM60" s="60"/>
      <c r="AN60" s="60"/>
      <c r="AO60" s="60"/>
      <c r="AP60" s="60"/>
      <c r="AQ60" s="60"/>
      <c r="AR60" s="61"/>
      <c r="AS60" s="60"/>
      <c r="AT60" s="59"/>
      <c r="AU60" s="60"/>
      <c r="AV60" s="60"/>
      <c r="AW60" s="60"/>
      <c r="AX60" s="60"/>
      <c r="AY60" s="60"/>
      <c r="AZ60" s="60"/>
      <c r="BA60" s="60"/>
      <c r="BB60" s="60"/>
      <c r="BC60" s="60"/>
      <c r="BD60" s="61"/>
      <c r="BE60" s="60"/>
      <c r="BF60" s="59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1"/>
      <c r="BR60" s="61"/>
    </row>
    <row r="61" spans="1:70" s="15" customFormat="1" ht="9" customHeight="1" x14ac:dyDescent="0.25">
      <c r="A61" s="18"/>
      <c r="B61" s="59"/>
      <c r="C61" s="60"/>
      <c r="D61" s="60"/>
      <c r="E61" s="60"/>
      <c r="F61" s="60"/>
      <c r="G61" s="60"/>
      <c r="H61" s="60"/>
      <c r="I61" s="60"/>
      <c r="J61" s="60"/>
      <c r="K61" s="61"/>
      <c r="L61" s="60"/>
      <c r="M61" s="59"/>
      <c r="N61" s="60"/>
      <c r="O61" s="60"/>
      <c r="P61" s="60"/>
      <c r="Q61" s="60"/>
      <c r="R61" s="60"/>
      <c r="S61" s="60"/>
      <c r="T61" s="60"/>
      <c r="U61" s="60"/>
      <c r="V61" s="61"/>
      <c r="W61" s="60"/>
      <c r="X61" s="59"/>
      <c r="Y61" s="60"/>
      <c r="Z61" s="60"/>
      <c r="AA61" s="60"/>
      <c r="AB61" s="60"/>
      <c r="AC61" s="60"/>
      <c r="AD61" s="60"/>
      <c r="AE61" s="60"/>
      <c r="AF61" s="60"/>
      <c r="AG61" s="61"/>
      <c r="AH61" s="60"/>
      <c r="AI61" s="59"/>
      <c r="AJ61" s="60"/>
      <c r="AK61" s="60"/>
      <c r="AL61" s="60"/>
      <c r="AM61" s="60"/>
      <c r="AN61" s="60"/>
      <c r="AO61" s="60"/>
      <c r="AP61" s="60"/>
      <c r="AQ61" s="60"/>
      <c r="AR61" s="61"/>
      <c r="AS61" s="60"/>
      <c r="AT61" s="59"/>
      <c r="AU61" s="60"/>
      <c r="AV61" s="60"/>
      <c r="AW61" s="60"/>
      <c r="AX61" s="60"/>
      <c r="AY61" s="60"/>
      <c r="AZ61" s="60"/>
      <c r="BA61" s="60"/>
      <c r="BB61" s="60"/>
      <c r="BC61" s="60"/>
      <c r="BD61" s="61"/>
      <c r="BE61" s="60"/>
      <c r="BF61" s="59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1"/>
      <c r="BR61" s="61"/>
    </row>
    <row r="62" spans="1:70" s="15" customFormat="1" ht="9" customHeight="1" x14ac:dyDescent="0.25">
      <c r="A62" s="18"/>
      <c r="B62" s="59"/>
      <c r="C62" s="60"/>
      <c r="D62" s="60"/>
      <c r="E62" s="60"/>
      <c r="F62" s="60"/>
      <c r="G62" s="60"/>
      <c r="H62" s="60"/>
      <c r="I62" s="60"/>
      <c r="J62" s="60"/>
      <c r="K62" s="61"/>
      <c r="L62" s="60"/>
      <c r="M62" s="59"/>
      <c r="N62" s="60"/>
      <c r="O62" s="60"/>
      <c r="P62" s="60"/>
      <c r="Q62" s="60"/>
      <c r="R62" s="60"/>
      <c r="S62" s="60"/>
      <c r="T62" s="60"/>
      <c r="U62" s="60"/>
      <c r="V62" s="61"/>
      <c r="W62" s="60"/>
      <c r="X62" s="59"/>
      <c r="Y62" s="60"/>
      <c r="Z62" s="60"/>
      <c r="AA62" s="60"/>
      <c r="AB62" s="60"/>
      <c r="AC62" s="60"/>
      <c r="AD62" s="60"/>
      <c r="AE62" s="60"/>
      <c r="AF62" s="60"/>
      <c r="AG62" s="61"/>
      <c r="AH62" s="60"/>
      <c r="AI62" s="59"/>
      <c r="AJ62" s="60"/>
      <c r="AK62" s="60"/>
      <c r="AL62" s="60"/>
      <c r="AM62" s="60"/>
      <c r="AN62" s="60"/>
      <c r="AO62" s="60"/>
      <c r="AP62" s="60"/>
      <c r="AQ62" s="60"/>
      <c r="AR62" s="61"/>
      <c r="AS62" s="60"/>
      <c r="AT62" s="59"/>
      <c r="AU62" s="60"/>
      <c r="AV62" s="60"/>
      <c r="AW62" s="60"/>
      <c r="AX62" s="60"/>
      <c r="AY62" s="60"/>
      <c r="AZ62" s="60"/>
      <c r="BA62" s="60"/>
      <c r="BB62" s="60"/>
      <c r="BC62" s="60"/>
      <c r="BD62" s="61"/>
      <c r="BE62" s="60"/>
      <c r="BF62" s="59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1"/>
      <c r="BR62" s="61"/>
    </row>
    <row r="63" spans="1:70" s="15" customFormat="1" ht="9" customHeight="1" x14ac:dyDescent="0.25">
      <c r="A63" s="18"/>
      <c r="B63" s="59"/>
      <c r="C63" s="60"/>
      <c r="D63" s="60"/>
      <c r="E63" s="60"/>
      <c r="F63" s="60"/>
      <c r="G63" s="60"/>
      <c r="H63" s="60"/>
      <c r="I63" s="60"/>
      <c r="J63" s="60"/>
      <c r="K63" s="61"/>
      <c r="L63" s="60"/>
      <c r="M63" s="59"/>
      <c r="N63" s="60"/>
      <c r="O63" s="60"/>
      <c r="P63" s="60"/>
      <c r="Q63" s="60"/>
      <c r="R63" s="60"/>
      <c r="S63" s="60"/>
      <c r="T63" s="60"/>
      <c r="U63" s="60"/>
      <c r="V63" s="61"/>
      <c r="W63" s="60"/>
      <c r="X63" s="59"/>
      <c r="Y63" s="60"/>
      <c r="Z63" s="60"/>
      <c r="AA63" s="60"/>
      <c r="AB63" s="60"/>
      <c r="AC63" s="60"/>
      <c r="AD63" s="60"/>
      <c r="AE63" s="60"/>
      <c r="AF63" s="60"/>
      <c r="AG63" s="61"/>
      <c r="AH63" s="60"/>
      <c r="AI63" s="59"/>
      <c r="AJ63" s="60"/>
      <c r="AK63" s="60"/>
      <c r="AL63" s="60"/>
      <c r="AM63" s="60"/>
      <c r="AN63" s="60"/>
      <c r="AO63" s="60"/>
      <c r="AP63" s="60"/>
      <c r="AQ63" s="60"/>
      <c r="AR63" s="61"/>
      <c r="AS63" s="60"/>
      <c r="AT63" s="59"/>
      <c r="AU63" s="60"/>
      <c r="AV63" s="60"/>
      <c r="AW63" s="60"/>
      <c r="AX63" s="60"/>
      <c r="AY63" s="60"/>
      <c r="AZ63" s="60"/>
      <c r="BA63" s="60"/>
      <c r="BB63" s="60"/>
      <c r="BC63" s="60"/>
      <c r="BD63" s="61"/>
      <c r="BE63" s="60"/>
      <c r="BF63" s="59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1"/>
      <c r="BR63" s="61"/>
    </row>
    <row r="64" spans="1:70" s="15" customFormat="1" ht="9" customHeight="1" x14ac:dyDescent="0.25">
      <c r="A64" s="18"/>
      <c r="B64" s="463" t="s">
        <v>214</v>
      </c>
      <c r="C64" s="458"/>
      <c r="D64" s="458"/>
      <c r="E64" s="458"/>
      <c r="F64" s="458"/>
      <c r="G64" s="458"/>
      <c r="H64" s="458"/>
      <c r="I64" s="458"/>
      <c r="J64" s="458"/>
      <c r="K64" s="460"/>
      <c r="L64" s="74"/>
      <c r="M64" s="463" t="s">
        <v>215</v>
      </c>
      <c r="N64" s="458"/>
      <c r="O64" s="458"/>
      <c r="P64" s="458"/>
      <c r="Q64" s="458"/>
      <c r="R64" s="458"/>
      <c r="S64" s="458"/>
      <c r="T64" s="458"/>
      <c r="U64" s="458"/>
      <c r="V64" s="460"/>
      <c r="W64" s="74"/>
      <c r="X64" s="463" t="s">
        <v>216</v>
      </c>
      <c r="Y64" s="458"/>
      <c r="Z64" s="458"/>
      <c r="AA64" s="458"/>
      <c r="AB64" s="458"/>
      <c r="AC64" s="458"/>
      <c r="AD64" s="458"/>
      <c r="AE64" s="458"/>
      <c r="AF64" s="458"/>
      <c r="AG64" s="460"/>
      <c r="AH64" s="74"/>
      <c r="AI64" s="463" t="s">
        <v>217</v>
      </c>
      <c r="AJ64" s="458"/>
      <c r="AK64" s="458"/>
      <c r="AL64" s="458"/>
      <c r="AM64" s="458"/>
      <c r="AN64" s="458"/>
      <c r="AO64" s="458"/>
      <c r="AP64" s="458"/>
      <c r="AQ64" s="458"/>
      <c r="AR64" s="460"/>
      <c r="AS64" s="74"/>
      <c r="AT64" s="463" t="s">
        <v>218</v>
      </c>
      <c r="AU64" s="458"/>
      <c r="AV64" s="458"/>
      <c r="AW64" s="458"/>
      <c r="AX64" s="458"/>
      <c r="AY64" s="458"/>
      <c r="AZ64" s="458"/>
      <c r="BA64" s="458"/>
      <c r="BB64" s="458"/>
      <c r="BC64" s="458"/>
      <c r="BD64" s="460"/>
      <c r="BE64" s="74"/>
      <c r="BF64" s="463" t="s">
        <v>213</v>
      </c>
      <c r="BG64" s="458"/>
      <c r="BH64" s="458"/>
      <c r="BI64" s="458"/>
      <c r="BJ64" s="458"/>
      <c r="BK64" s="458"/>
      <c r="BL64" s="458"/>
      <c r="BM64" s="458"/>
      <c r="BN64" s="458"/>
      <c r="BO64" s="458"/>
      <c r="BP64" s="458"/>
      <c r="BQ64" s="460"/>
      <c r="BR64" s="61"/>
    </row>
    <row r="65" spans="1:70" s="15" customFormat="1" ht="9" customHeight="1" x14ac:dyDescent="0.25">
      <c r="A65" s="18"/>
      <c r="B65" s="464" t="s">
        <v>608</v>
      </c>
      <c r="C65" s="465"/>
      <c r="D65" s="465"/>
      <c r="E65" s="465"/>
      <c r="F65" s="465"/>
      <c r="G65" s="465"/>
      <c r="H65" s="465"/>
      <c r="I65" s="465"/>
      <c r="J65" s="465"/>
      <c r="K65" s="466"/>
      <c r="L65" s="66"/>
      <c r="M65" s="464" t="s">
        <v>608</v>
      </c>
      <c r="N65" s="465"/>
      <c r="O65" s="465"/>
      <c r="P65" s="465"/>
      <c r="Q65" s="465"/>
      <c r="R65" s="465"/>
      <c r="S65" s="465"/>
      <c r="T65" s="465"/>
      <c r="U65" s="465"/>
      <c r="V65" s="466"/>
      <c r="W65" s="66"/>
      <c r="X65" s="464" t="s">
        <v>608</v>
      </c>
      <c r="Y65" s="465"/>
      <c r="Z65" s="465"/>
      <c r="AA65" s="465"/>
      <c r="AB65" s="465"/>
      <c r="AC65" s="465"/>
      <c r="AD65" s="465"/>
      <c r="AE65" s="465"/>
      <c r="AF65" s="465"/>
      <c r="AG65" s="466"/>
      <c r="AH65" s="66"/>
      <c r="AI65" s="464" t="s">
        <v>608</v>
      </c>
      <c r="AJ65" s="465"/>
      <c r="AK65" s="465"/>
      <c r="AL65" s="465"/>
      <c r="AM65" s="465"/>
      <c r="AN65" s="465"/>
      <c r="AO65" s="465"/>
      <c r="AP65" s="465"/>
      <c r="AQ65" s="465"/>
      <c r="AR65" s="466"/>
      <c r="AS65" s="66"/>
      <c r="AT65" s="464" t="s">
        <v>608</v>
      </c>
      <c r="AU65" s="465"/>
      <c r="AV65" s="465"/>
      <c r="AW65" s="465"/>
      <c r="AX65" s="465"/>
      <c r="AY65" s="465"/>
      <c r="AZ65" s="465"/>
      <c r="BA65" s="465"/>
      <c r="BB65" s="465"/>
      <c r="BC65" s="465"/>
      <c r="BD65" s="466"/>
      <c r="BE65" s="66"/>
      <c r="BF65" s="464" t="s">
        <v>608</v>
      </c>
      <c r="BG65" s="465"/>
      <c r="BH65" s="465"/>
      <c r="BI65" s="465"/>
      <c r="BJ65" s="465"/>
      <c r="BK65" s="465"/>
      <c r="BL65" s="465"/>
      <c r="BM65" s="465"/>
      <c r="BN65" s="465"/>
      <c r="BO65" s="465"/>
      <c r="BP65" s="465"/>
      <c r="BQ65" s="466"/>
      <c r="BR65" s="61"/>
    </row>
    <row r="66" spans="1:70" s="15" customFormat="1" ht="9" customHeight="1" x14ac:dyDescent="0.25">
      <c r="A66" s="18"/>
      <c r="B66" s="261" t="s">
        <v>703</v>
      </c>
      <c r="C66" s="261"/>
      <c r="D66" s="261"/>
      <c r="E66" s="261"/>
      <c r="F66" s="261"/>
      <c r="G66" s="261"/>
      <c r="H66" s="262">
        <f>CEILING(2482*B5,1)</f>
        <v>3475</v>
      </c>
      <c r="I66" s="262"/>
      <c r="J66" s="262"/>
      <c r="K66" s="262"/>
      <c r="L66" s="204"/>
      <c r="M66" s="261" t="s">
        <v>704</v>
      </c>
      <c r="N66" s="261"/>
      <c r="O66" s="261"/>
      <c r="P66" s="261"/>
      <c r="Q66" s="261"/>
      <c r="R66" s="261"/>
      <c r="S66" s="262">
        <f>CEILING(3818*B5,1)</f>
        <v>5346</v>
      </c>
      <c r="T66" s="262"/>
      <c r="U66" s="262"/>
      <c r="V66" s="262"/>
      <c r="W66" s="204"/>
      <c r="X66" s="261" t="s">
        <v>705</v>
      </c>
      <c r="Y66" s="261"/>
      <c r="Z66" s="261"/>
      <c r="AA66" s="261"/>
      <c r="AB66" s="261"/>
      <c r="AC66" s="261"/>
      <c r="AD66" s="262">
        <f>CEILING(5565*B5,1)</f>
        <v>7791</v>
      </c>
      <c r="AE66" s="262"/>
      <c r="AF66" s="262"/>
      <c r="AG66" s="262"/>
      <c r="AH66" s="205"/>
      <c r="AI66" s="261" t="s">
        <v>706</v>
      </c>
      <c r="AJ66" s="261"/>
      <c r="AK66" s="261"/>
      <c r="AL66" s="261"/>
      <c r="AM66" s="261"/>
      <c r="AN66" s="261"/>
      <c r="AO66" s="262">
        <f>CEILING(7361*B5,1)</f>
        <v>10306</v>
      </c>
      <c r="AP66" s="262"/>
      <c r="AQ66" s="262"/>
      <c r="AR66" s="262"/>
      <c r="AS66" s="205"/>
      <c r="AT66" s="261" t="s">
        <v>707</v>
      </c>
      <c r="AU66" s="261"/>
      <c r="AV66" s="261"/>
      <c r="AW66" s="261"/>
      <c r="AX66" s="261"/>
      <c r="AY66" s="261"/>
      <c r="AZ66" s="261"/>
      <c r="BA66" s="262">
        <f>CEILING(9049*B5,1)</f>
        <v>12669</v>
      </c>
      <c r="BB66" s="262"/>
      <c r="BC66" s="262"/>
      <c r="BD66" s="262"/>
      <c r="BE66" s="205"/>
      <c r="BF66" s="261" t="s">
        <v>708</v>
      </c>
      <c r="BG66" s="261"/>
      <c r="BH66" s="261"/>
      <c r="BI66" s="261"/>
      <c r="BJ66" s="261"/>
      <c r="BK66" s="261"/>
      <c r="BL66" s="261"/>
      <c r="BM66" s="261"/>
      <c r="BN66" s="262">
        <f>CEILING(10644*B5,1)</f>
        <v>14902</v>
      </c>
      <c r="BO66" s="262"/>
      <c r="BP66" s="262"/>
      <c r="BQ66" s="262"/>
      <c r="BR66" s="61"/>
    </row>
    <row r="67" spans="1:70" s="15" customFormat="1" ht="2.1" customHeight="1" x14ac:dyDescent="0.25">
      <c r="A67" s="18"/>
      <c r="B67" s="59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1"/>
      <c r="BR67" s="61"/>
    </row>
    <row r="68" spans="1:70" s="15" customFormat="1" ht="9" customHeight="1" x14ac:dyDescent="0.25">
      <c r="A68" s="18"/>
      <c r="B68" s="461" t="s">
        <v>205</v>
      </c>
      <c r="C68" s="461"/>
      <c r="D68" s="461"/>
      <c r="E68" s="69"/>
      <c r="F68" s="70"/>
      <c r="G68" s="70"/>
      <c r="H68" s="70"/>
      <c r="I68" s="70"/>
      <c r="J68" s="70"/>
      <c r="K68" s="71"/>
      <c r="L68" s="60"/>
      <c r="M68" s="453" t="s">
        <v>206</v>
      </c>
      <c r="N68" s="448"/>
      <c r="O68" s="449"/>
      <c r="P68" s="83"/>
      <c r="Q68" s="70"/>
      <c r="R68" s="70"/>
      <c r="S68" s="70"/>
      <c r="T68" s="70"/>
      <c r="U68" s="70"/>
      <c r="V68" s="71"/>
      <c r="W68" s="60"/>
      <c r="X68" s="453" t="s">
        <v>729</v>
      </c>
      <c r="Y68" s="448"/>
      <c r="Z68" s="449"/>
      <c r="AA68" s="83"/>
      <c r="AB68" s="70"/>
      <c r="AC68" s="70"/>
      <c r="AD68" s="70"/>
      <c r="AE68" s="70"/>
      <c r="AF68" s="70"/>
      <c r="AG68" s="71"/>
      <c r="AH68" s="60"/>
      <c r="AI68" s="453" t="s">
        <v>207</v>
      </c>
      <c r="AJ68" s="448"/>
      <c r="AK68" s="449"/>
      <c r="AL68" s="83"/>
      <c r="AM68" s="70"/>
      <c r="AN68" s="70"/>
      <c r="AO68" s="70"/>
      <c r="AP68" s="70"/>
      <c r="AQ68" s="70"/>
      <c r="AR68" s="71"/>
      <c r="AS68" s="60"/>
      <c r="AT68" s="453" t="s">
        <v>209</v>
      </c>
      <c r="AU68" s="448"/>
      <c r="AV68" s="449"/>
      <c r="AW68" s="83"/>
      <c r="AX68" s="70"/>
      <c r="AY68" s="70"/>
      <c r="AZ68" s="70"/>
      <c r="BA68" s="70"/>
      <c r="BB68" s="70"/>
      <c r="BC68" s="70"/>
      <c r="BD68" s="71"/>
      <c r="BE68" s="60"/>
      <c r="BF68" s="453" t="s">
        <v>210</v>
      </c>
      <c r="BG68" s="448"/>
      <c r="BH68" s="449"/>
      <c r="BI68" s="83"/>
      <c r="BJ68" s="70"/>
      <c r="BK68" s="70"/>
      <c r="BL68" s="70"/>
      <c r="BM68" s="70"/>
      <c r="BN68" s="70"/>
      <c r="BO68" s="70"/>
      <c r="BP68" s="70"/>
      <c r="BQ68" s="71"/>
      <c r="BR68" s="61"/>
    </row>
    <row r="69" spans="1:70" s="15" customFormat="1" ht="9" customHeight="1" x14ac:dyDescent="0.25">
      <c r="A69" s="18"/>
      <c r="B69" s="59"/>
      <c r="C69" s="60"/>
      <c r="D69" s="60"/>
      <c r="E69" s="60"/>
      <c r="F69" s="60"/>
      <c r="G69" s="60"/>
      <c r="H69" s="60"/>
      <c r="I69" s="60"/>
      <c r="J69" s="60"/>
      <c r="K69" s="61"/>
      <c r="L69" s="60"/>
      <c r="M69" s="59"/>
      <c r="N69" s="60"/>
      <c r="O69" s="60"/>
      <c r="P69" s="60"/>
      <c r="Q69" s="60"/>
      <c r="R69" s="60"/>
      <c r="S69" s="60"/>
      <c r="T69" s="60"/>
      <c r="U69" s="60"/>
      <c r="V69" s="61"/>
      <c r="W69" s="60"/>
      <c r="X69" s="59"/>
      <c r="Y69" s="60"/>
      <c r="Z69" s="60"/>
      <c r="AA69" s="60"/>
      <c r="AB69" s="60"/>
      <c r="AC69" s="60"/>
      <c r="AD69" s="60"/>
      <c r="AE69" s="60"/>
      <c r="AF69" s="60"/>
      <c r="AG69" s="61"/>
      <c r="AH69" s="60"/>
      <c r="AI69" s="59"/>
      <c r="AJ69" s="60"/>
      <c r="AK69" s="60"/>
      <c r="AL69" s="60"/>
      <c r="AM69" s="60"/>
      <c r="AN69" s="60"/>
      <c r="AO69" s="60"/>
      <c r="AP69" s="60"/>
      <c r="AQ69" s="60"/>
      <c r="AR69" s="61"/>
      <c r="AS69" s="60"/>
      <c r="AT69" s="59"/>
      <c r="AU69" s="60"/>
      <c r="AV69" s="60"/>
      <c r="AW69" s="60"/>
      <c r="AX69" s="60"/>
      <c r="AY69" s="60"/>
      <c r="AZ69" s="60"/>
      <c r="BA69" s="60"/>
      <c r="BB69" s="60"/>
      <c r="BC69" s="60"/>
      <c r="BD69" s="61"/>
      <c r="BE69" s="60"/>
      <c r="BF69" s="59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1"/>
      <c r="BR69" s="61"/>
    </row>
    <row r="70" spans="1:70" s="15" customFormat="1" ht="9" customHeight="1" x14ac:dyDescent="0.25">
      <c r="A70" s="18"/>
      <c r="B70" s="59"/>
      <c r="C70" s="60"/>
      <c r="D70" s="60"/>
      <c r="E70" s="60"/>
      <c r="F70" s="60"/>
      <c r="G70" s="60"/>
      <c r="H70" s="60"/>
      <c r="I70" s="60"/>
      <c r="J70" s="60"/>
      <c r="K70" s="61"/>
      <c r="L70" s="60"/>
      <c r="M70" s="59"/>
      <c r="N70" s="60"/>
      <c r="O70" s="60"/>
      <c r="P70" s="60"/>
      <c r="Q70" s="60"/>
      <c r="R70" s="60"/>
      <c r="S70" s="60"/>
      <c r="T70" s="60"/>
      <c r="U70" s="60"/>
      <c r="V70" s="61"/>
      <c r="W70" s="60"/>
      <c r="X70" s="59"/>
      <c r="Y70" s="60"/>
      <c r="Z70" s="60"/>
      <c r="AA70" s="60"/>
      <c r="AB70" s="60"/>
      <c r="AC70" s="60"/>
      <c r="AD70" s="60"/>
      <c r="AE70" s="60"/>
      <c r="AF70" s="60"/>
      <c r="AG70" s="61"/>
      <c r="AH70" s="60"/>
      <c r="AI70" s="59"/>
      <c r="AJ70" s="60"/>
      <c r="AK70" s="60"/>
      <c r="AL70" s="60"/>
      <c r="AM70" s="60"/>
      <c r="AN70" s="60"/>
      <c r="AO70" s="60"/>
      <c r="AP70" s="60"/>
      <c r="AQ70" s="60"/>
      <c r="AR70" s="61"/>
      <c r="AS70" s="60"/>
      <c r="AT70" s="59"/>
      <c r="AU70" s="60"/>
      <c r="AV70" s="60"/>
      <c r="AW70" s="60"/>
      <c r="AX70" s="60"/>
      <c r="AY70" s="60"/>
      <c r="AZ70" s="60"/>
      <c r="BA70" s="60"/>
      <c r="BB70" s="60"/>
      <c r="BC70" s="60"/>
      <c r="BD70" s="61"/>
      <c r="BE70" s="60"/>
      <c r="BF70" s="59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1"/>
      <c r="BR70" s="61"/>
    </row>
    <row r="71" spans="1:70" s="15" customFormat="1" ht="9" customHeight="1" x14ac:dyDescent="0.25">
      <c r="A71" s="18"/>
      <c r="B71" s="59"/>
      <c r="C71" s="60"/>
      <c r="D71" s="60"/>
      <c r="E71" s="60"/>
      <c r="F71" s="60"/>
      <c r="G71" s="60"/>
      <c r="H71" s="60"/>
      <c r="I71" s="60"/>
      <c r="J71" s="60"/>
      <c r="K71" s="61"/>
      <c r="L71" s="60"/>
      <c r="M71" s="59"/>
      <c r="N71" s="60"/>
      <c r="O71" s="60"/>
      <c r="P71" s="60"/>
      <c r="Q71" s="60"/>
      <c r="R71" s="60"/>
      <c r="S71" s="60"/>
      <c r="T71" s="60"/>
      <c r="U71" s="60"/>
      <c r="V71" s="61"/>
      <c r="W71" s="60"/>
      <c r="X71" s="59"/>
      <c r="Y71" s="60"/>
      <c r="Z71" s="60"/>
      <c r="AA71" s="60"/>
      <c r="AB71" s="60"/>
      <c r="AC71" s="60"/>
      <c r="AD71" s="60"/>
      <c r="AE71" s="60"/>
      <c r="AF71" s="60"/>
      <c r="AG71" s="61"/>
      <c r="AH71" s="60"/>
      <c r="AI71" s="59"/>
      <c r="AJ71" s="60"/>
      <c r="AK71" s="60"/>
      <c r="AL71" s="60"/>
      <c r="AM71" s="60"/>
      <c r="AN71" s="60"/>
      <c r="AO71" s="60"/>
      <c r="AP71" s="60"/>
      <c r="AQ71" s="60"/>
      <c r="AR71" s="61"/>
      <c r="AS71" s="60"/>
      <c r="AT71" s="59"/>
      <c r="AU71" s="60"/>
      <c r="AV71" s="60"/>
      <c r="AW71" s="60"/>
      <c r="AX71" s="60"/>
      <c r="AY71" s="60"/>
      <c r="AZ71" s="60"/>
      <c r="BA71" s="60"/>
      <c r="BB71" s="60"/>
      <c r="BC71" s="60"/>
      <c r="BD71" s="61"/>
      <c r="BE71" s="60"/>
      <c r="BF71" s="59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1"/>
      <c r="BR71" s="61"/>
    </row>
    <row r="72" spans="1:70" s="15" customFormat="1" ht="9" customHeight="1" x14ac:dyDescent="0.25">
      <c r="A72" s="18"/>
      <c r="B72" s="59"/>
      <c r="C72" s="60"/>
      <c r="D72" s="60"/>
      <c r="E72" s="60"/>
      <c r="F72" s="60"/>
      <c r="G72" s="60"/>
      <c r="H72" s="60"/>
      <c r="I72" s="60"/>
      <c r="J72" s="60"/>
      <c r="K72" s="61"/>
      <c r="L72" s="60"/>
      <c r="M72" s="59"/>
      <c r="N72" s="60"/>
      <c r="O72" s="60"/>
      <c r="P72" s="60"/>
      <c r="Q72" s="60"/>
      <c r="R72" s="60"/>
      <c r="S72" s="60"/>
      <c r="T72" s="60"/>
      <c r="U72" s="60"/>
      <c r="V72" s="61"/>
      <c r="W72" s="60"/>
      <c r="X72" s="59"/>
      <c r="Y72" s="60"/>
      <c r="Z72" s="60"/>
      <c r="AA72" s="60"/>
      <c r="AB72" s="60"/>
      <c r="AC72" s="60"/>
      <c r="AD72" s="60"/>
      <c r="AE72" s="60"/>
      <c r="AF72" s="60"/>
      <c r="AG72" s="61"/>
      <c r="AH72" s="60"/>
      <c r="AI72" s="59"/>
      <c r="AJ72" s="60"/>
      <c r="AK72" s="60"/>
      <c r="AL72" s="60"/>
      <c r="AM72" s="60"/>
      <c r="AN72" s="60"/>
      <c r="AO72" s="60"/>
      <c r="AP72" s="60"/>
      <c r="AQ72" s="60"/>
      <c r="AR72" s="61"/>
      <c r="AS72" s="60"/>
      <c r="AT72" s="59"/>
      <c r="AU72" s="60"/>
      <c r="AV72" s="60"/>
      <c r="AW72" s="60"/>
      <c r="AX72" s="60"/>
      <c r="AY72" s="60"/>
      <c r="AZ72" s="60"/>
      <c r="BA72" s="60"/>
      <c r="BB72" s="60"/>
      <c r="BC72" s="60"/>
      <c r="BD72" s="61"/>
      <c r="BE72" s="60"/>
      <c r="BF72" s="59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1"/>
      <c r="BR72" s="61"/>
    </row>
    <row r="73" spans="1:70" s="15" customFormat="1" ht="9" customHeight="1" x14ac:dyDescent="0.25">
      <c r="A73" s="18"/>
      <c r="B73" s="72"/>
      <c r="C73" s="73"/>
      <c r="D73" s="73"/>
      <c r="E73" s="60"/>
      <c r="F73" s="60"/>
      <c r="G73" s="60"/>
      <c r="H73" s="60"/>
      <c r="I73" s="60"/>
      <c r="J73" s="60"/>
      <c r="K73" s="61"/>
      <c r="L73" s="60"/>
      <c r="M73" s="59"/>
      <c r="N73" s="60"/>
      <c r="O73" s="60"/>
      <c r="P73" s="60"/>
      <c r="Q73" s="60"/>
      <c r="R73" s="60"/>
      <c r="S73" s="60"/>
      <c r="T73" s="60"/>
      <c r="U73" s="60"/>
      <c r="V73" s="61"/>
      <c r="W73" s="60"/>
      <c r="X73" s="59"/>
      <c r="Y73" s="60"/>
      <c r="Z73" s="60"/>
      <c r="AA73" s="60"/>
      <c r="AB73" s="60"/>
      <c r="AC73" s="60"/>
      <c r="AD73" s="60"/>
      <c r="AE73" s="60"/>
      <c r="AF73" s="60"/>
      <c r="AG73" s="61"/>
      <c r="AH73" s="60"/>
      <c r="AI73" s="59"/>
      <c r="AJ73" s="60"/>
      <c r="AK73" s="60"/>
      <c r="AL73" s="60"/>
      <c r="AM73" s="60"/>
      <c r="AN73" s="60"/>
      <c r="AO73" s="60"/>
      <c r="AP73" s="60"/>
      <c r="AQ73" s="60"/>
      <c r="AR73" s="61"/>
      <c r="AS73" s="60"/>
      <c r="AT73" s="59"/>
      <c r="AU73" s="60"/>
      <c r="AV73" s="60"/>
      <c r="AW73" s="60"/>
      <c r="AX73" s="60"/>
      <c r="AY73" s="60"/>
      <c r="AZ73" s="60"/>
      <c r="BA73" s="60"/>
      <c r="BB73" s="60"/>
      <c r="BC73" s="60"/>
      <c r="BD73" s="61"/>
      <c r="BE73" s="60"/>
      <c r="BF73" s="59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1"/>
      <c r="BR73" s="61"/>
    </row>
    <row r="74" spans="1:70" s="15" customFormat="1" ht="9" customHeight="1" x14ac:dyDescent="0.25">
      <c r="A74" s="18"/>
      <c r="B74" s="467" t="s">
        <v>688</v>
      </c>
      <c r="C74" s="468"/>
      <c r="D74" s="469"/>
      <c r="E74" s="59"/>
      <c r="F74" s="60"/>
      <c r="G74" s="60"/>
      <c r="H74" s="60"/>
      <c r="I74" s="60"/>
      <c r="J74" s="60"/>
      <c r="K74" s="61"/>
      <c r="L74" s="60"/>
      <c r="M74" s="59"/>
      <c r="N74" s="60"/>
      <c r="O74" s="60"/>
      <c r="P74" s="60"/>
      <c r="Q74" s="60"/>
      <c r="R74" s="60"/>
      <c r="S74" s="60"/>
      <c r="T74" s="60"/>
      <c r="U74" s="60"/>
      <c r="V74" s="61"/>
      <c r="W74" s="60"/>
      <c r="X74" s="59"/>
      <c r="Y74" s="60"/>
      <c r="Z74" s="60"/>
      <c r="AA74" s="60"/>
      <c r="AB74" s="60"/>
      <c r="AC74" s="60"/>
      <c r="AD74" s="60"/>
      <c r="AE74" s="60"/>
      <c r="AF74" s="60"/>
      <c r="AG74" s="61"/>
      <c r="AH74" s="60"/>
      <c r="AI74" s="59"/>
      <c r="AJ74" s="60"/>
      <c r="AK74" s="60"/>
      <c r="AL74" s="60"/>
      <c r="AM74" s="60"/>
      <c r="AN74" s="60"/>
      <c r="AO74" s="60"/>
      <c r="AP74" s="60"/>
      <c r="AQ74" s="60"/>
      <c r="AR74" s="61"/>
      <c r="AS74" s="60"/>
      <c r="AT74" s="59"/>
      <c r="AU74" s="60"/>
      <c r="AV74" s="60"/>
      <c r="AW74" s="60"/>
      <c r="AX74" s="60"/>
      <c r="AY74" s="60"/>
      <c r="AZ74" s="60"/>
      <c r="BA74" s="60"/>
      <c r="BB74" s="60"/>
      <c r="BC74" s="60"/>
      <c r="BD74" s="61"/>
      <c r="BE74" s="60"/>
      <c r="BF74" s="59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1"/>
      <c r="BR74" s="61"/>
    </row>
    <row r="75" spans="1:70" s="15" customFormat="1" ht="9" customHeight="1" x14ac:dyDescent="0.25">
      <c r="A75" s="18"/>
      <c r="B75" s="59"/>
      <c r="C75" s="60"/>
      <c r="D75" s="60"/>
      <c r="E75" s="60"/>
      <c r="F75" s="60"/>
      <c r="G75" s="60"/>
      <c r="H75" s="60"/>
      <c r="I75" s="60"/>
      <c r="J75" s="60"/>
      <c r="K75" s="61"/>
      <c r="L75" s="60"/>
      <c r="M75" s="59"/>
      <c r="N75" s="60"/>
      <c r="O75" s="60"/>
      <c r="P75" s="60"/>
      <c r="Q75" s="60"/>
      <c r="R75" s="60"/>
      <c r="S75" s="60"/>
      <c r="T75" s="60"/>
      <c r="U75" s="60"/>
      <c r="V75" s="61"/>
      <c r="W75" s="60"/>
      <c r="X75" s="59"/>
      <c r="Y75" s="60"/>
      <c r="Z75" s="60"/>
      <c r="AA75" s="60"/>
      <c r="AB75" s="60"/>
      <c r="AC75" s="60"/>
      <c r="AD75" s="60"/>
      <c r="AE75" s="60"/>
      <c r="AF75" s="60"/>
      <c r="AG75" s="61"/>
      <c r="AH75" s="60"/>
      <c r="AI75" s="59"/>
      <c r="AJ75" s="60"/>
      <c r="AK75" s="60"/>
      <c r="AL75" s="60"/>
      <c r="AM75" s="60"/>
      <c r="AN75" s="60"/>
      <c r="AO75" s="60"/>
      <c r="AP75" s="60"/>
      <c r="AQ75" s="60"/>
      <c r="AR75" s="61"/>
      <c r="AS75" s="60"/>
      <c r="AT75" s="59"/>
      <c r="AU75" s="60"/>
      <c r="AV75" s="60"/>
      <c r="AW75" s="60"/>
      <c r="AX75" s="60"/>
      <c r="AY75" s="60"/>
      <c r="AZ75" s="60"/>
      <c r="BA75" s="60"/>
      <c r="BB75" s="60"/>
      <c r="BC75" s="60"/>
      <c r="BD75" s="61"/>
      <c r="BE75" s="60"/>
      <c r="BF75" s="59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1"/>
      <c r="BR75" s="61"/>
    </row>
    <row r="76" spans="1:70" s="15" customFormat="1" ht="9" customHeight="1" x14ac:dyDescent="0.25">
      <c r="A76" s="18"/>
      <c r="B76" s="59"/>
      <c r="C76" s="60"/>
      <c r="D76" s="60"/>
      <c r="E76" s="60"/>
      <c r="F76" s="60"/>
      <c r="G76" s="60"/>
      <c r="H76" s="60"/>
      <c r="I76" s="60"/>
      <c r="J76" s="60"/>
      <c r="K76" s="61"/>
      <c r="L76" s="60"/>
      <c r="M76" s="59"/>
      <c r="N76" s="60"/>
      <c r="O76" s="60"/>
      <c r="P76" s="60"/>
      <c r="Q76" s="60"/>
      <c r="R76" s="60"/>
      <c r="S76" s="60"/>
      <c r="T76" s="60"/>
      <c r="U76" s="60"/>
      <c r="V76" s="61"/>
      <c r="W76" s="60"/>
      <c r="X76" s="59"/>
      <c r="Y76" s="60"/>
      <c r="Z76" s="60"/>
      <c r="AA76" s="60"/>
      <c r="AB76" s="60"/>
      <c r="AC76" s="60"/>
      <c r="AD76" s="60"/>
      <c r="AE76" s="60"/>
      <c r="AF76" s="60"/>
      <c r="AG76" s="61"/>
      <c r="AH76" s="60"/>
      <c r="AI76" s="59"/>
      <c r="AJ76" s="60"/>
      <c r="AK76" s="60"/>
      <c r="AL76" s="60"/>
      <c r="AM76" s="60"/>
      <c r="AN76" s="60"/>
      <c r="AO76" s="60"/>
      <c r="AP76" s="60"/>
      <c r="AQ76" s="60"/>
      <c r="AR76" s="61"/>
      <c r="AS76" s="60"/>
      <c r="AT76" s="59"/>
      <c r="AU76" s="60"/>
      <c r="AV76" s="60"/>
      <c r="AW76" s="60"/>
      <c r="AX76" s="60"/>
      <c r="AY76" s="60"/>
      <c r="AZ76" s="60"/>
      <c r="BA76" s="60"/>
      <c r="BB76" s="60"/>
      <c r="BC76" s="60"/>
      <c r="BD76" s="61"/>
      <c r="BE76" s="60"/>
      <c r="BF76" s="59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1"/>
      <c r="BR76" s="61"/>
    </row>
    <row r="77" spans="1:70" s="15" customFormat="1" ht="9" customHeight="1" x14ac:dyDescent="0.25">
      <c r="A77" s="18"/>
      <c r="B77" s="59"/>
      <c r="C77" s="60"/>
      <c r="D77" s="60"/>
      <c r="E77" s="60"/>
      <c r="F77" s="60"/>
      <c r="G77" s="60"/>
      <c r="H77" s="60"/>
      <c r="I77" s="60"/>
      <c r="J77" s="60"/>
      <c r="K77" s="61"/>
      <c r="L77" s="60"/>
      <c r="M77" s="59"/>
      <c r="N77" s="60"/>
      <c r="O77" s="60"/>
      <c r="P77" s="60"/>
      <c r="Q77" s="60"/>
      <c r="R77" s="60"/>
      <c r="S77" s="60"/>
      <c r="T77" s="60"/>
      <c r="U77" s="60"/>
      <c r="V77" s="61"/>
      <c r="W77" s="60"/>
      <c r="X77" s="59"/>
      <c r="Y77" s="60"/>
      <c r="Z77" s="60"/>
      <c r="AA77" s="60"/>
      <c r="AB77" s="60"/>
      <c r="AC77" s="60"/>
      <c r="AD77" s="60"/>
      <c r="AE77" s="60"/>
      <c r="AF77" s="60"/>
      <c r="AG77" s="61"/>
      <c r="AH77" s="60"/>
      <c r="AI77" s="59"/>
      <c r="AJ77" s="60"/>
      <c r="AK77" s="60"/>
      <c r="AL77" s="60"/>
      <c r="AM77" s="60"/>
      <c r="AN77" s="60"/>
      <c r="AO77" s="60"/>
      <c r="AP77" s="60"/>
      <c r="AQ77" s="60"/>
      <c r="AR77" s="61"/>
      <c r="AS77" s="60"/>
      <c r="AT77" s="59"/>
      <c r="AU77" s="60"/>
      <c r="AV77" s="60"/>
      <c r="AW77" s="60"/>
      <c r="AX77" s="60"/>
      <c r="AY77" s="60"/>
      <c r="AZ77" s="60"/>
      <c r="BA77" s="60"/>
      <c r="BB77" s="60"/>
      <c r="BC77" s="60"/>
      <c r="BD77" s="61"/>
      <c r="BE77" s="60"/>
      <c r="BF77" s="59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1"/>
      <c r="BR77" s="61"/>
    </row>
    <row r="78" spans="1:70" s="15" customFormat="1" ht="9" customHeight="1" x14ac:dyDescent="0.25">
      <c r="A78" s="18"/>
      <c r="B78" s="59"/>
      <c r="C78" s="60"/>
      <c r="D78" s="60"/>
      <c r="E78" s="60"/>
      <c r="F78" s="60"/>
      <c r="G78" s="60"/>
      <c r="H78" s="60"/>
      <c r="I78" s="60"/>
      <c r="J78" s="60"/>
      <c r="K78" s="61"/>
      <c r="L78" s="60"/>
      <c r="M78" s="59"/>
      <c r="N78" s="60"/>
      <c r="O78" s="60"/>
      <c r="P78" s="60"/>
      <c r="Q78" s="60"/>
      <c r="R78" s="60"/>
      <c r="S78" s="60"/>
      <c r="T78" s="60"/>
      <c r="U78" s="60"/>
      <c r="V78" s="61"/>
      <c r="W78" s="60"/>
      <c r="X78" s="463" t="s">
        <v>222</v>
      </c>
      <c r="Y78" s="458"/>
      <c r="Z78" s="458"/>
      <c r="AA78" s="458"/>
      <c r="AB78" s="458"/>
      <c r="AC78" s="458"/>
      <c r="AD78" s="458"/>
      <c r="AE78" s="458"/>
      <c r="AF78" s="458"/>
      <c r="AG78" s="460"/>
      <c r="AH78" s="60"/>
      <c r="AI78" s="59"/>
      <c r="AJ78" s="60"/>
      <c r="AK78" s="60"/>
      <c r="AL78" s="60"/>
      <c r="AM78" s="60"/>
      <c r="AN78" s="60"/>
      <c r="AO78" s="60"/>
      <c r="AP78" s="60"/>
      <c r="AQ78" s="60"/>
      <c r="AR78" s="61"/>
      <c r="AS78" s="60"/>
      <c r="AT78" s="59"/>
      <c r="AU78" s="60"/>
      <c r="AV78" s="60"/>
      <c r="AW78" s="60"/>
      <c r="AX78" s="60"/>
      <c r="AY78" s="60"/>
      <c r="AZ78" s="60"/>
      <c r="BA78" s="60"/>
      <c r="BB78" s="60"/>
      <c r="BC78" s="60"/>
      <c r="BD78" s="61"/>
      <c r="BE78" s="60"/>
      <c r="BF78" s="59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1"/>
      <c r="BR78" s="61"/>
    </row>
    <row r="79" spans="1:70" s="15" customFormat="1" ht="9" customHeight="1" x14ac:dyDescent="0.25">
      <c r="A79" s="18"/>
      <c r="B79" s="463" t="s">
        <v>222</v>
      </c>
      <c r="C79" s="458"/>
      <c r="D79" s="458"/>
      <c r="E79" s="458"/>
      <c r="F79" s="458"/>
      <c r="G79" s="458"/>
      <c r="H79" s="458"/>
      <c r="I79" s="458"/>
      <c r="J79" s="458"/>
      <c r="K79" s="460"/>
      <c r="L79" s="60"/>
      <c r="M79" s="463" t="s">
        <v>222</v>
      </c>
      <c r="N79" s="458"/>
      <c r="O79" s="458"/>
      <c r="P79" s="458"/>
      <c r="Q79" s="458"/>
      <c r="R79" s="458"/>
      <c r="S79" s="458"/>
      <c r="T79" s="458"/>
      <c r="U79" s="458"/>
      <c r="V79" s="460"/>
      <c r="W79" s="60"/>
      <c r="X79" s="261" t="s">
        <v>771</v>
      </c>
      <c r="Y79" s="261"/>
      <c r="Z79" s="261"/>
      <c r="AA79" s="261"/>
      <c r="AB79" s="261"/>
      <c r="AC79" s="261"/>
      <c r="AD79" s="262">
        <f>CEILING(1252*B5,1)</f>
        <v>1753</v>
      </c>
      <c r="AE79" s="262"/>
      <c r="AF79" s="262"/>
      <c r="AG79" s="262"/>
      <c r="AH79" s="60"/>
      <c r="AI79" s="463" t="s">
        <v>686</v>
      </c>
      <c r="AJ79" s="458"/>
      <c r="AK79" s="458"/>
      <c r="AL79" s="458"/>
      <c r="AM79" s="458"/>
      <c r="AN79" s="458"/>
      <c r="AO79" s="458"/>
      <c r="AP79" s="458"/>
      <c r="AQ79" s="458"/>
      <c r="AR79" s="460"/>
      <c r="AS79" s="60"/>
      <c r="AT79" s="463" t="s">
        <v>686</v>
      </c>
      <c r="AU79" s="458"/>
      <c r="AV79" s="458"/>
      <c r="AW79" s="458"/>
      <c r="AX79" s="458"/>
      <c r="AY79" s="458"/>
      <c r="AZ79" s="458"/>
      <c r="BA79" s="458"/>
      <c r="BB79" s="458"/>
      <c r="BC79" s="458"/>
      <c r="BD79" s="460"/>
      <c r="BE79" s="60"/>
      <c r="BF79" s="463" t="s">
        <v>221</v>
      </c>
      <c r="BG79" s="458"/>
      <c r="BH79" s="458"/>
      <c r="BI79" s="458"/>
      <c r="BJ79" s="458"/>
      <c r="BK79" s="458"/>
      <c r="BL79" s="458"/>
      <c r="BM79" s="458"/>
      <c r="BN79" s="458"/>
      <c r="BO79" s="458"/>
      <c r="BP79" s="458"/>
      <c r="BQ79" s="460"/>
      <c r="BR79" s="61"/>
    </row>
    <row r="80" spans="1:70" s="15" customFormat="1" ht="9" customHeight="1" x14ac:dyDescent="0.25">
      <c r="A80" s="18"/>
      <c r="B80" s="261" t="s">
        <v>687</v>
      </c>
      <c r="C80" s="261"/>
      <c r="D80" s="261"/>
      <c r="E80" s="261"/>
      <c r="F80" s="261"/>
      <c r="G80" s="261"/>
      <c r="H80" s="462" t="s">
        <v>825</v>
      </c>
      <c r="I80" s="462"/>
      <c r="J80" s="462"/>
      <c r="K80" s="462"/>
      <c r="L80" s="205"/>
      <c r="M80" s="261" t="s">
        <v>772</v>
      </c>
      <c r="N80" s="261"/>
      <c r="O80" s="261"/>
      <c r="P80" s="261"/>
      <c r="Q80" s="261"/>
      <c r="R80" s="261"/>
      <c r="S80" s="262">
        <f>CEILING(1877*B5,1)</f>
        <v>2628</v>
      </c>
      <c r="T80" s="262"/>
      <c r="U80" s="262"/>
      <c r="V80" s="262"/>
      <c r="W80" s="205"/>
      <c r="X80" s="261" t="s">
        <v>770</v>
      </c>
      <c r="Y80" s="261"/>
      <c r="Z80" s="261"/>
      <c r="AA80" s="261"/>
      <c r="AB80" s="261"/>
      <c r="AC80" s="261"/>
      <c r="AD80" s="262">
        <f>CEILING(2240*B5,1)</f>
        <v>3136</v>
      </c>
      <c r="AE80" s="262"/>
      <c r="AF80" s="262"/>
      <c r="AG80" s="262"/>
      <c r="AH80" s="205"/>
      <c r="AI80" s="261" t="s">
        <v>689</v>
      </c>
      <c r="AJ80" s="261"/>
      <c r="AK80" s="261"/>
      <c r="AL80" s="261"/>
      <c r="AM80" s="261"/>
      <c r="AN80" s="261"/>
      <c r="AO80" s="262">
        <f>CEILING(4182*B5,1)</f>
        <v>5855</v>
      </c>
      <c r="AP80" s="262"/>
      <c r="AQ80" s="262"/>
      <c r="AR80" s="262"/>
      <c r="AS80" s="205"/>
      <c r="AT80" s="261" t="s">
        <v>689</v>
      </c>
      <c r="AU80" s="261"/>
      <c r="AV80" s="261"/>
      <c r="AW80" s="261"/>
      <c r="AX80" s="261"/>
      <c r="AY80" s="261"/>
      <c r="AZ80" s="261"/>
      <c r="BA80" s="261"/>
      <c r="BB80" s="262">
        <f>CEILING(5216*B5,1)</f>
        <v>7303</v>
      </c>
      <c r="BC80" s="262"/>
      <c r="BD80" s="262"/>
      <c r="BE80" s="205"/>
      <c r="BF80" s="261" t="s">
        <v>690</v>
      </c>
      <c r="BG80" s="261"/>
      <c r="BH80" s="261"/>
      <c r="BI80" s="261"/>
      <c r="BJ80" s="261"/>
      <c r="BK80" s="261"/>
      <c r="BL80" s="261"/>
      <c r="BM80" s="261"/>
      <c r="BN80" s="262">
        <f>CEILING(4544*B5,1)</f>
        <v>6362</v>
      </c>
      <c r="BO80" s="262"/>
      <c r="BP80" s="262"/>
      <c r="BQ80" s="262"/>
      <c r="BR80" s="61"/>
    </row>
    <row r="81" spans="1:70" s="15" customFormat="1" ht="2.1" customHeight="1" x14ac:dyDescent="0.25">
      <c r="A81" s="18"/>
      <c r="B81" s="59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218"/>
      <c r="AN81" s="218"/>
      <c r="AO81" s="218"/>
      <c r="AP81" s="218"/>
      <c r="AQ81" s="218"/>
      <c r="AR81" s="218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218"/>
      <c r="BK81" s="218"/>
      <c r="BL81" s="218"/>
      <c r="BM81" s="218"/>
      <c r="BN81" s="218"/>
      <c r="BO81" s="218"/>
      <c r="BP81" s="218"/>
      <c r="BQ81" s="219"/>
      <c r="BR81" s="61"/>
    </row>
    <row r="82" spans="1:70" s="15" customFormat="1" ht="9" customHeight="1" x14ac:dyDescent="0.25">
      <c r="A82" s="18"/>
      <c r="B82" s="447" t="s">
        <v>334</v>
      </c>
      <c r="C82" s="448"/>
      <c r="D82" s="449"/>
      <c r="E82" s="83"/>
      <c r="F82" s="70"/>
      <c r="G82" s="70"/>
      <c r="H82" s="70"/>
      <c r="I82" s="70"/>
      <c r="J82" s="70"/>
      <c r="K82" s="71"/>
      <c r="L82" s="60"/>
      <c r="M82" s="450" t="s">
        <v>335</v>
      </c>
      <c r="N82" s="451"/>
      <c r="O82" s="452"/>
      <c r="P82" s="83"/>
      <c r="Q82" s="70"/>
      <c r="R82" s="70"/>
      <c r="S82" s="70"/>
      <c r="T82" s="70"/>
      <c r="U82" s="70"/>
      <c r="V82" s="71"/>
      <c r="W82" s="60"/>
      <c r="X82" s="453" t="s">
        <v>639</v>
      </c>
      <c r="Y82" s="448"/>
      <c r="Z82" s="449"/>
      <c r="AA82" s="83"/>
      <c r="AB82" s="70"/>
      <c r="AC82" s="70"/>
      <c r="AD82" s="70"/>
      <c r="AE82" s="70"/>
      <c r="AF82" s="70"/>
      <c r="AG82" s="71"/>
      <c r="AH82" s="60"/>
      <c r="AI82" s="453" t="s">
        <v>617</v>
      </c>
      <c r="AJ82" s="448"/>
      <c r="AK82" s="448"/>
      <c r="AL82" s="448"/>
      <c r="AM82" s="448"/>
      <c r="AN82" s="449"/>
      <c r="AO82" s="84"/>
      <c r="AP82" s="81"/>
      <c r="AQ82" s="81"/>
      <c r="AR82" s="82"/>
      <c r="AS82" s="60"/>
      <c r="AT82" s="453" t="s">
        <v>618</v>
      </c>
      <c r="AU82" s="448"/>
      <c r="AV82" s="448"/>
      <c r="AW82" s="448"/>
      <c r="AX82" s="448"/>
      <c r="AY82" s="449"/>
      <c r="AZ82" s="84"/>
      <c r="BA82" s="81"/>
      <c r="BB82" s="81"/>
      <c r="BC82" s="81"/>
      <c r="BD82" s="82"/>
      <c r="BE82" s="60"/>
      <c r="BF82" s="453" t="s">
        <v>619</v>
      </c>
      <c r="BG82" s="448"/>
      <c r="BH82" s="448"/>
      <c r="BI82" s="448"/>
      <c r="BJ82" s="448"/>
      <c r="BK82" s="449"/>
      <c r="BL82" s="84"/>
      <c r="BM82" s="81"/>
      <c r="BN82" s="81"/>
      <c r="BO82" s="81"/>
      <c r="BP82" s="81"/>
      <c r="BQ82" s="82"/>
      <c r="BR82" s="61"/>
    </row>
    <row r="83" spans="1:70" s="15" customFormat="1" ht="9" customHeight="1" x14ac:dyDescent="0.25">
      <c r="A83" s="18"/>
      <c r="B83" s="59"/>
      <c r="C83" s="60"/>
      <c r="D83" s="60"/>
      <c r="E83" s="60"/>
      <c r="F83" s="60"/>
      <c r="G83" s="60"/>
      <c r="H83" s="60"/>
      <c r="I83" s="60"/>
      <c r="J83" s="60"/>
      <c r="K83" s="61"/>
      <c r="L83" s="60"/>
      <c r="M83" s="59"/>
      <c r="N83" s="60"/>
      <c r="O83" s="60"/>
      <c r="P83" s="60"/>
      <c r="Q83" s="60"/>
      <c r="R83" s="60"/>
      <c r="S83" s="60"/>
      <c r="T83" s="60"/>
      <c r="U83" s="60"/>
      <c r="V83" s="61"/>
      <c r="W83" s="60"/>
      <c r="X83" s="59"/>
      <c r="Y83" s="60"/>
      <c r="Z83" s="60"/>
      <c r="AA83" s="60"/>
      <c r="AB83" s="60"/>
      <c r="AC83" s="60"/>
      <c r="AD83" s="60"/>
      <c r="AE83" s="60"/>
      <c r="AF83" s="60"/>
      <c r="AG83" s="61"/>
      <c r="AH83" s="60"/>
      <c r="AI83" s="59"/>
      <c r="AJ83" s="60"/>
      <c r="AK83" s="60"/>
      <c r="AL83" s="60"/>
      <c r="AM83" s="60"/>
      <c r="AN83" s="60"/>
      <c r="AO83" s="60"/>
      <c r="AP83" s="60"/>
      <c r="AQ83" s="60"/>
      <c r="AR83" s="61"/>
      <c r="AS83" s="60"/>
      <c r="AT83" s="59"/>
      <c r="AU83" s="60"/>
      <c r="AV83" s="60"/>
      <c r="AW83" s="60"/>
      <c r="AX83" s="60"/>
      <c r="AY83" s="60"/>
      <c r="AZ83" s="60"/>
      <c r="BA83" s="60"/>
      <c r="BB83" s="60"/>
      <c r="BC83" s="60"/>
      <c r="BD83" s="61"/>
      <c r="BE83" s="60"/>
      <c r="BF83" s="59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1"/>
      <c r="BR83" s="61"/>
    </row>
    <row r="84" spans="1:70" s="15" customFormat="1" ht="9" customHeight="1" x14ac:dyDescent="0.25">
      <c r="A84" s="18"/>
      <c r="B84" s="59"/>
      <c r="C84" s="60"/>
      <c r="D84" s="60"/>
      <c r="E84" s="60"/>
      <c r="F84" s="60"/>
      <c r="G84" s="60"/>
      <c r="H84" s="60"/>
      <c r="I84" s="60"/>
      <c r="J84" s="60"/>
      <c r="K84" s="61"/>
      <c r="L84" s="60"/>
      <c r="M84" s="59"/>
      <c r="N84" s="60"/>
      <c r="O84" s="60"/>
      <c r="P84" s="60"/>
      <c r="Q84" s="60"/>
      <c r="R84" s="60"/>
      <c r="S84" s="60"/>
      <c r="T84" s="60"/>
      <c r="U84" s="60"/>
      <c r="V84" s="61"/>
      <c r="W84" s="60"/>
      <c r="X84" s="59"/>
      <c r="Y84" s="60"/>
      <c r="Z84" s="60"/>
      <c r="AA84" s="60"/>
      <c r="AB84" s="60"/>
      <c r="AC84" s="60"/>
      <c r="AD84" s="60"/>
      <c r="AE84" s="60"/>
      <c r="AF84" s="60"/>
      <c r="AG84" s="61"/>
      <c r="AH84" s="60"/>
      <c r="AI84" s="63"/>
      <c r="AJ84" s="62"/>
      <c r="AK84" s="62"/>
      <c r="AL84" s="62"/>
      <c r="AM84" s="62"/>
      <c r="AN84" s="62"/>
      <c r="AO84" s="62"/>
      <c r="AP84" s="62"/>
      <c r="AQ84" s="62"/>
      <c r="AR84" s="64"/>
      <c r="AS84" s="60"/>
      <c r="AT84" s="63"/>
      <c r="AU84" s="62"/>
      <c r="AV84" s="62"/>
      <c r="AW84" s="62"/>
      <c r="AX84" s="62"/>
      <c r="AY84" s="62"/>
      <c r="AZ84" s="62"/>
      <c r="BA84" s="62"/>
      <c r="BB84" s="62"/>
      <c r="BC84" s="62"/>
      <c r="BD84" s="64"/>
      <c r="BE84" s="60"/>
      <c r="BF84" s="63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4"/>
      <c r="BR84" s="61"/>
    </row>
    <row r="85" spans="1:70" s="15" customFormat="1" ht="9" customHeight="1" x14ac:dyDescent="0.25">
      <c r="A85" s="18"/>
      <c r="B85" s="59"/>
      <c r="C85" s="60"/>
      <c r="D85" s="60"/>
      <c r="E85" s="60"/>
      <c r="F85" s="60"/>
      <c r="G85" s="60"/>
      <c r="H85" s="60"/>
      <c r="I85" s="60"/>
      <c r="J85" s="60"/>
      <c r="K85" s="61"/>
      <c r="L85" s="60"/>
      <c r="M85" s="59"/>
      <c r="N85" s="60"/>
      <c r="O85" s="60"/>
      <c r="P85" s="60"/>
      <c r="Q85" s="60"/>
      <c r="R85" s="60"/>
      <c r="S85" s="60"/>
      <c r="T85" s="60"/>
      <c r="U85" s="60"/>
      <c r="V85" s="61"/>
      <c r="W85" s="60"/>
      <c r="X85" s="59"/>
      <c r="Y85" s="60"/>
      <c r="Z85" s="60"/>
      <c r="AA85" s="60"/>
      <c r="AB85" s="60"/>
      <c r="AC85" s="60"/>
      <c r="AD85" s="60"/>
      <c r="AE85" s="60"/>
      <c r="AF85" s="60"/>
      <c r="AG85" s="61"/>
      <c r="AH85" s="60"/>
      <c r="AI85" s="63"/>
      <c r="AJ85" s="62"/>
      <c r="AK85" s="62"/>
      <c r="AL85" s="62"/>
      <c r="AM85" s="62"/>
      <c r="AN85" s="62"/>
      <c r="AO85" s="62"/>
      <c r="AP85" s="62"/>
      <c r="AQ85" s="62"/>
      <c r="AR85" s="64"/>
      <c r="AS85" s="60"/>
      <c r="AT85" s="63"/>
      <c r="AU85" s="62"/>
      <c r="AV85" s="62"/>
      <c r="AW85" s="62"/>
      <c r="AX85" s="62"/>
      <c r="AY85" s="62"/>
      <c r="AZ85" s="62"/>
      <c r="BA85" s="62"/>
      <c r="BB85" s="62"/>
      <c r="BC85" s="62"/>
      <c r="BD85" s="64"/>
      <c r="BE85" s="60"/>
      <c r="BF85" s="63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4"/>
      <c r="BR85" s="61"/>
    </row>
    <row r="86" spans="1:70" s="15" customFormat="1" ht="9" customHeight="1" x14ac:dyDescent="0.25">
      <c r="A86" s="18"/>
      <c r="B86" s="59"/>
      <c r="C86" s="60"/>
      <c r="D86" s="60"/>
      <c r="E86" s="60"/>
      <c r="F86" s="60"/>
      <c r="G86" s="60"/>
      <c r="H86" s="60"/>
      <c r="I86" s="60"/>
      <c r="J86" s="60"/>
      <c r="K86" s="61"/>
      <c r="L86" s="60"/>
      <c r="M86" s="59"/>
      <c r="N86" s="60"/>
      <c r="O86" s="60"/>
      <c r="P86" s="60"/>
      <c r="Q86" s="60"/>
      <c r="R86" s="60"/>
      <c r="S86" s="60"/>
      <c r="T86" s="60"/>
      <c r="U86" s="60"/>
      <c r="V86" s="61"/>
      <c r="W86" s="60"/>
      <c r="X86" s="59"/>
      <c r="Y86" s="60"/>
      <c r="Z86" s="60"/>
      <c r="AA86" s="60"/>
      <c r="AB86" s="60"/>
      <c r="AC86" s="60"/>
      <c r="AD86" s="60"/>
      <c r="AE86" s="60"/>
      <c r="AF86" s="60"/>
      <c r="AG86" s="61"/>
      <c r="AH86" s="60"/>
      <c r="AI86" s="63"/>
      <c r="AJ86" s="62"/>
      <c r="AK86" s="62"/>
      <c r="AL86" s="62"/>
      <c r="AM86" s="62"/>
      <c r="AN86" s="62"/>
      <c r="AO86" s="62"/>
      <c r="AP86" s="62"/>
      <c r="AQ86" s="62"/>
      <c r="AR86" s="64"/>
      <c r="AS86" s="60"/>
      <c r="AT86" s="63"/>
      <c r="AU86" s="62"/>
      <c r="AV86" s="62"/>
      <c r="AW86" s="62"/>
      <c r="AX86" s="62"/>
      <c r="AY86" s="62"/>
      <c r="AZ86" s="62"/>
      <c r="BA86" s="62"/>
      <c r="BB86" s="62"/>
      <c r="BC86" s="62"/>
      <c r="BD86" s="64"/>
      <c r="BE86" s="60"/>
      <c r="BF86" s="63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4"/>
      <c r="BR86" s="61"/>
    </row>
    <row r="87" spans="1:70" s="15" customFormat="1" ht="9" customHeight="1" x14ac:dyDescent="0.25">
      <c r="A87" s="18"/>
      <c r="B87" s="59"/>
      <c r="C87" s="60"/>
      <c r="D87" s="60"/>
      <c r="E87" s="60"/>
      <c r="F87" s="60"/>
      <c r="G87" s="60"/>
      <c r="H87" s="60"/>
      <c r="I87" s="60"/>
      <c r="J87" s="60"/>
      <c r="K87" s="61"/>
      <c r="L87" s="60"/>
      <c r="M87" s="59"/>
      <c r="N87" s="60"/>
      <c r="O87" s="60"/>
      <c r="P87" s="60"/>
      <c r="Q87" s="60"/>
      <c r="R87" s="60"/>
      <c r="S87" s="60"/>
      <c r="T87" s="60"/>
      <c r="U87" s="60"/>
      <c r="V87" s="61"/>
      <c r="W87" s="60"/>
      <c r="X87" s="59"/>
      <c r="Y87" s="60"/>
      <c r="Z87" s="60"/>
      <c r="AA87" s="60"/>
      <c r="AB87" s="60"/>
      <c r="AC87" s="60"/>
      <c r="AD87" s="60"/>
      <c r="AE87" s="60"/>
      <c r="AF87" s="60"/>
      <c r="AG87" s="61"/>
      <c r="AH87" s="60"/>
      <c r="AI87" s="63"/>
      <c r="AJ87" s="62"/>
      <c r="AK87" s="62"/>
      <c r="AL87" s="62"/>
      <c r="AM87" s="62"/>
      <c r="AN87" s="62"/>
      <c r="AO87" s="62"/>
      <c r="AP87" s="62"/>
      <c r="AQ87" s="62"/>
      <c r="AR87" s="64"/>
      <c r="AS87" s="60"/>
      <c r="AT87" s="63"/>
      <c r="AU87" s="62"/>
      <c r="AV87" s="62"/>
      <c r="AW87" s="62"/>
      <c r="AX87" s="62"/>
      <c r="AY87" s="62"/>
      <c r="AZ87" s="62"/>
      <c r="BA87" s="62"/>
      <c r="BB87" s="62"/>
      <c r="BC87" s="62"/>
      <c r="BD87" s="64"/>
      <c r="BE87" s="60"/>
      <c r="BF87" s="63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4"/>
      <c r="BR87" s="61"/>
    </row>
    <row r="88" spans="1:70" s="15" customFormat="1" ht="9" customHeight="1" x14ac:dyDescent="0.25">
      <c r="A88" s="18"/>
      <c r="B88" s="59"/>
      <c r="C88" s="60"/>
      <c r="D88" s="60"/>
      <c r="E88" s="60"/>
      <c r="F88" s="60"/>
      <c r="G88" s="60"/>
      <c r="H88" s="60"/>
      <c r="I88" s="60"/>
      <c r="J88" s="60"/>
      <c r="K88" s="61"/>
      <c r="L88" s="60"/>
      <c r="M88" s="59"/>
      <c r="N88" s="60"/>
      <c r="O88" s="60"/>
      <c r="P88" s="60"/>
      <c r="Q88" s="60"/>
      <c r="R88" s="60"/>
      <c r="S88" s="60"/>
      <c r="T88" s="60"/>
      <c r="U88" s="60"/>
      <c r="V88" s="61"/>
      <c r="W88" s="60"/>
      <c r="X88" s="59"/>
      <c r="Y88" s="60"/>
      <c r="Z88" s="60"/>
      <c r="AA88" s="60"/>
      <c r="AB88" s="60"/>
      <c r="AC88" s="60"/>
      <c r="AD88" s="60"/>
      <c r="AE88" s="60"/>
      <c r="AF88" s="60"/>
      <c r="AG88" s="61"/>
      <c r="AH88" s="60"/>
      <c r="AI88" s="63"/>
      <c r="AJ88" s="62"/>
      <c r="AK88" s="62"/>
      <c r="AL88" s="62"/>
      <c r="AM88" s="62"/>
      <c r="AN88" s="62"/>
      <c r="AO88" s="62"/>
      <c r="AP88" s="62"/>
      <c r="AQ88" s="62"/>
      <c r="AR88" s="64"/>
      <c r="AS88" s="60"/>
      <c r="AT88" s="63"/>
      <c r="AU88" s="62"/>
      <c r="AV88" s="62"/>
      <c r="AW88" s="62"/>
      <c r="AX88" s="62"/>
      <c r="AY88" s="62"/>
      <c r="AZ88" s="62"/>
      <c r="BA88" s="62"/>
      <c r="BB88" s="62"/>
      <c r="BC88" s="62"/>
      <c r="BD88" s="64"/>
      <c r="BE88" s="60"/>
      <c r="BF88" s="63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4"/>
      <c r="BR88" s="61"/>
    </row>
    <row r="89" spans="1:70" s="15" customFormat="1" ht="9" customHeight="1" x14ac:dyDescent="0.25">
      <c r="A89" s="18"/>
      <c r="B89" s="59"/>
      <c r="C89" s="60"/>
      <c r="D89" s="60"/>
      <c r="E89" s="60"/>
      <c r="F89" s="60"/>
      <c r="G89" s="60"/>
      <c r="H89" s="60"/>
      <c r="I89" s="60"/>
      <c r="J89" s="60"/>
      <c r="K89" s="61"/>
      <c r="L89" s="60"/>
      <c r="M89" s="59"/>
      <c r="N89" s="60"/>
      <c r="O89" s="60"/>
      <c r="P89" s="60"/>
      <c r="Q89" s="60"/>
      <c r="R89" s="60"/>
      <c r="S89" s="60"/>
      <c r="T89" s="60"/>
      <c r="U89" s="60"/>
      <c r="V89" s="61"/>
      <c r="W89" s="60"/>
      <c r="X89" s="59"/>
      <c r="Y89" s="60"/>
      <c r="Z89" s="60"/>
      <c r="AA89" s="60"/>
      <c r="AB89" s="60"/>
      <c r="AC89" s="60"/>
      <c r="AD89" s="60"/>
      <c r="AE89" s="60"/>
      <c r="AF89" s="60"/>
      <c r="AG89" s="61"/>
      <c r="AH89" s="60"/>
      <c r="AI89" s="63"/>
      <c r="AJ89" s="62"/>
      <c r="AK89" s="62"/>
      <c r="AL89" s="62"/>
      <c r="AM89" s="62"/>
      <c r="AN89" s="62"/>
      <c r="AO89" s="62"/>
      <c r="AP89" s="62"/>
      <c r="AQ89" s="62"/>
      <c r="AR89" s="64"/>
      <c r="AS89" s="60"/>
      <c r="AT89" s="63"/>
      <c r="AU89" s="62"/>
      <c r="AV89" s="62"/>
      <c r="AW89" s="62"/>
      <c r="AX89" s="62"/>
      <c r="AY89" s="62"/>
      <c r="AZ89" s="62"/>
      <c r="BA89" s="62"/>
      <c r="BB89" s="62"/>
      <c r="BC89" s="62"/>
      <c r="BD89" s="64"/>
      <c r="BE89" s="60"/>
      <c r="BF89" s="63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4"/>
      <c r="BR89" s="61"/>
    </row>
    <row r="90" spans="1:70" s="15" customFormat="1" ht="9" customHeight="1" x14ac:dyDescent="0.25">
      <c r="A90" s="18"/>
      <c r="B90" s="59"/>
      <c r="C90" s="60"/>
      <c r="D90" s="60"/>
      <c r="E90" s="60"/>
      <c r="F90" s="60"/>
      <c r="G90" s="60"/>
      <c r="H90" s="60"/>
      <c r="I90" s="60"/>
      <c r="J90" s="60"/>
      <c r="K90" s="61"/>
      <c r="L90" s="60"/>
      <c r="M90" s="59"/>
      <c r="N90" s="60"/>
      <c r="O90" s="60"/>
      <c r="P90" s="60"/>
      <c r="Q90" s="60"/>
      <c r="R90" s="60"/>
      <c r="S90" s="60"/>
      <c r="T90" s="60"/>
      <c r="U90" s="60"/>
      <c r="V90" s="61"/>
      <c r="W90" s="60"/>
      <c r="X90" s="59"/>
      <c r="Y90" s="60"/>
      <c r="Z90" s="60"/>
      <c r="AA90" s="60"/>
      <c r="AB90" s="60"/>
      <c r="AC90" s="60"/>
      <c r="AD90" s="60"/>
      <c r="AE90" s="60"/>
      <c r="AF90" s="60"/>
      <c r="AG90" s="61"/>
      <c r="AH90" s="60"/>
      <c r="AI90" s="63"/>
      <c r="AJ90" s="62"/>
      <c r="AK90" s="62"/>
      <c r="AL90" s="62"/>
      <c r="AM90" s="62"/>
      <c r="AN90" s="62"/>
      <c r="AO90" s="62"/>
      <c r="AP90" s="62"/>
      <c r="AQ90" s="62"/>
      <c r="AR90" s="64"/>
      <c r="AS90" s="60"/>
      <c r="AT90" s="63"/>
      <c r="AU90" s="62"/>
      <c r="AV90" s="62"/>
      <c r="AW90" s="62"/>
      <c r="AX90" s="62"/>
      <c r="AY90" s="62"/>
      <c r="AZ90" s="62"/>
      <c r="BA90" s="62"/>
      <c r="BB90" s="62"/>
      <c r="BC90" s="62"/>
      <c r="BD90" s="64"/>
      <c r="BE90" s="60"/>
      <c r="BF90" s="63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4"/>
      <c r="BR90" s="61"/>
    </row>
    <row r="91" spans="1:70" s="15" customFormat="1" ht="9" customHeight="1" x14ac:dyDescent="0.25">
      <c r="A91" s="18"/>
      <c r="B91" s="463" t="s">
        <v>691</v>
      </c>
      <c r="C91" s="458"/>
      <c r="D91" s="458"/>
      <c r="E91" s="458"/>
      <c r="F91" s="458"/>
      <c r="G91" s="458"/>
      <c r="H91" s="458"/>
      <c r="I91" s="458"/>
      <c r="J91" s="458"/>
      <c r="K91" s="460"/>
      <c r="L91" s="60"/>
      <c r="M91" s="59"/>
      <c r="N91" s="60"/>
      <c r="O91" s="60"/>
      <c r="P91" s="60"/>
      <c r="Q91" s="60"/>
      <c r="R91" s="60"/>
      <c r="S91" s="60"/>
      <c r="T91" s="60"/>
      <c r="U91" s="60"/>
      <c r="V91" s="61"/>
      <c r="W91" s="60"/>
      <c r="X91" s="59"/>
      <c r="Y91" s="60"/>
      <c r="Z91" s="60"/>
      <c r="AA91" s="60"/>
      <c r="AB91" s="60"/>
      <c r="AC91" s="60"/>
      <c r="AD91" s="60"/>
      <c r="AE91" s="60"/>
      <c r="AF91" s="60"/>
      <c r="AG91" s="61"/>
      <c r="AH91" s="85"/>
      <c r="AI91" s="60"/>
      <c r="AJ91" s="60"/>
      <c r="AK91" s="60"/>
      <c r="AL91" s="60"/>
      <c r="AM91" s="60"/>
      <c r="AN91" s="60"/>
      <c r="AO91" s="60"/>
      <c r="AP91" s="60"/>
      <c r="AQ91" s="60"/>
      <c r="AR91" s="65"/>
      <c r="AS91" s="60"/>
      <c r="AT91" s="59"/>
      <c r="AU91" s="60"/>
      <c r="AV91" s="60"/>
      <c r="AW91" s="60"/>
      <c r="AX91" s="60"/>
      <c r="AY91" s="60"/>
      <c r="AZ91" s="60"/>
      <c r="BA91" s="60"/>
      <c r="BB91" s="60"/>
      <c r="BC91" s="60"/>
      <c r="BD91" s="61"/>
      <c r="BE91" s="60"/>
      <c r="BF91" s="59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1"/>
      <c r="BR91" s="61"/>
    </row>
    <row r="92" spans="1:70" s="15" customFormat="1" ht="9" customHeight="1" x14ac:dyDescent="0.25">
      <c r="A92" s="18"/>
      <c r="B92" s="261" t="s">
        <v>692</v>
      </c>
      <c r="C92" s="261"/>
      <c r="D92" s="261"/>
      <c r="E92" s="261"/>
      <c r="F92" s="261"/>
      <c r="G92" s="261"/>
      <c r="H92" s="262">
        <f>CEILING(156*B5,1)</f>
        <v>219</v>
      </c>
      <c r="I92" s="262"/>
      <c r="J92" s="262"/>
      <c r="K92" s="262"/>
      <c r="L92" s="60"/>
      <c r="M92" s="463" t="s">
        <v>695</v>
      </c>
      <c r="N92" s="458"/>
      <c r="O92" s="458"/>
      <c r="P92" s="458"/>
      <c r="Q92" s="458"/>
      <c r="R92" s="458"/>
      <c r="S92" s="458"/>
      <c r="T92" s="458"/>
      <c r="U92" s="458"/>
      <c r="V92" s="460"/>
      <c r="W92" s="60"/>
      <c r="X92" s="59"/>
      <c r="Y92" s="60"/>
      <c r="Z92" s="60"/>
      <c r="AA92" s="60"/>
      <c r="AB92" s="60"/>
      <c r="AC92" s="60"/>
      <c r="AD92" s="60"/>
      <c r="AE92" s="60"/>
      <c r="AF92" s="60"/>
      <c r="AG92" s="61"/>
      <c r="AH92" s="85"/>
      <c r="AI92" s="62"/>
      <c r="AJ92" s="62"/>
      <c r="AK92" s="62"/>
      <c r="AL92" s="62"/>
      <c r="AM92" s="62"/>
      <c r="AN92" s="62"/>
      <c r="AO92" s="60"/>
      <c r="AP92" s="60"/>
      <c r="AQ92" s="60"/>
      <c r="AR92" s="65"/>
      <c r="AS92" s="67"/>
      <c r="AT92" s="62"/>
      <c r="AU92" s="62"/>
      <c r="AV92" s="62"/>
      <c r="AW92" s="62"/>
      <c r="AX92" s="62"/>
      <c r="AY92" s="62"/>
      <c r="AZ92" s="62"/>
      <c r="BA92" s="60"/>
      <c r="BB92" s="60"/>
      <c r="BC92" s="60"/>
      <c r="BD92" s="65"/>
      <c r="BE92" s="67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1"/>
      <c r="BR92" s="61"/>
    </row>
    <row r="93" spans="1:70" s="15" customFormat="1" ht="9" customHeight="1" x14ac:dyDescent="0.25">
      <c r="A93" s="18"/>
      <c r="B93" s="261" t="s">
        <v>693</v>
      </c>
      <c r="C93" s="261"/>
      <c r="D93" s="261"/>
      <c r="E93" s="261"/>
      <c r="F93" s="261"/>
      <c r="G93" s="261"/>
      <c r="H93" s="262">
        <f>CEILING(333*B5,1)</f>
        <v>467</v>
      </c>
      <c r="I93" s="262"/>
      <c r="J93" s="262"/>
      <c r="K93" s="262"/>
      <c r="L93" s="60"/>
      <c r="M93" s="463" t="s">
        <v>696</v>
      </c>
      <c r="N93" s="458"/>
      <c r="O93" s="458"/>
      <c r="P93" s="458"/>
      <c r="Q93" s="458"/>
      <c r="R93" s="458"/>
      <c r="S93" s="458"/>
      <c r="T93" s="458"/>
      <c r="U93" s="458"/>
      <c r="V93" s="460"/>
      <c r="W93" s="60"/>
      <c r="X93" s="472" t="s">
        <v>699</v>
      </c>
      <c r="Y93" s="455"/>
      <c r="Z93" s="455"/>
      <c r="AA93" s="455"/>
      <c r="AB93" s="455"/>
      <c r="AC93" s="455"/>
      <c r="AD93" s="455"/>
      <c r="AE93" s="455"/>
      <c r="AF93" s="455"/>
      <c r="AG93" s="473"/>
      <c r="AH93" s="85"/>
      <c r="AI93" s="454" t="s">
        <v>700</v>
      </c>
      <c r="AJ93" s="455"/>
      <c r="AK93" s="455"/>
      <c r="AL93" s="455"/>
      <c r="AM93" s="455"/>
      <c r="AN93" s="455"/>
      <c r="AO93" s="455"/>
      <c r="AP93" s="455"/>
      <c r="AQ93" s="455"/>
      <c r="AR93" s="456"/>
      <c r="AS93" s="67"/>
      <c r="AT93" s="457" t="s">
        <v>700</v>
      </c>
      <c r="AU93" s="458"/>
      <c r="AV93" s="458"/>
      <c r="AW93" s="458"/>
      <c r="AX93" s="458"/>
      <c r="AY93" s="458"/>
      <c r="AZ93" s="458"/>
      <c r="BA93" s="458"/>
      <c r="BB93" s="458"/>
      <c r="BC93" s="458"/>
      <c r="BD93" s="459"/>
      <c r="BE93" s="67"/>
      <c r="BF93" s="457" t="s">
        <v>700</v>
      </c>
      <c r="BG93" s="458"/>
      <c r="BH93" s="458"/>
      <c r="BI93" s="458"/>
      <c r="BJ93" s="458"/>
      <c r="BK93" s="458"/>
      <c r="BL93" s="458"/>
      <c r="BM93" s="458"/>
      <c r="BN93" s="458"/>
      <c r="BO93" s="458"/>
      <c r="BP93" s="458"/>
      <c r="BQ93" s="460"/>
      <c r="BR93" s="61"/>
    </row>
    <row r="94" spans="1:70" s="15" customFormat="1" ht="9" customHeight="1" x14ac:dyDescent="0.25">
      <c r="A94" s="18"/>
      <c r="B94" s="261" t="s">
        <v>694</v>
      </c>
      <c r="C94" s="261"/>
      <c r="D94" s="261"/>
      <c r="E94" s="261"/>
      <c r="F94" s="261"/>
      <c r="G94" s="261"/>
      <c r="H94" s="262">
        <f>CEILING(489*B5,1)</f>
        <v>685</v>
      </c>
      <c r="I94" s="262"/>
      <c r="J94" s="262"/>
      <c r="K94" s="262"/>
      <c r="L94" s="205"/>
      <c r="M94" s="261" t="s">
        <v>697</v>
      </c>
      <c r="N94" s="261"/>
      <c r="O94" s="261"/>
      <c r="P94" s="261"/>
      <c r="Q94" s="261"/>
      <c r="R94" s="261"/>
      <c r="S94" s="262">
        <f>CEILING(2978*B5,1)</f>
        <v>4170</v>
      </c>
      <c r="T94" s="262"/>
      <c r="U94" s="262"/>
      <c r="V94" s="262"/>
      <c r="W94" s="205"/>
      <c r="X94" s="261" t="s">
        <v>698</v>
      </c>
      <c r="Y94" s="261"/>
      <c r="Z94" s="261"/>
      <c r="AA94" s="261"/>
      <c r="AB94" s="261"/>
      <c r="AC94" s="261"/>
      <c r="AD94" s="262">
        <f>CEILING(2557*B5,1)</f>
        <v>3580</v>
      </c>
      <c r="AE94" s="262"/>
      <c r="AF94" s="262"/>
      <c r="AG94" s="262"/>
      <c r="AH94" s="205"/>
      <c r="AI94" s="261" t="s">
        <v>701</v>
      </c>
      <c r="AJ94" s="261"/>
      <c r="AK94" s="261"/>
      <c r="AL94" s="261"/>
      <c r="AM94" s="261"/>
      <c r="AN94" s="261"/>
      <c r="AO94" s="262">
        <f>CEILING(2397*B5,1)</f>
        <v>3356</v>
      </c>
      <c r="AP94" s="262"/>
      <c r="AQ94" s="262"/>
      <c r="AR94" s="262"/>
      <c r="AS94" s="205"/>
      <c r="AT94" s="261" t="s">
        <v>702</v>
      </c>
      <c r="AU94" s="261"/>
      <c r="AV94" s="261"/>
      <c r="AW94" s="261"/>
      <c r="AX94" s="261"/>
      <c r="AY94" s="261"/>
      <c r="AZ94" s="261"/>
      <c r="BA94" s="262">
        <f>CEILING(2330*B5,1)</f>
        <v>3262</v>
      </c>
      <c r="BB94" s="262"/>
      <c r="BC94" s="262"/>
      <c r="BD94" s="262"/>
      <c r="BE94" s="205"/>
      <c r="BF94" s="261" t="s">
        <v>220</v>
      </c>
      <c r="BG94" s="261"/>
      <c r="BH94" s="261"/>
      <c r="BI94" s="261"/>
      <c r="BJ94" s="261"/>
      <c r="BK94" s="261"/>
      <c r="BL94" s="261"/>
      <c r="BM94" s="261"/>
      <c r="BN94" s="262">
        <f>CEILING(3828*B5,1)</f>
        <v>5360</v>
      </c>
      <c r="BO94" s="262"/>
      <c r="BP94" s="262"/>
      <c r="BQ94" s="262"/>
      <c r="BR94" s="61"/>
    </row>
    <row r="95" spans="1:70" ht="2.1" customHeight="1" x14ac:dyDescent="0.25">
      <c r="A95" s="44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86"/>
    </row>
    <row r="96" spans="1:70" ht="9" customHeight="1" x14ac:dyDescent="0.25"/>
    <row r="97" ht="9" customHeight="1" x14ac:dyDescent="0.25"/>
    <row r="98" ht="9" customHeight="1" x14ac:dyDescent="0.25"/>
    <row r="99" ht="9" customHeight="1" x14ac:dyDescent="0.25"/>
    <row r="100" ht="9" customHeight="1" x14ac:dyDescent="0.25"/>
    <row r="101" ht="9" customHeight="1" x14ac:dyDescent="0.25"/>
    <row r="102" ht="9" customHeight="1" x14ac:dyDescent="0.25"/>
    <row r="103" ht="9" customHeight="1" x14ac:dyDescent="0.25"/>
    <row r="104" ht="9" customHeight="1" x14ac:dyDescent="0.25"/>
    <row r="105" ht="9" customHeight="1" x14ac:dyDescent="0.25"/>
    <row r="106" ht="9" customHeight="1" x14ac:dyDescent="0.25"/>
    <row r="107" ht="9" customHeight="1" x14ac:dyDescent="0.25"/>
    <row r="108" ht="9" customHeight="1" x14ac:dyDescent="0.25"/>
    <row r="109" ht="9" customHeight="1" x14ac:dyDescent="0.25"/>
    <row r="110" ht="9" customHeight="1" x14ac:dyDescent="0.25"/>
    <row r="111" ht="9" customHeight="1" x14ac:dyDescent="0.25"/>
    <row r="112" ht="9" customHeight="1" x14ac:dyDescent="0.25"/>
    <row r="113" ht="9" customHeight="1" x14ac:dyDescent="0.25"/>
    <row r="114" ht="9" customHeight="1" x14ac:dyDescent="0.25"/>
    <row r="115" ht="9" customHeight="1" x14ac:dyDescent="0.25"/>
    <row r="116" ht="9" customHeight="1" x14ac:dyDescent="0.25"/>
    <row r="117" ht="9" customHeight="1" x14ac:dyDescent="0.25"/>
    <row r="118" ht="9" customHeight="1" x14ac:dyDescent="0.25"/>
    <row r="119" ht="9" customHeight="1" x14ac:dyDescent="0.25"/>
    <row r="120" ht="9" customHeight="1" x14ac:dyDescent="0.25"/>
    <row r="121" ht="9" customHeight="1" x14ac:dyDescent="0.25"/>
    <row r="122" ht="9" customHeight="1" x14ac:dyDescent="0.25"/>
    <row r="123" ht="9" customHeight="1" x14ac:dyDescent="0.25"/>
    <row r="124" ht="9" customHeight="1" x14ac:dyDescent="0.25"/>
    <row r="125" ht="9" customHeight="1" x14ac:dyDescent="0.25"/>
    <row r="126" ht="9" customHeight="1" x14ac:dyDescent="0.25"/>
    <row r="127" ht="9" customHeight="1" x14ac:dyDescent="0.25"/>
    <row r="128" ht="9" customHeight="1" x14ac:dyDescent="0.25"/>
    <row r="129" ht="9" customHeight="1" x14ac:dyDescent="0.25"/>
    <row r="130" ht="9" customHeight="1" x14ac:dyDescent="0.25"/>
    <row r="131" ht="9" customHeight="1" x14ac:dyDescent="0.25"/>
    <row r="132" ht="9" customHeight="1" x14ac:dyDescent="0.25"/>
    <row r="133" ht="9" customHeight="1" x14ac:dyDescent="0.25"/>
    <row r="134" ht="9" customHeight="1" x14ac:dyDescent="0.25"/>
    <row r="135" ht="9" customHeight="1" x14ac:dyDescent="0.25"/>
    <row r="136" ht="9" customHeight="1" x14ac:dyDescent="0.25"/>
    <row r="137" ht="9" customHeight="1" x14ac:dyDescent="0.25"/>
    <row r="138" ht="9" customHeight="1" x14ac:dyDescent="0.25"/>
    <row r="139" ht="9" customHeight="1" x14ac:dyDescent="0.25"/>
    <row r="140" ht="9" customHeight="1" x14ac:dyDescent="0.25"/>
    <row r="141" ht="9" customHeight="1" x14ac:dyDescent="0.25"/>
    <row r="142" ht="9" customHeight="1" x14ac:dyDescent="0.25"/>
    <row r="143" ht="9" customHeight="1" x14ac:dyDescent="0.25"/>
    <row r="144" ht="9" customHeight="1" x14ac:dyDescent="0.25"/>
    <row r="145" ht="9" customHeight="1" x14ac:dyDescent="0.25"/>
    <row r="146" ht="9" customHeight="1" x14ac:dyDescent="0.25"/>
    <row r="147" ht="9" customHeight="1" x14ac:dyDescent="0.25"/>
    <row r="148" ht="9" customHeight="1" x14ac:dyDescent="0.25"/>
    <row r="149" ht="9" customHeight="1" x14ac:dyDescent="0.25"/>
    <row r="150" ht="9" customHeight="1" x14ac:dyDescent="0.25"/>
    <row r="151" ht="9" customHeight="1" x14ac:dyDescent="0.25"/>
    <row r="152" ht="9" customHeight="1" x14ac:dyDescent="0.25"/>
    <row r="153" ht="9" customHeight="1" x14ac:dyDescent="0.25"/>
    <row r="154" ht="9" customHeight="1" x14ac:dyDescent="0.25"/>
    <row r="155" ht="9" customHeight="1" x14ac:dyDescent="0.25"/>
    <row r="156" ht="9" customHeight="1" x14ac:dyDescent="0.25"/>
    <row r="157" ht="9" customHeight="1" x14ac:dyDescent="0.25"/>
    <row r="158" ht="9" customHeight="1" x14ac:dyDescent="0.25"/>
    <row r="159" ht="9" customHeight="1" x14ac:dyDescent="0.25"/>
    <row r="160" ht="9" customHeight="1" x14ac:dyDescent="0.25"/>
    <row r="161" ht="9" customHeight="1" x14ac:dyDescent="0.25"/>
    <row r="162" ht="9" customHeight="1" x14ac:dyDescent="0.25"/>
    <row r="163" ht="9" customHeight="1" x14ac:dyDescent="0.25"/>
    <row r="164" ht="9" customHeight="1" x14ac:dyDescent="0.25"/>
    <row r="165" ht="9" customHeight="1" x14ac:dyDescent="0.25"/>
    <row r="166" ht="9" customHeight="1" x14ac:dyDescent="0.25"/>
    <row r="167" ht="9" customHeight="1" x14ac:dyDescent="0.25"/>
    <row r="168" ht="9" customHeight="1" x14ac:dyDescent="0.25"/>
    <row r="169" ht="9" customHeight="1" x14ac:dyDescent="0.25"/>
    <row r="170" ht="9" customHeight="1" x14ac:dyDescent="0.25"/>
    <row r="171" ht="9" customHeight="1" x14ac:dyDescent="0.25"/>
    <row r="172" ht="9" customHeight="1" x14ac:dyDescent="0.25"/>
    <row r="173" ht="9" customHeight="1" x14ac:dyDescent="0.25"/>
    <row r="174" ht="9" customHeight="1" x14ac:dyDescent="0.25"/>
    <row r="175" ht="9" customHeight="1" x14ac:dyDescent="0.25"/>
    <row r="176" ht="9" customHeight="1" x14ac:dyDescent="0.25"/>
    <row r="177" ht="9" customHeight="1" x14ac:dyDescent="0.25"/>
    <row r="178" ht="9" customHeight="1" x14ac:dyDescent="0.25"/>
    <row r="179" ht="9" customHeight="1" x14ac:dyDescent="0.25"/>
    <row r="180" ht="9" customHeight="1" x14ac:dyDescent="0.25"/>
    <row r="181" ht="9" customHeight="1" x14ac:dyDescent="0.25"/>
    <row r="182" ht="9" customHeight="1" x14ac:dyDescent="0.25"/>
    <row r="183" ht="9" customHeight="1" x14ac:dyDescent="0.25"/>
    <row r="184" ht="9" customHeight="1" x14ac:dyDescent="0.25"/>
    <row r="185" ht="9" customHeight="1" x14ac:dyDescent="0.25"/>
    <row r="186" ht="9" customHeight="1" x14ac:dyDescent="0.25"/>
    <row r="187" ht="9" customHeight="1" x14ac:dyDescent="0.25"/>
    <row r="188" ht="9" customHeight="1" x14ac:dyDescent="0.25"/>
    <row r="189" ht="9" customHeight="1" x14ac:dyDescent="0.25"/>
    <row r="190" ht="9" customHeight="1" x14ac:dyDescent="0.25"/>
    <row r="191" ht="9" customHeight="1" x14ac:dyDescent="0.25"/>
    <row r="192" ht="9" customHeight="1" x14ac:dyDescent="0.25"/>
    <row r="193" ht="9" customHeight="1" x14ac:dyDescent="0.25"/>
    <row r="194" ht="9" customHeight="1" x14ac:dyDescent="0.25"/>
    <row r="195" ht="9" customHeight="1" x14ac:dyDescent="0.25"/>
    <row r="196" ht="9" customHeight="1" x14ac:dyDescent="0.25"/>
    <row r="197" ht="9" customHeight="1" x14ac:dyDescent="0.25"/>
    <row r="198" ht="9" customHeight="1" x14ac:dyDescent="0.25"/>
    <row r="199" ht="9" customHeight="1" x14ac:dyDescent="0.25"/>
    <row r="200" ht="9" customHeight="1" x14ac:dyDescent="0.25"/>
    <row r="201" ht="9" customHeight="1" x14ac:dyDescent="0.25"/>
    <row r="202" ht="9" customHeight="1" x14ac:dyDescent="0.25"/>
    <row r="203" ht="9" customHeight="1" x14ac:dyDescent="0.25"/>
    <row r="204" ht="9" customHeight="1" x14ac:dyDescent="0.25"/>
    <row r="205" ht="9" customHeight="1" x14ac:dyDescent="0.25"/>
    <row r="206" ht="9" customHeight="1" x14ac:dyDescent="0.25"/>
    <row r="207" ht="9" customHeight="1" x14ac:dyDescent="0.25"/>
    <row r="208" ht="9" customHeight="1" x14ac:dyDescent="0.25"/>
    <row r="209" ht="9" customHeight="1" x14ac:dyDescent="0.25"/>
    <row r="210" ht="9" customHeight="1" x14ac:dyDescent="0.25"/>
    <row r="211" ht="9" customHeight="1" x14ac:dyDescent="0.25"/>
    <row r="212" ht="9" customHeight="1" x14ac:dyDescent="0.25"/>
    <row r="213" ht="9" customHeight="1" x14ac:dyDescent="0.25"/>
    <row r="214" ht="9" customHeight="1" x14ac:dyDescent="0.25"/>
    <row r="215" ht="9" customHeight="1" x14ac:dyDescent="0.25"/>
    <row r="216" ht="9" customHeight="1" x14ac:dyDescent="0.25"/>
    <row r="217" ht="9" customHeight="1" x14ac:dyDescent="0.25"/>
    <row r="218" ht="9" customHeight="1" x14ac:dyDescent="0.25"/>
    <row r="219" ht="9" customHeight="1" x14ac:dyDescent="0.25"/>
    <row r="220" ht="9" customHeight="1" x14ac:dyDescent="0.25"/>
    <row r="221" ht="9" customHeight="1" x14ac:dyDescent="0.25"/>
    <row r="222" ht="9" customHeight="1" x14ac:dyDescent="0.25"/>
    <row r="223" ht="9" customHeight="1" x14ac:dyDescent="0.25"/>
    <row r="224" ht="9" customHeight="1" x14ac:dyDescent="0.25"/>
    <row r="225" ht="9" customHeight="1" x14ac:dyDescent="0.25"/>
    <row r="226" ht="9" customHeight="1" x14ac:dyDescent="0.25"/>
    <row r="227" ht="9" customHeight="1" x14ac:dyDescent="0.25"/>
    <row r="228" ht="9" customHeight="1" x14ac:dyDescent="0.25"/>
    <row r="229" ht="9" customHeight="1" x14ac:dyDescent="0.25"/>
    <row r="230" ht="9" customHeight="1" x14ac:dyDescent="0.25"/>
    <row r="231" ht="9" customHeight="1" x14ac:dyDescent="0.25"/>
    <row r="232" ht="9" customHeight="1" x14ac:dyDescent="0.25"/>
    <row r="233" ht="9" customHeight="1" x14ac:dyDescent="0.25"/>
    <row r="234" ht="9" customHeight="1" x14ac:dyDescent="0.25"/>
    <row r="235" ht="9" customHeight="1" x14ac:dyDescent="0.25"/>
    <row r="236" ht="9" customHeight="1" x14ac:dyDescent="0.25"/>
    <row r="237" ht="9" customHeight="1" x14ac:dyDescent="0.25"/>
    <row r="238" ht="9" customHeight="1" x14ac:dyDescent="0.25"/>
    <row r="239" ht="9" customHeight="1" x14ac:dyDescent="0.25"/>
    <row r="240" ht="9" customHeight="1" x14ac:dyDescent="0.25"/>
    <row r="241" ht="9" customHeight="1" x14ac:dyDescent="0.25"/>
    <row r="242" ht="9" customHeight="1" x14ac:dyDescent="0.25"/>
    <row r="243" ht="9" customHeight="1" x14ac:dyDescent="0.25"/>
    <row r="244" ht="9" customHeight="1" x14ac:dyDescent="0.25"/>
    <row r="245" ht="9" customHeight="1" x14ac:dyDescent="0.25"/>
    <row r="246" ht="9" customHeight="1" x14ac:dyDescent="0.25"/>
    <row r="247" ht="9" customHeight="1" x14ac:dyDescent="0.25"/>
    <row r="248" ht="9" customHeight="1" x14ac:dyDescent="0.25"/>
    <row r="249" ht="9" customHeight="1" x14ac:dyDescent="0.25"/>
    <row r="250" ht="9" customHeight="1" x14ac:dyDescent="0.25"/>
    <row r="251" ht="9" customHeight="1" x14ac:dyDescent="0.25"/>
    <row r="252" ht="9" customHeight="1" x14ac:dyDescent="0.25"/>
    <row r="253" ht="9" customHeight="1" x14ac:dyDescent="0.25"/>
    <row r="254" ht="9" customHeight="1" x14ac:dyDescent="0.25"/>
    <row r="255" ht="9" customHeight="1" x14ac:dyDescent="0.25"/>
    <row r="256" ht="9" customHeight="1" x14ac:dyDescent="0.25"/>
    <row r="257" ht="9" customHeight="1" x14ac:dyDescent="0.25"/>
    <row r="258" ht="9" customHeight="1" x14ac:dyDescent="0.25"/>
    <row r="259" ht="9" customHeight="1" x14ac:dyDescent="0.25"/>
    <row r="260" ht="9" customHeight="1" x14ac:dyDescent="0.25"/>
    <row r="261" ht="9" customHeight="1" x14ac:dyDescent="0.25"/>
    <row r="262" ht="9" customHeight="1" x14ac:dyDescent="0.25"/>
    <row r="263" ht="9" customHeight="1" x14ac:dyDescent="0.25"/>
    <row r="264" ht="9" customHeight="1" x14ac:dyDescent="0.25"/>
    <row r="265" ht="9" customHeight="1" x14ac:dyDescent="0.25"/>
    <row r="266" ht="9" customHeight="1" x14ac:dyDescent="0.25"/>
    <row r="267" ht="9" customHeight="1" x14ac:dyDescent="0.25"/>
    <row r="268" ht="9" customHeight="1" x14ac:dyDescent="0.25"/>
    <row r="269" ht="9" customHeight="1" x14ac:dyDescent="0.25"/>
    <row r="270" ht="9" customHeight="1" x14ac:dyDescent="0.25"/>
    <row r="271" ht="9" customHeight="1" x14ac:dyDescent="0.25"/>
    <row r="272" ht="9" customHeight="1" x14ac:dyDescent="0.25"/>
    <row r="273" ht="9" customHeight="1" x14ac:dyDescent="0.25"/>
    <row r="274" ht="9" customHeight="1" x14ac:dyDescent="0.25"/>
    <row r="275" ht="9" customHeight="1" x14ac:dyDescent="0.25"/>
    <row r="276" ht="9" customHeight="1" x14ac:dyDescent="0.25"/>
    <row r="277" ht="9" customHeight="1" x14ac:dyDescent="0.25"/>
    <row r="278" ht="9" customHeight="1" x14ac:dyDescent="0.25"/>
    <row r="279" ht="9" customHeight="1" x14ac:dyDescent="0.25"/>
    <row r="280" ht="9" customHeight="1" x14ac:dyDescent="0.25"/>
    <row r="281" ht="9" customHeight="1" x14ac:dyDescent="0.25"/>
    <row r="282" ht="9" customHeight="1" x14ac:dyDescent="0.25"/>
    <row r="283" ht="9" customHeight="1" x14ac:dyDescent="0.25"/>
    <row r="284" ht="9" customHeight="1" x14ac:dyDescent="0.25"/>
    <row r="285" ht="9" customHeight="1" x14ac:dyDescent="0.25"/>
    <row r="286" ht="9" customHeight="1" x14ac:dyDescent="0.25"/>
    <row r="287" ht="9" customHeight="1" x14ac:dyDescent="0.25"/>
    <row r="288" ht="9" customHeight="1" x14ac:dyDescent="0.25"/>
    <row r="289" ht="9" customHeight="1" x14ac:dyDescent="0.25"/>
    <row r="290" ht="9" customHeight="1" x14ac:dyDescent="0.25"/>
    <row r="291" ht="9" customHeight="1" x14ac:dyDescent="0.25"/>
    <row r="292" ht="9" customHeight="1" x14ac:dyDescent="0.25"/>
    <row r="293" ht="9" customHeight="1" x14ac:dyDescent="0.25"/>
    <row r="294" ht="9" customHeight="1" x14ac:dyDescent="0.25"/>
    <row r="295" ht="9" customHeight="1" x14ac:dyDescent="0.25"/>
    <row r="296" ht="9" customHeight="1" x14ac:dyDescent="0.25"/>
    <row r="297" ht="9" customHeight="1" x14ac:dyDescent="0.25"/>
    <row r="298" ht="9" customHeight="1" x14ac:dyDescent="0.25"/>
    <row r="299" ht="9" customHeight="1" x14ac:dyDescent="0.25"/>
    <row r="300" ht="9" customHeight="1" x14ac:dyDescent="0.25"/>
    <row r="301" ht="9" customHeight="1" x14ac:dyDescent="0.25"/>
    <row r="302" ht="9" customHeight="1" x14ac:dyDescent="0.25"/>
    <row r="303" ht="9" customHeight="1" x14ac:dyDescent="0.25"/>
    <row r="304" ht="9" customHeight="1" x14ac:dyDescent="0.25"/>
    <row r="305" ht="9" customHeight="1" x14ac:dyDescent="0.25"/>
    <row r="306" ht="9" customHeight="1" x14ac:dyDescent="0.25"/>
    <row r="307" ht="9" customHeight="1" x14ac:dyDescent="0.25"/>
    <row r="308" ht="9" customHeight="1" x14ac:dyDescent="0.25"/>
    <row r="309" ht="9" customHeight="1" x14ac:dyDescent="0.25"/>
    <row r="310" ht="9" customHeight="1" x14ac:dyDescent="0.25"/>
  </sheetData>
  <mergeCells count="170">
    <mergeCell ref="A7:BQ7"/>
    <mergeCell ref="M5:BQ5"/>
    <mergeCell ref="B5:K5"/>
    <mergeCell ref="AT10:AW10"/>
    <mergeCell ref="BF10:BI10"/>
    <mergeCell ref="AI35:AR35"/>
    <mergeCell ref="AT35:BD35"/>
    <mergeCell ref="BF35:BQ35"/>
    <mergeCell ref="AI40:AM40"/>
    <mergeCell ref="AT40:AX40"/>
    <mergeCell ref="M36:R36"/>
    <mergeCell ref="S36:V36"/>
    <mergeCell ref="X36:AC36"/>
    <mergeCell ref="AD36:AG36"/>
    <mergeCell ref="AI36:AN36"/>
    <mergeCell ref="B21:K21"/>
    <mergeCell ref="M21:V21"/>
    <mergeCell ref="X21:AG21"/>
    <mergeCell ref="AI21:AR21"/>
    <mergeCell ref="AT21:BD21"/>
    <mergeCell ref="BF21:BQ21"/>
    <mergeCell ref="B10:E10"/>
    <mergeCell ref="M10:P10"/>
    <mergeCell ref="X10:AA10"/>
    <mergeCell ref="AI10:AL10"/>
    <mergeCell ref="M54:Q54"/>
    <mergeCell ref="X54:AB54"/>
    <mergeCell ref="AI54:AM54"/>
    <mergeCell ref="AT54:AX54"/>
    <mergeCell ref="BF54:BJ54"/>
    <mergeCell ref="B50:K50"/>
    <mergeCell ref="M50:V50"/>
    <mergeCell ref="X50:AG50"/>
    <mergeCell ref="AI50:AR50"/>
    <mergeCell ref="AT50:BD50"/>
    <mergeCell ref="BF50:BQ50"/>
    <mergeCell ref="BN52:BQ52"/>
    <mergeCell ref="AI51:AR51"/>
    <mergeCell ref="AT51:BD51"/>
    <mergeCell ref="BF51:BQ51"/>
    <mergeCell ref="AI52:AN52"/>
    <mergeCell ref="AO52:AR52"/>
    <mergeCell ref="AT52:AZ52"/>
    <mergeCell ref="BA52:BD52"/>
    <mergeCell ref="BF52:BM52"/>
    <mergeCell ref="B52:G52"/>
    <mergeCell ref="H52:K52"/>
    <mergeCell ref="M52:R52"/>
    <mergeCell ref="B8:BQ8"/>
    <mergeCell ref="S52:V52"/>
    <mergeCell ref="BF64:BQ64"/>
    <mergeCell ref="M79:V79"/>
    <mergeCell ref="X79:AC79"/>
    <mergeCell ref="AD79:AG79"/>
    <mergeCell ref="X78:AG78"/>
    <mergeCell ref="B91:K91"/>
    <mergeCell ref="M93:V93"/>
    <mergeCell ref="M92:V92"/>
    <mergeCell ref="X93:AG93"/>
    <mergeCell ref="B74:D74"/>
    <mergeCell ref="B79:K79"/>
    <mergeCell ref="BF65:BQ65"/>
    <mergeCell ref="AI82:AN82"/>
    <mergeCell ref="AT82:AY82"/>
    <mergeCell ref="BF82:BK82"/>
    <mergeCell ref="BF66:BM66"/>
    <mergeCell ref="BN66:BQ66"/>
    <mergeCell ref="AI68:AK68"/>
    <mergeCell ref="AT68:AV68"/>
    <mergeCell ref="BF68:BH68"/>
    <mergeCell ref="BN80:BQ80"/>
    <mergeCell ref="AI66:AN66"/>
    <mergeCell ref="AT66:AZ66"/>
    <mergeCell ref="BF36:BM36"/>
    <mergeCell ref="BN36:BQ36"/>
    <mergeCell ref="B36:G36"/>
    <mergeCell ref="AI22:AN22"/>
    <mergeCell ref="AO22:AR22"/>
    <mergeCell ref="AT22:AZ22"/>
    <mergeCell ref="BA22:BD22"/>
    <mergeCell ref="BF22:BM22"/>
    <mergeCell ref="BN22:BQ22"/>
    <mergeCell ref="B22:G22"/>
    <mergeCell ref="H22:K22"/>
    <mergeCell ref="M22:R22"/>
    <mergeCell ref="S22:V22"/>
    <mergeCell ref="X22:AC22"/>
    <mergeCell ref="AD22:AG22"/>
    <mergeCell ref="B35:K35"/>
    <mergeCell ref="M35:V35"/>
    <mergeCell ref="X35:AG35"/>
    <mergeCell ref="AO66:AR66"/>
    <mergeCell ref="B24:E24"/>
    <mergeCell ref="M51:V51"/>
    <mergeCell ref="X51:AG51"/>
    <mergeCell ref="B40:F40"/>
    <mergeCell ref="M40:Q40"/>
    <mergeCell ref="X40:AB40"/>
    <mergeCell ref="H36:K36"/>
    <mergeCell ref="B38:BQ38"/>
    <mergeCell ref="BF40:BJ40"/>
    <mergeCell ref="M24:P24"/>
    <mergeCell ref="X24:AA24"/>
    <mergeCell ref="AI24:AL24"/>
    <mergeCell ref="AT24:AW24"/>
    <mergeCell ref="BF24:BI24"/>
    <mergeCell ref="BA66:BD66"/>
    <mergeCell ref="AO36:AR36"/>
    <mergeCell ref="AT36:AZ36"/>
    <mergeCell ref="BA36:BD36"/>
    <mergeCell ref="B65:K65"/>
    <mergeCell ref="M65:V65"/>
    <mergeCell ref="X65:AG65"/>
    <mergeCell ref="AI65:AR65"/>
    <mergeCell ref="AT65:BD65"/>
    <mergeCell ref="B66:G66"/>
    <mergeCell ref="H66:K66"/>
    <mergeCell ref="M66:R66"/>
    <mergeCell ref="S66:V66"/>
    <mergeCell ref="X66:AC66"/>
    <mergeCell ref="AD66:AG66"/>
    <mergeCell ref="B64:K64"/>
    <mergeCell ref="M64:V64"/>
    <mergeCell ref="X64:AG64"/>
    <mergeCell ref="AI64:AR64"/>
    <mergeCell ref="AT64:BD64"/>
    <mergeCell ref="B54:F54"/>
    <mergeCell ref="X52:AC52"/>
    <mergeCell ref="AD52:AG52"/>
    <mergeCell ref="B51:K51"/>
    <mergeCell ref="M68:O68"/>
    <mergeCell ref="X68:Z68"/>
    <mergeCell ref="AI80:AN80"/>
    <mergeCell ref="AO80:AR80"/>
    <mergeCell ref="BF80:BM80"/>
    <mergeCell ref="B80:G80"/>
    <mergeCell ref="H80:K80"/>
    <mergeCell ref="M80:R80"/>
    <mergeCell ref="S80:V80"/>
    <mergeCell ref="X80:AC80"/>
    <mergeCell ref="AD80:AG80"/>
    <mergeCell ref="BB80:BD80"/>
    <mergeCell ref="AT79:BD79"/>
    <mergeCell ref="AT80:BA80"/>
    <mergeCell ref="AI79:AR79"/>
    <mergeCell ref="BF79:BQ79"/>
    <mergeCell ref="A1:BQ4"/>
    <mergeCell ref="B82:D82"/>
    <mergeCell ref="M82:O82"/>
    <mergeCell ref="X82:Z82"/>
    <mergeCell ref="AT94:AZ94"/>
    <mergeCell ref="BF94:BM94"/>
    <mergeCell ref="BN94:BQ94"/>
    <mergeCell ref="B94:G94"/>
    <mergeCell ref="H94:K94"/>
    <mergeCell ref="M94:R94"/>
    <mergeCell ref="S94:V94"/>
    <mergeCell ref="X94:AC94"/>
    <mergeCell ref="AD94:AG94"/>
    <mergeCell ref="AI94:AN94"/>
    <mergeCell ref="AO94:AR94"/>
    <mergeCell ref="BA94:BD94"/>
    <mergeCell ref="B93:G93"/>
    <mergeCell ref="B92:G92"/>
    <mergeCell ref="H92:K92"/>
    <mergeCell ref="H93:K93"/>
    <mergeCell ref="AI93:AR93"/>
    <mergeCell ref="AT93:BD93"/>
    <mergeCell ref="BF93:BQ93"/>
    <mergeCell ref="B68:D68"/>
  </mergeCells>
  <printOptions horizontalCentered="1"/>
  <pageMargins left="0.23622047244094491" right="0.23622047244094491" top="0.23622047244094491" bottom="0.23622047244094491" header="0.23622047244094491" footer="0.23622047244094491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B346"/>
  <sheetViews>
    <sheetView showGridLines="0" view="pageBreakPreview" zoomScaleSheetLayoutView="100" workbookViewId="0">
      <selection activeCell="L5" sqref="L5:BR5"/>
    </sheetView>
  </sheetViews>
  <sheetFormatPr defaultRowHeight="8.25" x14ac:dyDescent="0.25"/>
  <cols>
    <col min="1" max="1" width="0.28515625" style="5" customWidth="1"/>
    <col min="2" max="5" width="1.7109375" style="5" customWidth="1"/>
    <col min="6" max="6" width="2" style="5" customWidth="1"/>
    <col min="7" max="10" width="1.7109375" style="5" customWidth="1"/>
    <col min="11" max="11" width="0.28515625" style="5" customWidth="1"/>
    <col min="12" max="15" width="1.7109375" style="5" customWidth="1"/>
    <col min="16" max="16" width="2" style="5" customWidth="1"/>
    <col min="17" max="17" width="1.7109375" style="5" customWidth="1"/>
    <col min="18" max="18" width="2.5703125" style="5" customWidth="1"/>
    <col min="19" max="20" width="1.7109375" style="5" customWidth="1"/>
    <col min="21" max="21" width="0.28515625" style="5" customWidth="1"/>
    <col min="22" max="25" width="1.7109375" style="5" customWidth="1"/>
    <col min="26" max="26" width="2" style="5" customWidth="1"/>
    <col min="27" max="27" width="2.42578125" style="5" customWidth="1"/>
    <col min="28" max="28" width="1.7109375" style="5" customWidth="1"/>
    <col min="29" max="29" width="2.7109375" style="5" customWidth="1"/>
    <col min="30" max="30" width="2" style="5" customWidth="1"/>
    <col min="31" max="31" width="0.28515625" style="5" customWidth="1"/>
    <col min="32" max="35" width="1.7109375" style="5" customWidth="1"/>
    <col min="36" max="36" width="2.140625" style="5" customWidth="1"/>
    <col min="37" max="40" width="1.7109375" style="5" customWidth="1"/>
    <col min="41" max="41" width="0.28515625" style="5" customWidth="1"/>
    <col min="42" max="45" width="1.7109375" style="5" customWidth="1"/>
    <col min="46" max="46" width="2" style="5" customWidth="1"/>
    <col min="47" max="50" width="1.7109375" style="5" customWidth="1"/>
    <col min="51" max="51" width="0.28515625" style="5" customWidth="1"/>
    <col min="52" max="55" width="1.7109375" style="5" customWidth="1"/>
    <col min="56" max="56" width="2.28515625" style="5" customWidth="1"/>
    <col min="57" max="60" width="1.7109375" style="5" customWidth="1"/>
    <col min="61" max="61" width="0.28515625" style="5" customWidth="1"/>
    <col min="62" max="65" width="1.7109375" style="5" customWidth="1"/>
    <col min="66" max="66" width="2.140625" style="5" customWidth="1"/>
    <col min="67" max="69" width="1.7109375" style="5" customWidth="1"/>
    <col min="70" max="70" width="1.42578125" style="5" customWidth="1"/>
    <col min="71" max="71" width="0.28515625" style="5" customWidth="1"/>
    <col min="72" max="80" width="1.7109375" style="5" customWidth="1"/>
    <col min="81" max="256" width="9.140625" style="5"/>
    <col min="257" max="257" width="0.28515625" style="5" customWidth="1"/>
    <col min="258" max="266" width="1.7109375" style="5" customWidth="1"/>
    <col min="267" max="267" width="0.28515625" style="5" customWidth="1"/>
    <col min="268" max="276" width="1.7109375" style="5" customWidth="1"/>
    <col min="277" max="277" width="0.28515625" style="5" customWidth="1"/>
    <col min="278" max="286" width="1.7109375" style="5" customWidth="1"/>
    <col min="287" max="287" width="0.28515625" style="5" customWidth="1"/>
    <col min="288" max="296" width="1.7109375" style="5" customWidth="1"/>
    <col min="297" max="297" width="0.28515625" style="5" customWidth="1"/>
    <col min="298" max="306" width="1.7109375" style="5" customWidth="1"/>
    <col min="307" max="307" width="0.28515625" style="5" customWidth="1"/>
    <col min="308" max="316" width="1.7109375" style="5" customWidth="1"/>
    <col min="317" max="317" width="0.28515625" style="5" customWidth="1"/>
    <col min="318" max="326" width="1.7109375" style="5" customWidth="1"/>
    <col min="327" max="327" width="0.28515625" style="5" customWidth="1"/>
    <col min="328" max="336" width="1.7109375" style="5" customWidth="1"/>
    <col min="337" max="512" width="9.140625" style="5"/>
    <col min="513" max="513" width="0.28515625" style="5" customWidth="1"/>
    <col min="514" max="522" width="1.7109375" style="5" customWidth="1"/>
    <col min="523" max="523" width="0.28515625" style="5" customWidth="1"/>
    <col min="524" max="532" width="1.7109375" style="5" customWidth="1"/>
    <col min="533" max="533" width="0.28515625" style="5" customWidth="1"/>
    <col min="534" max="542" width="1.7109375" style="5" customWidth="1"/>
    <col min="543" max="543" width="0.28515625" style="5" customWidth="1"/>
    <col min="544" max="552" width="1.7109375" style="5" customWidth="1"/>
    <col min="553" max="553" width="0.28515625" style="5" customWidth="1"/>
    <col min="554" max="562" width="1.7109375" style="5" customWidth="1"/>
    <col min="563" max="563" width="0.28515625" style="5" customWidth="1"/>
    <col min="564" max="572" width="1.7109375" style="5" customWidth="1"/>
    <col min="573" max="573" width="0.28515625" style="5" customWidth="1"/>
    <col min="574" max="582" width="1.7109375" style="5" customWidth="1"/>
    <col min="583" max="583" width="0.28515625" style="5" customWidth="1"/>
    <col min="584" max="592" width="1.7109375" style="5" customWidth="1"/>
    <col min="593" max="768" width="9.140625" style="5"/>
    <col min="769" max="769" width="0.28515625" style="5" customWidth="1"/>
    <col min="770" max="778" width="1.7109375" style="5" customWidth="1"/>
    <col min="779" max="779" width="0.28515625" style="5" customWidth="1"/>
    <col min="780" max="788" width="1.7109375" style="5" customWidth="1"/>
    <col min="789" max="789" width="0.28515625" style="5" customWidth="1"/>
    <col min="790" max="798" width="1.7109375" style="5" customWidth="1"/>
    <col min="799" max="799" width="0.28515625" style="5" customWidth="1"/>
    <col min="800" max="808" width="1.7109375" style="5" customWidth="1"/>
    <col min="809" max="809" width="0.28515625" style="5" customWidth="1"/>
    <col min="810" max="818" width="1.7109375" style="5" customWidth="1"/>
    <col min="819" max="819" width="0.28515625" style="5" customWidth="1"/>
    <col min="820" max="828" width="1.7109375" style="5" customWidth="1"/>
    <col min="829" max="829" width="0.28515625" style="5" customWidth="1"/>
    <col min="830" max="838" width="1.7109375" style="5" customWidth="1"/>
    <col min="839" max="839" width="0.28515625" style="5" customWidth="1"/>
    <col min="840" max="848" width="1.7109375" style="5" customWidth="1"/>
    <col min="849" max="1024" width="9.140625" style="5"/>
    <col min="1025" max="1025" width="0.28515625" style="5" customWidth="1"/>
    <col min="1026" max="1034" width="1.7109375" style="5" customWidth="1"/>
    <col min="1035" max="1035" width="0.28515625" style="5" customWidth="1"/>
    <col min="1036" max="1044" width="1.7109375" style="5" customWidth="1"/>
    <col min="1045" max="1045" width="0.28515625" style="5" customWidth="1"/>
    <col min="1046" max="1054" width="1.7109375" style="5" customWidth="1"/>
    <col min="1055" max="1055" width="0.28515625" style="5" customWidth="1"/>
    <col min="1056" max="1064" width="1.7109375" style="5" customWidth="1"/>
    <col min="1065" max="1065" width="0.28515625" style="5" customWidth="1"/>
    <col min="1066" max="1074" width="1.7109375" style="5" customWidth="1"/>
    <col min="1075" max="1075" width="0.28515625" style="5" customWidth="1"/>
    <col min="1076" max="1084" width="1.7109375" style="5" customWidth="1"/>
    <col min="1085" max="1085" width="0.28515625" style="5" customWidth="1"/>
    <col min="1086" max="1094" width="1.7109375" style="5" customWidth="1"/>
    <col min="1095" max="1095" width="0.28515625" style="5" customWidth="1"/>
    <col min="1096" max="1104" width="1.7109375" style="5" customWidth="1"/>
    <col min="1105" max="1280" width="9.140625" style="5"/>
    <col min="1281" max="1281" width="0.28515625" style="5" customWidth="1"/>
    <col min="1282" max="1290" width="1.7109375" style="5" customWidth="1"/>
    <col min="1291" max="1291" width="0.28515625" style="5" customWidth="1"/>
    <col min="1292" max="1300" width="1.7109375" style="5" customWidth="1"/>
    <col min="1301" max="1301" width="0.28515625" style="5" customWidth="1"/>
    <col min="1302" max="1310" width="1.7109375" style="5" customWidth="1"/>
    <col min="1311" max="1311" width="0.28515625" style="5" customWidth="1"/>
    <col min="1312" max="1320" width="1.7109375" style="5" customWidth="1"/>
    <col min="1321" max="1321" width="0.28515625" style="5" customWidth="1"/>
    <col min="1322" max="1330" width="1.7109375" style="5" customWidth="1"/>
    <col min="1331" max="1331" width="0.28515625" style="5" customWidth="1"/>
    <col min="1332" max="1340" width="1.7109375" style="5" customWidth="1"/>
    <col min="1341" max="1341" width="0.28515625" style="5" customWidth="1"/>
    <col min="1342" max="1350" width="1.7109375" style="5" customWidth="1"/>
    <col min="1351" max="1351" width="0.28515625" style="5" customWidth="1"/>
    <col min="1352" max="1360" width="1.7109375" style="5" customWidth="1"/>
    <col min="1361" max="1536" width="9.140625" style="5"/>
    <col min="1537" max="1537" width="0.28515625" style="5" customWidth="1"/>
    <col min="1538" max="1546" width="1.7109375" style="5" customWidth="1"/>
    <col min="1547" max="1547" width="0.28515625" style="5" customWidth="1"/>
    <col min="1548" max="1556" width="1.7109375" style="5" customWidth="1"/>
    <col min="1557" max="1557" width="0.28515625" style="5" customWidth="1"/>
    <col min="1558" max="1566" width="1.7109375" style="5" customWidth="1"/>
    <col min="1567" max="1567" width="0.28515625" style="5" customWidth="1"/>
    <col min="1568" max="1576" width="1.7109375" style="5" customWidth="1"/>
    <col min="1577" max="1577" width="0.28515625" style="5" customWidth="1"/>
    <col min="1578" max="1586" width="1.7109375" style="5" customWidth="1"/>
    <col min="1587" max="1587" width="0.28515625" style="5" customWidth="1"/>
    <col min="1588" max="1596" width="1.7109375" style="5" customWidth="1"/>
    <col min="1597" max="1597" width="0.28515625" style="5" customWidth="1"/>
    <col min="1598" max="1606" width="1.7109375" style="5" customWidth="1"/>
    <col min="1607" max="1607" width="0.28515625" style="5" customWidth="1"/>
    <col min="1608" max="1616" width="1.7109375" style="5" customWidth="1"/>
    <col min="1617" max="1792" width="9.140625" style="5"/>
    <col min="1793" max="1793" width="0.28515625" style="5" customWidth="1"/>
    <col min="1794" max="1802" width="1.7109375" style="5" customWidth="1"/>
    <col min="1803" max="1803" width="0.28515625" style="5" customWidth="1"/>
    <col min="1804" max="1812" width="1.7109375" style="5" customWidth="1"/>
    <col min="1813" max="1813" width="0.28515625" style="5" customWidth="1"/>
    <col min="1814" max="1822" width="1.7109375" style="5" customWidth="1"/>
    <col min="1823" max="1823" width="0.28515625" style="5" customWidth="1"/>
    <col min="1824" max="1832" width="1.7109375" style="5" customWidth="1"/>
    <col min="1833" max="1833" width="0.28515625" style="5" customWidth="1"/>
    <col min="1834" max="1842" width="1.7109375" style="5" customWidth="1"/>
    <col min="1843" max="1843" width="0.28515625" style="5" customWidth="1"/>
    <col min="1844" max="1852" width="1.7109375" style="5" customWidth="1"/>
    <col min="1853" max="1853" width="0.28515625" style="5" customWidth="1"/>
    <col min="1854" max="1862" width="1.7109375" style="5" customWidth="1"/>
    <col min="1863" max="1863" width="0.28515625" style="5" customWidth="1"/>
    <col min="1864" max="1872" width="1.7109375" style="5" customWidth="1"/>
    <col min="1873" max="2048" width="9.140625" style="5"/>
    <col min="2049" max="2049" width="0.28515625" style="5" customWidth="1"/>
    <col min="2050" max="2058" width="1.7109375" style="5" customWidth="1"/>
    <col min="2059" max="2059" width="0.28515625" style="5" customWidth="1"/>
    <col min="2060" max="2068" width="1.7109375" style="5" customWidth="1"/>
    <col min="2069" max="2069" width="0.28515625" style="5" customWidth="1"/>
    <col min="2070" max="2078" width="1.7109375" style="5" customWidth="1"/>
    <col min="2079" max="2079" width="0.28515625" style="5" customWidth="1"/>
    <col min="2080" max="2088" width="1.7109375" style="5" customWidth="1"/>
    <col min="2089" max="2089" width="0.28515625" style="5" customWidth="1"/>
    <col min="2090" max="2098" width="1.7109375" style="5" customWidth="1"/>
    <col min="2099" max="2099" width="0.28515625" style="5" customWidth="1"/>
    <col min="2100" max="2108" width="1.7109375" style="5" customWidth="1"/>
    <col min="2109" max="2109" width="0.28515625" style="5" customWidth="1"/>
    <col min="2110" max="2118" width="1.7109375" style="5" customWidth="1"/>
    <col min="2119" max="2119" width="0.28515625" style="5" customWidth="1"/>
    <col min="2120" max="2128" width="1.7109375" style="5" customWidth="1"/>
    <col min="2129" max="2304" width="9.140625" style="5"/>
    <col min="2305" max="2305" width="0.28515625" style="5" customWidth="1"/>
    <col min="2306" max="2314" width="1.7109375" style="5" customWidth="1"/>
    <col min="2315" max="2315" width="0.28515625" style="5" customWidth="1"/>
    <col min="2316" max="2324" width="1.7109375" style="5" customWidth="1"/>
    <col min="2325" max="2325" width="0.28515625" style="5" customWidth="1"/>
    <col min="2326" max="2334" width="1.7109375" style="5" customWidth="1"/>
    <col min="2335" max="2335" width="0.28515625" style="5" customWidth="1"/>
    <col min="2336" max="2344" width="1.7109375" style="5" customWidth="1"/>
    <col min="2345" max="2345" width="0.28515625" style="5" customWidth="1"/>
    <col min="2346" max="2354" width="1.7109375" style="5" customWidth="1"/>
    <col min="2355" max="2355" width="0.28515625" style="5" customWidth="1"/>
    <col min="2356" max="2364" width="1.7109375" style="5" customWidth="1"/>
    <col min="2365" max="2365" width="0.28515625" style="5" customWidth="1"/>
    <col min="2366" max="2374" width="1.7109375" style="5" customWidth="1"/>
    <col min="2375" max="2375" width="0.28515625" style="5" customWidth="1"/>
    <col min="2376" max="2384" width="1.7109375" style="5" customWidth="1"/>
    <col min="2385" max="2560" width="9.140625" style="5"/>
    <col min="2561" max="2561" width="0.28515625" style="5" customWidth="1"/>
    <col min="2562" max="2570" width="1.7109375" style="5" customWidth="1"/>
    <col min="2571" max="2571" width="0.28515625" style="5" customWidth="1"/>
    <col min="2572" max="2580" width="1.7109375" style="5" customWidth="1"/>
    <col min="2581" max="2581" width="0.28515625" style="5" customWidth="1"/>
    <col min="2582" max="2590" width="1.7109375" style="5" customWidth="1"/>
    <col min="2591" max="2591" width="0.28515625" style="5" customWidth="1"/>
    <col min="2592" max="2600" width="1.7109375" style="5" customWidth="1"/>
    <col min="2601" max="2601" width="0.28515625" style="5" customWidth="1"/>
    <col min="2602" max="2610" width="1.7109375" style="5" customWidth="1"/>
    <col min="2611" max="2611" width="0.28515625" style="5" customWidth="1"/>
    <col min="2612" max="2620" width="1.7109375" style="5" customWidth="1"/>
    <col min="2621" max="2621" width="0.28515625" style="5" customWidth="1"/>
    <col min="2622" max="2630" width="1.7109375" style="5" customWidth="1"/>
    <col min="2631" max="2631" width="0.28515625" style="5" customWidth="1"/>
    <col min="2632" max="2640" width="1.7109375" style="5" customWidth="1"/>
    <col min="2641" max="2816" width="9.140625" style="5"/>
    <col min="2817" max="2817" width="0.28515625" style="5" customWidth="1"/>
    <col min="2818" max="2826" width="1.7109375" style="5" customWidth="1"/>
    <col min="2827" max="2827" width="0.28515625" style="5" customWidth="1"/>
    <col min="2828" max="2836" width="1.7109375" style="5" customWidth="1"/>
    <col min="2837" max="2837" width="0.28515625" style="5" customWidth="1"/>
    <col min="2838" max="2846" width="1.7109375" style="5" customWidth="1"/>
    <col min="2847" max="2847" width="0.28515625" style="5" customWidth="1"/>
    <col min="2848" max="2856" width="1.7109375" style="5" customWidth="1"/>
    <col min="2857" max="2857" width="0.28515625" style="5" customWidth="1"/>
    <col min="2858" max="2866" width="1.7109375" style="5" customWidth="1"/>
    <col min="2867" max="2867" width="0.28515625" style="5" customWidth="1"/>
    <col min="2868" max="2876" width="1.7109375" style="5" customWidth="1"/>
    <col min="2877" max="2877" width="0.28515625" style="5" customWidth="1"/>
    <col min="2878" max="2886" width="1.7109375" style="5" customWidth="1"/>
    <col min="2887" max="2887" width="0.28515625" style="5" customWidth="1"/>
    <col min="2888" max="2896" width="1.7109375" style="5" customWidth="1"/>
    <col min="2897" max="3072" width="9.140625" style="5"/>
    <col min="3073" max="3073" width="0.28515625" style="5" customWidth="1"/>
    <col min="3074" max="3082" width="1.7109375" style="5" customWidth="1"/>
    <col min="3083" max="3083" width="0.28515625" style="5" customWidth="1"/>
    <col min="3084" max="3092" width="1.7109375" style="5" customWidth="1"/>
    <col min="3093" max="3093" width="0.28515625" style="5" customWidth="1"/>
    <col min="3094" max="3102" width="1.7109375" style="5" customWidth="1"/>
    <col min="3103" max="3103" width="0.28515625" style="5" customWidth="1"/>
    <col min="3104" max="3112" width="1.7109375" style="5" customWidth="1"/>
    <col min="3113" max="3113" width="0.28515625" style="5" customWidth="1"/>
    <col min="3114" max="3122" width="1.7109375" style="5" customWidth="1"/>
    <col min="3123" max="3123" width="0.28515625" style="5" customWidth="1"/>
    <col min="3124" max="3132" width="1.7109375" style="5" customWidth="1"/>
    <col min="3133" max="3133" width="0.28515625" style="5" customWidth="1"/>
    <col min="3134" max="3142" width="1.7109375" style="5" customWidth="1"/>
    <col min="3143" max="3143" width="0.28515625" style="5" customWidth="1"/>
    <col min="3144" max="3152" width="1.7109375" style="5" customWidth="1"/>
    <col min="3153" max="3328" width="9.140625" style="5"/>
    <col min="3329" max="3329" width="0.28515625" style="5" customWidth="1"/>
    <col min="3330" max="3338" width="1.7109375" style="5" customWidth="1"/>
    <col min="3339" max="3339" width="0.28515625" style="5" customWidth="1"/>
    <col min="3340" max="3348" width="1.7109375" style="5" customWidth="1"/>
    <col min="3349" max="3349" width="0.28515625" style="5" customWidth="1"/>
    <col min="3350" max="3358" width="1.7109375" style="5" customWidth="1"/>
    <col min="3359" max="3359" width="0.28515625" style="5" customWidth="1"/>
    <col min="3360" max="3368" width="1.7109375" style="5" customWidth="1"/>
    <col min="3369" max="3369" width="0.28515625" style="5" customWidth="1"/>
    <col min="3370" max="3378" width="1.7109375" style="5" customWidth="1"/>
    <col min="3379" max="3379" width="0.28515625" style="5" customWidth="1"/>
    <col min="3380" max="3388" width="1.7109375" style="5" customWidth="1"/>
    <col min="3389" max="3389" width="0.28515625" style="5" customWidth="1"/>
    <col min="3390" max="3398" width="1.7109375" style="5" customWidth="1"/>
    <col min="3399" max="3399" width="0.28515625" style="5" customWidth="1"/>
    <col min="3400" max="3408" width="1.7109375" style="5" customWidth="1"/>
    <col min="3409" max="3584" width="9.140625" style="5"/>
    <col min="3585" max="3585" width="0.28515625" style="5" customWidth="1"/>
    <col min="3586" max="3594" width="1.7109375" style="5" customWidth="1"/>
    <col min="3595" max="3595" width="0.28515625" style="5" customWidth="1"/>
    <col min="3596" max="3604" width="1.7109375" style="5" customWidth="1"/>
    <col min="3605" max="3605" width="0.28515625" style="5" customWidth="1"/>
    <col min="3606" max="3614" width="1.7109375" style="5" customWidth="1"/>
    <col min="3615" max="3615" width="0.28515625" style="5" customWidth="1"/>
    <col min="3616" max="3624" width="1.7109375" style="5" customWidth="1"/>
    <col min="3625" max="3625" width="0.28515625" style="5" customWidth="1"/>
    <col min="3626" max="3634" width="1.7109375" style="5" customWidth="1"/>
    <col min="3635" max="3635" width="0.28515625" style="5" customWidth="1"/>
    <col min="3636" max="3644" width="1.7109375" style="5" customWidth="1"/>
    <col min="3645" max="3645" width="0.28515625" style="5" customWidth="1"/>
    <col min="3646" max="3654" width="1.7109375" style="5" customWidth="1"/>
    <col min="3655" max="3655" width="0.28515625" style="5" customWidth="1"/>
    <col min="3656" max="3664" width="1.7109375" style="5" customWidth="1"/>
    <col min="3665" max="3840" width="9.140625" style="5"/>
    <col min="3841" max="3841" width="0.28515625" style="5" customWidth="1"/>
    <col min="3842" max="3850" width="1.7109375" style="5" customWidth="1"/>
    <col min="3851" max="3851" width="0.28515625" style="5" customWidth="1"/>
    <col min="3852" max="3860" width="1.7109375" style="5" customWidth="1"/>
    <col min="3861" max="3861" width="0.28515625" style="5" customWidth="1"/>
    <col min="3862" max="3870" width="1.7109375" style="5" customWidth="1"/>
    <col min="3871" max="3871" width="0.28515625" style="5" customWidth="1"/>
    <col min="3872" max="3880" width="1.7109375" style="5" customWidth="1"/>
    <col min="3881" max="3881" width="0.28515625" style="5" customWidth="1"/>
    <col min="3882" max="3890" width="1.7109375" style="5" customWidth="1"/>
    <col min="3891" max="3891" width="0.28515625" style="5" customWidth="1"/>
    <col min="3892" max="3900" width="1.7109375" style="5" customWidth="1"/>
    <col min="3901" max="3901" width="0.28515625" style="5" customWidth="1"/>
    <col min="3902" max="3910" width="1.7109375" style="5" customWidth="1"/>
    <col min="3911" max="3911" width="0.28515625" style="5" customWidth="1"/>
    <col min="3912" max="3920" width="1.7109375" style="5" customWidth="1"/>
    <col min="3921" max="4096" width="9.140625" style="5"/>
    <col min="4097" max="4097" width="0.28515625" style="5" customWidth="1"/>
    <col min="4098" max="4106" width="1.7109375" style="5" customWidth="1"/>
    <col min="4107" max="4107" width="0.28515625" style="5" customWidth="1"/>
    <col min="4108" max="4116" width="1.7109375" style="5" customWidth="1"/>
    <col min="4117" max="4117" width="0.28515625" style="5" customWidth="1"/>
    <col min="4118" max="4126" width="1.7109375" style="5" customWidth="1"/>
    <col min="4127" max="4127" width="0.28515625" style="5" customWidth="1"/>
    <col min="4128" max="4136" width="1.7109375" style="5" customWidth="1"/>
    <col min="4137" max="4137" width="0.28515625" style="5" customWidth="1"/>
    <col min="4138" max="4146" width="1.7109375" style="5" customWidth="1"/>
    <col min="4147" max="4147" width="0.28515625" style="5" customWidth="1"/>
    <col min="4148" max="4156" width="1.7109375" style="5" customWidth="1"/>
    <col min="4157" max="4157" width="0.28515625" style="5" customWidth="1"/>
    <col min="4158" max="4166" width="1.7109375" style="5" customWidth="1"/>
    <col min="4167" max="4167" width="0.28515625" style="5" customWidth="1"/>
    <col min="4168" max="4176" width="1.7109375" style="5" customWidth="1"/>
    <col min="4177" max="4352" width="9.140625" style="5"/>
    <col min="4353" max="4353" width="0.28515625" style="5" customWidth="1"/>
    <col min="4354" max="4362" width="1.7109375" style="5" customWidth="1"/>
    <col min="4363" max="4363" width="0.28515625" style="5" customWidth="1"/>
    <col min="4364" max="4372" width="1.7109375" style="5" customWidth="1"/>
    <col min="4373" max="4373" width="0.28515625" style="5" customWidth="1"/>
    <col min="4374" max="4382" width="1.7109375" style="5" customWidth="1"/>
    <col min="4383" max="4383" width="0.28515625" style="5" customWidth="1"/>
    <col min="4384" max="4392" width="1.7109375" style="5" customWidth="1"/>
    <col min="4393" max="4393" width="0.28515625" style="5" customWidth="1"/>
    <col min="4394" max="4402" width="1.7109375" style="5" customWidth="1"/>
    <col min="4403" max="4403" width="0.28515625" style="5" customWidth="1"/>
    <col min="4404" max="4412" width="1.7109375" style="5" customWidth="1"/>
    <col min="4413" max="4413" width="0.28515625" style="5" customWidth="1"/>
    <col min="4414" max="4422" width="1.7109375" style="5" customWidth="1"/>
    <col min="4423" max="4423" width="0.28515625" style="5" customWidth="1"/>
    <col min="4424" max="4432" width="1.7109375" style="5" customWidth="1"/>
    <col min="4433" max="4608" width="9.140625" style="5"/>
    <col min="4609" max="4609" width="0.28515625" style="5" customWidth="1"/>
    <col min="4610" max="4618" width="1.7109375" style="5" customWidth="1"/>
    <col min="4619" max="4619" width="0.28515625" style="5" customWidth="1"/>
    <col min="4620" max="4628" width="1.7109375" style="5" customWidth="1"/>
    <col min="4629" max="4629" width="0.28515625" style="5" customWidth="1"/>
    <col min="4630" max="4638" width="1.7109375" style="5" customWidth="1"/>
    <col min="4639" max="4639" width="0.28515625" style="5" customWidth="1"/>
    <col min="4640" max="4648" width="1.7109375" style="5" customWidth="1"/>
    <col min="4649" max="4649" width="0.28515625" style="5" customWidth="1"/>
    <col min="4650" max="4658" width="1.7109375" style="5" customWidth="1"/>
    <col min="4659" max="4659" width="0.28515625" style="5" customWidth="1"/>
    <col min="4660" max="4668" width="1.7109375" style="5" customWidth="1"/>
    <col min="4669" max="4669" width="0.28515625" style="5" customWidth="1"/>
    <col min="4670" max="4678" width="1.7109375" style="5" customWidth="1"/>
    <col min="4679" max="4679" width="0.28515625" style="5" customWidth="1"/>
    <col min="4680" max="4688" width="1.7109375" style="5" customWidth="1"/>
    <col min="4689" max="4864" width="9.140625" style="5"/>
    <col min="4865" max="4865" width="0.28515625" style="5" customWidth="1"/>
    <col min="4866" max="4874" width="1.7109375" style="5" customWidth="1"/>
    <col min="4875" max="4875" width="0.28515625" style="5" customWidth="1"/>
    <col min="4876" max="4884" width="1.7109375" style="5" customWidth="1"/>
    <col min="4885" max="4885" width="0.28515625" style="5" customWidth="1"/>
    <col min="4886" max="4894" width="1.7109375" style="5" customWidth="1"/>
    <col min="4895" max="4895" width="0.28515625" style="5" customWidth="1"/>
    <col min="4896" max="4904" width="1.7109375" style="5" customWidth="1"/>
    <col min="4905" max="4905" width="0.28515625" style="5" customWidth="1"/>
    <col min="4906" max="4914" width="1.7109375" style="5" customWidth="1"/>
    <col min="4915" max="4915" width="0.28515625" style="5" customWidth="1"/>
    <col min="4916" max="4924" width="1.7109375" style="5" customWidth="1"/>
    <col min="4925" max="4925" width="0.28515625" style="5" customWidth="1"/>
    <col min="4926" max="4934" width="1.7109375" style="5" customWidth="1"/>
    <col min="4935" max="4935" width="0.28515625" style="5" customWidth="1"/>
    <col min="4936" max="4944" width="1.7109375" style="5" customWidth="1"/>
    <col min="4945" max="5120" width="9.140625" style="5"/>
    <col min="5121" max="5121" width="0.28515625" style="5" customWidth="1"/>
    <col min="5122" max="5130" width="1.7109375" style="5" customWidth="1"/>
    <col min="5131" max="5131" width="0.28515625" style="5" customWidth="1"/>
    <col min="5132" max="5140" width="1.7109375" style="5" customWidth="1"/>
    <col min="5141" max="5141" width="0.28515625" style="5" customWidth="1"/>
    <col min="5142" max="5150" width="1.7109375" style="5" customWidth="1"/>
    <col min="5151" max="5151" width="0.28515625" style="5" customWidth="1"/>
    <col min="5152" max="5160" width="1.7109375" style="5" customWidth="1"/>
    <col min="5161" max="5161" width="0.28515625" style="5" customWidth="1"/>
    <col min="5162" max="5170" width="1.7109375" style="5" customWidth="1"/>
    <col min="5171" max="5171" width="0.28515625" style="5" customWidth="1"/>
    <col min="5172" max="5180" width="1.7109375" style="5" customWidth="1"/>
    <col min="5181" max="5181" width="0.28515625" style="5" customWidth="1"/>
    <col min="5182" max="5190" width="1.7109375" style="5" customWidth="1"/>
    <col min="5191" max="5191" width="0.28515625" style="5" customWidth="1"/>
    <col min="5192" max="5200" width="1.7109375" style="5" customWidth="1"/>
    <col min="5201" max="5376" width="9.140625" style="5"/>
    <col min="5377" max="5377" width="0.28515625" style="5" customWidth="1"/>
    <col min="5378" max="5386" width="1.7109375" style="5" customWidth="1"/>
    <col min="5387" max="5387" width="0.28515625" style="5" customWidth="1"/>
    <col min="5388" max="5396" width="1.7109375" style="5" customWidth="1"/>
    <col min="5397" max="5397" width="0.28515625" style="5" customWidth="1"/>
    <col min="5398" max="5406" width="1.7109375" style="5" customWidth="1"/>
    <col min="5407" max="5407" width="0.28515625" style="5" customWidth="1"/>
    <col min="5408" max="5416" width="1.7109375" style="5" customWidth="1"/>
    <col min="5417" max="5417" width="0.28515625" style="5" customWidth="1"/>
    <col min="5418" max="5426" width="1.7109375" style="5" customWidth="1"/>
    <col min="5427" max="5427" width="0.28515625" style="5" customWidth="1"/>
    <col min="5428" max="5436" width="1.7109375" style="5" customWidth="1"/>
    <col min="5437" max="5437" width="0.28515625" style="5" customWidth="1"/>
    <col min="5438" max="5446" width="1.7109375" style="5" customWidth="1"/>
    <col min="5447" max="5447" width="0.28515625" style="5" customWidth="1"/>
    <col min="5448" max="5456" width="1.7109375" style="5" customWidth="1"/>
    <col min="5457" max="5632" width="9.140625" style="5"/>
    <col min="5633" max="5633" width="0.28515625" style="5" customWidth="1"/>
    <col min="5634" max="5642" width="1.7109375" style="5" customWidth="1"/>
    <col min="5643" max="5643" width="0.28515625" style="5" customWidth="1"/>
    <col min="5644" max="5652" width="1.7109375" style="5" customWidth="1"/>
    <col min="5653" max="5653" width="0.28515625" style="5" customWidth="1"/>
    <col min="5654" max="5662" width="1.7109375" style="5" customWidth="1"/>
    <col min="5663" max="5663" width="0.28515625" style="5" customWidth="1"/>
    <col min="5664" max="5672" width="1.7109375" style="5" customWidth="1"/>
    <col min="5673" max="5673" width="0.28515625" style="5" customWidth="1"/>
    <col min="5674" max="5682" width="1.7109375" style="5" customWidth="1"/>
    <col min="5683" max="5683" width="0.28515625" style="5" customWidth="1"/>
    <col min="5684" max="5692" width="1.7109375" style="5" customWidth="1"/>
    <col min="5693" max="5693" width="0.28515625" style="5" customWidth="1"/>
    <col min="5694" max="5702" width="1.7109375" style="5" customWidth="1"/>
    <col min="5703" max="5703" width="0.28515625" style="5" customWidth="1"/>
    <col min="5704" max="5712" width="1.7109375" style="5" customWidth="1"/>
    <col min="5713" max="5888" width="9.140625" style="5"/>
    <col min="5889" max="5889" width="0.28515625" style="5" customWidth="1"/>
    <col min="5890" max="5898" width="1.7109375" style="5" customWidth="1"/>
    <col min="5899" max="5899" width="0.28515625" style="5" customWidth="1"/>
    <col min="5900" max="5908" width="1.7109375" style="5" customWidth="1"/>
    <col min="5909" max="5909" width="0.28515625" style="5" customWidth="1"/>
    <col min="5910" max="5918" width="1.7109375" style="5" customWidth="1"/>
    <col min="5919" max="5919" width="0.28515625" style="5" customWidth="1"/>
    <col min="5920" max="5928" width="1.7109375" style="5" customWidth="1"/>
    <col min="5929" max="5929" width="0.28515625" style="5" customWidth="1"/>
    <col min="5930" max="5938" width="1.7109375" style="5" customWidth="1"/>
    <col min="5939" max="5939" width="0.28515625" style="5" customWidth="1"/>
    <col min="5940" max="5948" width="1.7109375" style="5" customWidth="1"/>
    <col min="5949" max="5949" width="0.28515625" style="5" customWidth="1"/>
    <col min="5950" max="5958" width="1.7109375" style="5" customWidth="1"/>
    <col min="5959" max="5959" width="0.28515625" style="5" customWidth="1"/>
    <col min="5960" max="5968" width="1.7109375" style="5" customWidth="1"/>
    <col min="5969" max="6144" width="9.140625" style="5"/>
    <col min="6145" max="6145" width="0.28515625" style="5" customWidth="1"/>
    <col min="6146" max="6154" width="1.7109375" style="5" customWidth="1"/>
    <col min="6155" max="6155" width="0.28515625" style="5" customWidth="1"/>
    <col min="6156" max="6164" width="1.7109375" style="5" customWidth="1"/>
    <col min="6165" max="6165" width="0.28515625" style="5" customWidth="1"/>
    <col min="6166" max="6174" width="1.7109375" style="5" customWidth="1"/>
    <col min="6175" max="6175" width="0.28515625" style="5" customWidth="1"/>
    <col min="6176" max="6184" width="1.7109375" style="5" customWidth="1"/>
    <col min="6185" max="6185" width="0.28515625" style="5" customWidth="1"/>
    <col min="6186" max="6194" width="1.7109375" style="5" customWidth="1"/>
    <col min="6195" max="6195" width="0.28515625" style="5" customWidth="1"/>
    <col min="6196" max="6204" width="1.7109375" style="5" customWidth="1"/>
    <col min="6205" max="6205" width="0.28515625" style="5" customWidth="1"/>
    <col min="6206" max="6214" width="1.7109375" style="5" customWidth="1"/>
    <col min="6215" max="6215" width="0.28515625" style="5" customWidth="1"/>
    <col min="6216" max="6224" width="1.7109375" style="5" customWidth="1"/>
    <col min="6225" max="6400" width="9.140625" style="5"/>
    <col min="6401" max="6401" width="0.28515625" style="5" customWidth="1"/>
    <col min="6402" max="6410" width="1.7109375" style="5" customWidth="1"/>
    <col min="6411" max="6411" width="0.28515625" style="5" customWidth="1"/>
    <col min="6412" max="6420" width="1.7109375" style="5" customWidth="1"/>
    <col min="6421" max="6421" width="0.28515625" style="5" customWidth="1"/>
    <col min="6422" max="6430" width="1.7109375" style="5" customWidth="1"/>
    <col min="6431" max="6431" width="0.28515625" style="5" customWidth="1"/>
    <col min="6432" max="6440" width="1.7109375" style="5" customWidth="1"/>
    <col min="6441" max="6441" width="0.28515625" style="5" customWidth="1"/>
    <col min="6442" max="6450" width="1.7109375" style="5" customWidth="1"/>
    <col min="6451" max="6451" width="0.28515625" style="5" customWidth="1"/>
    <col min="6452" max="6460" width="1.7109375" style="5" customWidth="1"/>
    <col min="6461" max="6461" width="0.28515625" style="5" customWidth="1"/>
    <col min="6462" max="6470" width="1.7109375" style="5" customWidth="1"/>
    <col min="6471" max="6471" width="0.28515625" style="5" customWidth="1"/>
    <col min="6472" max="6480" width="1.7109375" style="5" customWidth="1"/>
    <col min="6481" max="6656" width="9.140625" style="5"/>
    <col min="6657" max="6657" width="0.28515625" style="5" customWidth="1"/>
    <col min="6658" max="6666" width="1.7109375" style="5" customWidth="1"/>
    <col min="6667" max="6667" width="0.28515625" style="5" customWidth="1"/>
    <col min="6668" max="6676" width="1.7109375" style="5" customWidth="1"/>
    <col min="6677" max="6677" width="0.28515625" style="5" customWidth="1"/>
    <col min="6678" max="6686" width="1.7109375" style="5" customWidth="1"/>
    <col min="6687" max="6687" width="0.28515625" style="5" customWidth="1"/>
    <col min="6688" max="6696" width="1.7109375" style="5" customWidth="1"/>
    <col min="6697" max="6697" width="0.28515625" style="5" customWidth="1"/>
    <col min="6698" max="6706" width="1.7109375" style="5" customWidth="1"/>
    <col min="6707" max="6707" width="0.28515625" style="5" customWidth="1"/>
    <col min="6708" max="6716" width="1.7109375" style="5" customWidth="1"/>
    <col min="6717" max="6717" width="0.28515625" style="5" customWidth="1"/>
    <col min="6718" max="6726" width="1.7109375" style="5" customWidth="1"/>
    <col min="6727" max="6727" width="0.28515625" style="5" customWidth="1"/>
    <col min="6728" max="6736" width="1.7109375" style="5" customWidth="1"/>
    <col min="6737" max="6912" width="9.140625" style="5"/>
    <col min="6913" max="6913" width="0.28515625" style="5" customWidth="1"/>
    <col min="6914" max="6922" width="1.7109375" style="5" customWidth="1"/>
    <col min="6923" max="6923" width="0.28515625" style="5" customWidth="1"/>
    <col min="6924" max="6932" width="1.7109375" style="5" customWidth="1"/>
    <col min="6933" max="6933" width="0.28515625" style="5" customWidth="1"/>
    <col min="6934" max="6942" width="1.7109375" style="5" customWidth="1"/>
    <col min="6943" max="6943" width="0.28515625" style="5" customWidth="1"/>
    <col min="6944" max="6952" width="1.7109375" style="5" customWidth="1"/>
    <col min="6953" max="6953" width="0.28515625" style="5" customWidth="1"/>
    <col min="6954" max="6962" width="1.7109375" style="5" customWidth="1"/>
    <col min="6963" max="6963" width="0.28515625" style="5" customWidth="1"/>
    <col min="6964" max="6972" width="1.7109375" style="5" customWidth="1"/>
    <col min="6973" max="6973" width="0.28515625" style="5" customWidth="1"/>
    <col min="6974" max="6982" width="1.7109375" style="5" customWidth="1"/>
    <col min="6983" max="6983" width="0.28515625" style="5" customWidth="1"/>
    <col min="6984" max="6992" width="1.7109375" style="5" customWidth="1"/>
    <col min="6993" max="7168" width="9.140625" style="5"/>
    <col min="7169" max="7169" width="0.28515625" style="5" customWidth="1"/>
    <col min="7170" max="7178" width="1.7109375" style="5" customWidth="1"/>
    <col min="7179" max="7179" width="0.28515625" style="5" customWidth="1"/>
    <col min="7180" max="7188" width="1.7109375" style="5" customWidth="1"/>
    <col min="7189" max="7189" width="0.28515625" style="5" customWidth="1"/>
    <col min="7190" max="7198" width="1.7109375" style="5" customWidth="1"/>
    <col min="7199" max="7199" width="0.28515625" style="5" customWidth="1"/>
    <col min="7200" max="7208" width="1.7109375" style="5" customWidth="1"/>
    <col min="7209" max="7209" width="0.28515625" style="5" customWidth="1"/>
    <col min="7210" max="7218" width="1.7109375" style="5" customWidth="1"/>
    <col min="7219" max="7219" width="0.28515625" style="5" customWidth="1"/>
    <col min="7220" max="7228" width="1.7109375" style="5" customWidth="1"/>
    <col min="7229" max="7229" width="0.28515625" style="5" customWidth="1"/>
    <col min="7230" max="7238" width="1.7109375" style="5" customWidth="1"/>
    <col min="7239" max="7239" width="0.28515625" style="5" customWidth="1"/>
    <col min="7240" max="7248" width="1.7109375" style="5" customWidth="1"/>
    <col min="7249" max="7424" width="9.140625" style="5"/>
    <col min="7425" max="7425" width="0.28515625" style="5" customWidth="1"/>
    <col min="7426" max="7434" width="1.7109375" style="5" customWidth="1"/>
    <col min="7435" max="7435" width="0.28515625" style="5" customWidth="1"/>
    <col min="7436" max="7444" width="1.7109375" style="5" customWidth="1"/>
    <col min="7445" max="7445" width="0.28515625" style="5" customWidth="1"/>
    <col min="7446" max="7454" width="1.7109375" style="5" customWidth="1"/>
    <col min="7455" max="7455" width="0.28515625" style="5" customWidth="1"/>
    <col min="7456" max="7464" width="1.7109375" style="5" customWidth="1"/>
    <col min="7465" max="7465" width="0.28515625" style="5" customWidth="1"/>
    <col min="7466" max="7474" width="1.7109375" style="5" customWidth="1"/>
    <col min="7475" max="7475" width="0.28515625" style="5" customWidth="1"/>
    <col min="7476" max="7484" width="1.7109375" style="5" customWidth="1"/>
    <col min="7485" max="7485" width="0.28515625" style="5" customWidth="1"/>
    <col min="7486" max="7494" width="1.7109375" style="5" customWidth="1"/>
    <col min="7495" max="7495" width="0.28515625" style="5" customWidth="1"/>
    <col min="7496" max="7504" width="1.7109375" style="5" customWidth="1"/>
    <col min="7505" max="7680" width="9.140625" style="5"/>
    <col min="7681" max="7681" width="0.28515625" style="5" customWidth="1"/>
    <col min="7682" max="7690" width="1.7109375" style="5" customWidth="1"/>
    <col min="7691" max="7691" width="0.28515625" style="5" customWidth="1"/>
    <col min="7692" max="7700" width="1.7109375" style="5" customWidth="1"/>
    <col min="7701" max="7701" width="0.28515625" style="5" customWidth="1"/>
    <col min="7702" max="7710" width="1.7109375" style="5" customWidth="1"/>
    <col min="7711" max="7711" width="0.28515625" style="5" customWidth="1"/>
    <col min="7712" max="7720" width="1.7109375" style="5" customWidth="1"/>
    <col min="7721" max="7721" width="0.28515625" style="5" customWidth="1"/>
    <col min="7722" max="7730" width="1.7109375" style="5" customWidth="1"/>
    <col min="7731" max="7731" width="0.28515625" style="5" customWidth="1"/>
    <col min="7732" max="7740" width="1.7109375" style="5" customWidth="1"/>
    <col min="7741" max="7741" width="0.28515625" style="5" customWidth="1"/>
    <col min="7742" max="7750" width="1.7109375" style="5" customWidth="1"/>
    <col min="7751" max="7751" width="0.28515625" style="5" customWidth="1"/>
    <col min="7752" max="7760" width="1.7109375" style="5" customWidth="1"/>
    <col min="7761" max="7936" width="9.140625" style="5"/>
    <col min="7937" max="7937" width="0.28515625" style="5" customWidth="1"/>
    <col min="7938" max="7946" width="1.7109375" style="5" customWidth="1"/>
    <col min="7947" max="7947" width="0.28515625" style="5" customWidth="1"/>
    <col min="7948" max="7956" width="1.7109375" style="5" customWidth="1"/>
    <col min="7957" max="7957" width="0.28515625" style="5" customWidth="1"/>
    <col min="7958" max="7966" width="1.7109375" style="5" customWidth="1"/>
    <col min="7967" max="7967" width="0.28515625" style="5" customWidth="1"/>
    <col min="7968" max="7976" width="1.7109375" style="5" customWidth="1"/>
    <col min="7977" max="7977" width="0.28515625" style="5" customWidth="1"/>
    <col min="7978" max="7986" width="1.7109375" style="5" customWidth="1"/>
    <col min="7987" max="7987" width="0.28515625" style="5" customWidth="1"/>
    <col min="7988" max="7996" width="1.7109375" style="5" customWidth="1"/>
    <col min="7997" max="7997" width="0.28515625" style="5" customWidth="1"/>
    <col min="7998" max="8006" width="1.7109375" style="5" customWidth="1"/>
    <col min="8007" max="8007" width="0.28515625" style="5" customWidth="1"/>
    <col min="8008" max="8016" width="1.7109375" style="5" customWidth="1"/>
    <col min="8017" max="8192" width="9.140625" style="5"/>
    <col min="8193" max="8193" width="0.28515625" style="5" customWidth="1"/>
    <col min="8194" max="8202" width="1.7109375" style="5" customWidth="1"/>
    <col min="8203" max="8203" width="0.28515625" style="5" customWidth="1"/>
    <col min="8204" max="8212" width="1.7109375" style="5" customWidth="1"/>
    <col min="8213" max="8213" width="0.28515625" style="5" customWidth="1"/>
    <col min="8214" max="8222" width="1.7109375" style="5" customWidth="1"/>
    <col min="8223" max="8223" width="0.28515625" style="5" customWidth="1"/>
    <col min="8224" max="8232" width="1.7109375" style="5" customWidth="1"/>
    <col min="8233" max="8233" width="0.28515625" style="5" customWidth="1"/>
    <col min="8234" max="8242" width="1.7109375" style="5" customWidth="1"/>
    <col min="8243" max="8243" width="0.28515625" style="5" customWidth="1"/>
    <col min="8244" max="8252" width="1.7109375" style="5" customWidth="1"/>
    <col min="8253" max="8253" width="0.28515625" style="5" customWidth="1"/>
    <col min="8254" max="8262" width="1.7109375" style="5" customWidth="1"/>
    <col min="8263" max="8263" width="0.28515625" style="5" customWidth="1"/>
    <col min="8264" max="8272" width="1.7109375" style="5" customWidth="1"/>
    <col min="8273" max="8448" width="9.140625" style="5"/>
    <col min="8449" max="8449" width="0.28515625" style="5" customWidth="1"/>
    <col min="8450" max="8458" width="1.7109375" style="5" customWidth="1"/>
    <col min="8459" max="8459" width="0.28515625" style="5" customWidth="1"/>
    <col min="8460" max="8468" width="1.7109375" style="5" customWidth="1"/>
    <col min="8469" max="8469" width="0.28515625" style="5" customWidth="1"/>
    <col min="8470" max="8478" width="1.7109375" style="5" customWidth="1"/>
    <col min="8479" max="8479" width="0.28515625" style="5" customWidth="1"/>
    <col min="8480" max="8488" width="1.7109375" style="5" customWidth="1"/>
    <col min="8489" max="8489" width="0.28515625" style="5" customWidth="1"/>
    <col min="8490" max="8498" width="1.7109375" style="5" customWidth="1"/>
    <col min="8499" max="8499" width="0.28515625" style="5" customWidth="1"/>
    <col min="8500" max="8508" width="1.7109375" style="5" customWidth="1"/>
    <col min="8509" max="8509" width="0.28515625" style="5" customWidth="1"/>
    <col min="8510" max="8518" width="1.7109375" style="5" customWidth="1"/>
    <col min="8519" max="8519" width="0.28515625" style="5" customWidth="1"/>
    <col min="8520" max="8528" width="1.7109375" style="5" customWidth="1"/>
    <col min="8529" max="8704" width="9.140625" style="5"/>
    <col min="8705" max="8705" width="0.28515625" style="5" customWidth="1"/>
    <col min="8706" max="8714" width="1.7109375" style="5" customWidth="1"/>
    <col min="8715" max="8715" width="0.28515625" style="5" customWidth="1"/>
    <col min="8716" max="8724" width="1.7109375" style="5" customWidth="1"/>
    <col min="8725" max="8725" width="0.28515625" style="5" customWidth="1"/>
    <col min="8726" max="8734" width="1.7109375" style="5" customWidth="1"/>
    <col min="8735" max="8735" width="0.28515625" style="5" customWidth="1"/>
    <col min="8736" max="8744" width="1.7109375" style="5" customWidth="1"/>
    <col min="8745" max="8745" width="0.28515625" style="5" customWidth="1"/>
    <col min="8746" max="8754" width="1.7109375" style="5" customWidth="1"/>
    <col min="8755" max="8755" width="0.28515625" style="5" customWidth="1"/>
    <col min="8756" max="8764" width="1.7109375" style="5" customWidth="1"/>
    <col min="8765" max="8765" width="0.28515625" style="5" customWidth="1"/>
    <col min="8766" max="8774" width="1.7109375" style="5" customWidth="1"/>
    <col min="8775" max="8775" width="0.28515625" style="5" customWidth="1"/>
    <col min="8776" max="8784" width="1.7109375" style="5" customWidth="1"/>
    <col min="8785" max="8960" width="9.140625" style="5"/>
    <col min="8961" max="8961" width="0.28515625" style="5" customWidth="1"/>
    <col min="8962" max="8970" width="1.7109375" style="5" customWidth="1"/>
    <col min="8971" max="8971" width="0.28515625" style="5" customWidth="1"/>
    <col min="8972" max="8980" width="1.7109375" style="5" customWidth="1"/>
    <col min="8981" max="8981" width="0.28515625" style="5" customWidth="1"/>
    <col min="8982" max="8990" width="1.7109375" style="5" customWidth="1"/>
    <col min="8991" max="8991" width="0.28515625" style="5" customWidth="1"/>
    <col min="8992" max="9000" width="1.7109375" style="5" customWidth="1"/>
    <col min="9001" max="9001" width="0.28515625" style="5" customWidth="1"/>
    <col min="9002" max="9010" width="1.7109375" style="5" customWidth="1"/>
    <col min="9011" max="9011" width="0.28515625" style="5" customWidth="1"/>
    <col min="9012" max="9020" width="1.7109375" style="5" customWidth="1"/>
    <col min="9021" max="9021" width="0.28515625" style="5" customWidth="1"/>
    <col min="9022" max="9030" width="1.7109375" style="5" customWidth="1"/>
    <col min="9031" max="9031" width="0.28515625" style="5" customWidth="1"/>
    <col min="9032" max="9040" width="1.7109375" style="5" customWidth="1"/>
    <col min="9041" max="9216" width="9.140625" style="5"/>
    <col min="9217" max="9217" width="0.28515625" style="5" customWidth="1"/>
    <col min="9218" max="9226" width="1.7109375" style="5" customWidth="1"/>
    <col min="9227" max="9227" width="0.28515625" style="5" customWidth="1"/>
    <col min="9228" max="9236" width="1.7109375" style="5" customWidth="1"/>
    <col min="9237" max="9237" width="0.28515625" style="5" customWidth="1"/>
    <col min="9238" max="9246" width="1.7109375" style="5" customWidth="1"/>
    <col min="9247" max="9247" width="0.28515625" style="5" customWidth="1"/>
    <col min="9248" max="9256" width="1.7109375" style="5" customWidth="1"/>
    <col min="9257" max="9257" width="0.28515625" style="5" customWidth="1"/>
    <col min="9258" max="9266" width="1.7109375" style="5" customWidth="1"/>
    <col min="9267" max="9267" width="0.28515625" style="5" customWidth="1"/>
    <col min="9268" max="9276" width="1.7109375" style="5" customWidth="1"/>
    <col min="9277" max="9277" width="0.28515625" style="5" customWidth="1"/>
    <col min="9278" max="9286" width="1.7109375" style="5" customWidth="1"/>
    <col min="9287" max="9287" width="0.28515625" style="5" customWidth="1"/>
    <col min="9288" max="9296" width="1.7109375" style="5" customWidth="1"/>
    <col min="9297" max="9472" width="9.140625" style="5"/>
    <col min="9473" max="9473" width="0.28515625" style="5" customWidth="1"/>
    <col min="9474" max="9482" width="1.7109375" style="5" customWidth="1"/>
    <col min="9483" max="9483" width="0.28515625" style="5" customWidth="1"/>
    <col min="9484" max="9492" width="1.7109375" style="5" customWidth="1"/>
    <col min="9493" max="9493" width="0.28515625" style="5" customWidth="1"/>
    <col min="9494" max="9502" width="1.7109375" style="5" customWidth="1"/>
    <col min="9503" max="9503" width="0.28515625" style="5" customWidth="1"/>
    <col min="9504" max="9512" width="1.7109375" style="5" customWidth="1"/>
    <col min="9513" max="9513" width="0.28515625" style="5" customWidth="1"/>
    <col min="9514" max="9522" width="1.7109375" style="5" customWidth="1"/>
    <col min="9523" max="9523" width="0.28515625" style="5" customWidth="1"/>
    <col min="9524" max="9532" width="1.7109375" style="5" customWidth="1"/>
    <col min="9533" max="9533" width="0.28515625" style="5" customWidth="1"/>
    <col min="9534" max="9542" width="1.7109375" style="5" customWidth="1"/>
    <col min="9543" max="9543" width="0.28515625" style="5" customWidth="1"/>
    <col min="9544" max="9552" width="1.7109375" style="5" customWidth="1"/>
    <col min="9553" max="9728" width="9.140625" style="5"/>
    <col min="9729" max="9729" width="0.28515625" style="5" customWidth="1"/>
    <col min="9730" max="9738" width="1.7109375" style="5" customWidth="1"/>
    <col min="9739" max="9739" width="0.28515625" style="5" customWidth="1"/>
    <col min="9740" max="9748" width="1.7109375" style="5" customWidth="1"/>
    <col min="9749" max="9749" width="0.28515625" style="5" customWidth="1"/>
    <col min="9750" max="9758" width="1.7109375" style="5" customWidth="1"/>
    <col min="9759" max="9759" width="0.28515625" style="5" customWidth="1"/>
    <col min="9760" max="9768" width="1.7109375" style="5" customWidth="1"/>
    <col min="9769" max="9769" width="0.28515625" style="5" customWidth="1"/>
    <col min="9770" max="9778" width="1.7109375" style="5" customWidth="1"/>
    <col min="9779" max="9779" width="0.28515625" style="5" customWidth="1"/>
    <col min="9780" max="9788" width="1.7109375" style="5" customWidth="1"/>
    <col min="9789" max="9789" width="0.28515625" style="5" customWidth="1"/>
    <col min="9790" max="9798" width="1.7109375" style="5" customWidth="1"/>
    <col min="9799" max="9799" width="0.28515625" style="5" customWidth="1"/>
    <col min="9800" max="9808" width="1.7109375" style="5" customWidth="1"/>
    <col min="9809" max="9984" width="9.140625" style="5"/>
    <col min="9985" max="9985" width="0.28515625" style="5" customWidth="1"/>
    <col min="9986" max="9994" width="1.7109375" style="5" customWidth="1"/>
    <col min="9995" max="9995" width="0.28515625" style="5" customWidth="1"/>
    <col min="9996" max="10004" width="1.7109375" style="5" customWidth="1"/>
    <col min="10005" max="10005" width="0.28515625" style="5" customWidth="1"/>
    <col min="10006" max="10014" width="1.7109375" style="5" customWidth="1"/>
    <col min="10015" max="10015" width="0.28515625" style="5" customWidth="1"/>
    <col min="10016" max="10024" width="1.7109375" style="5" customWidth="1"/>
    <col min="10025" max="10025" width="0.28515625" style="5" customWidth="1"/>
    <col min="10026" max="10034" width="1.7109375" style="5" customWidth="1"/>
    <col min="10035" max="10035" width="0.28515625" style="5" customWidth="1"/>
    <col min="10036" max="10044" width="1.7109375" style="5" customWidth="1"/>
    <col min="10045" max="10045" width="0.28515625" style="5" customWidth="1"/>
    <col min="10046" max="10054" width="1.7109375" style="5" customWidth="1"/>
    <col min="10055" max="10055" width="0.28515625" style="5" customWidth="1"/>
    <col min="10056" max="10064" width="1.7109375" style="5" customWidth="1"/>
    <col min="10065" max="10240" width="9.140625" style="5"/>
    <col min="10241" max="10241" width="0.28515625" style="5" customWidth="1"/>
    <col min="10242" max="10250" width="1.7109375" style="5" customWidth="1"/>
    <col min="10251" max="10251" width="0.28515625" style="5" customWidth="1"/>
    <col min="10252" max="10260" width="1.7109375" style="5" customWidth="1"/>
    <col min="10261" max="10261" width="0.28515625" style="5" customWidth="1"/>
    <col min="10262" max="10270" width="1.7109375" style="5" customWidth="1"/>
    <col min="10271" max="10271" width="0.28515625" style="5" customWidth="1"/>
    <col min="10272" max="10280" width="1.7109375" style="5" customWidth="1"/>
    <col min="10281" max="10281" width="0.28515625" style="5" customWidth="1"/>
    <col min="10282" max="10290" width="1.7109375" style="5" customWidth="1"/>
    <col min="10291" max="10291" width="0.28515625" style="5" customWidth="1"/>
    <col min="10292" max="10300" width="1.7109375" style="5" customWidth="1"/>
    <col min="10301" max="10301" width="0.28515625" style="5" customWidth="1"/>
    <col min="10302" max="10310" width="1.7109375" style="5" customWidth="1"/>
    <col min="10311" max="10311" width="0.28515625" style="5" customWidth="1"/>
    <col min="10312" max="10320" width="1.7109375" style="5" customWidth="1"/>
    <col min="10321" max="10496" width="9.140625" style="5"/>
    <col min="10497" max="10497" width="0.28515625" style="5" customWidth="1"/>
    <col min="10498" max="10506" width="1.7109375" style="5" customWidth="1"/>
    <col min="10507" max="10507" width="0.28515625" style="5" customWidth="1"/>
    <col min="10508" max="10516" width="1.7109375" style="5" customWidth="1"/>
    <col min="10517" max="10517" width="0.28515625" style="5" customWidth="1"/>
    <col min="10518" max="10526" width="1.7109375" style="5" customWidth="1"/>
    <col min="10527" max="10527" width="0.28515625" style="5" customWidth="1"/>
    <col min="10528" max="10536" width="1.7109375" style="5" customWidth="1"/>
    <col min="10537" max="10537" width="0.28515625" style="5" customWidth="1"/>
    <col min="10538" max="10546" width="1.7109375" style="5" customWidth="1"/>
    <col min="10547" max="10547" width="0.28515625" style="5" customWidth="1"/>
    <col min="10548" max="10556" width="1.7109375" style="5" customWidth="1"/>
    <col min="10557" max="10557" width="0.28515625" style="5" customWidth="1"/>
    <col min="10558" max="10566" width="1.7109375" style="5" customWidth="1"/>
    <col min="10567" max="10567" width="0.28515625" style="5" customWidth="1"/>
    <col min="10568" max="10576" width="1.7109375" style="5" customWidth="1"/>
    <col min="10577" max="10752" width="9.140625" style="5"/>
    <col min="10753" max="10753" width="0.28515625" style="5" customWidth="1"/>
    <col min="10754" max="10762" width="1.7109375" style="5" customWidth="1"/>
    <col min="10763" max="10763" width="0.28515625" style="5" customWidth="1"/>
    <col min="10764" max="10772" width="1.7109375" style="5" customWidth="1"/>
    <col min="10773" max="10773" width="0.28515625" style="5" customWidth="1"/>
    <col min="10774" max="10782" width="1.7109375" style="5" customWidth="1"/>
    <col min="10783" max="10783" width="0.28515625" style="5" customWidth="1"/>
    <col min="10784" max="10792" width="1.7109375" style="5" customWidth="1"/>
    <col min="10793" max="10793" width="0.28515625" style="5" customWidth="1"/>
    <col min="10794" max="10802" width="1.7109375" style="5" customWidth="1"/>
    <col min="10803" max="10803" width="0.28515625" style="5" customWidth="1"/>
    <col min="10804" max="10812" width="1.7109375" style="5" customWidth="1"/>
    <col min="10813" max="10813" width="0.28515625" style="5" customWidth="1"/>
    <col min="10814" max="10822" width="1.7109375" style="5" customWidth="1"/>
    <col min="10823" max="10823" width="0.28515625" style="5" customWidth="1"/>
    <col min="10824" max="10832" width="1.7109375" style="5" customWidth="1"/>
    <col min="10833" max="11008" width="9.140625" style="5"/>
    <col min="11009" max="11009" width="0.28515625" style="5" customWidth="1"/>
    <col min="11010" max="11018" width="1.7109375" style="5" customWidth="1"/>
    <col min="11019" max="11019" width="0.28515625" style="5" customWidth="1"/>
    <col min="11020" max="11028" width="1.7109375" style="5" customWidth="1"/>
    <col min="11029" max="11029" width="0.28515625" style="5" customWidth="1"/>
    <col min="11030" max="11038" width="1.7109375" style="5" customWidth="1"/>
    <col min="11039" max="11039" width="0.28515625" style="5" customWidth="1"/>
    <col min="11040" max="11048" width="1.7109375" style="5" customWidth="1"/>
    <col min="11049" max="11049" width="0.28515625" style="5" customWidth="1"/>
    <col min="11050" max="11058" width="1.7109375" style="5" customWidth="1"/>
    <col min="11059" max="11059" width="0.28515625" style="5" customWidth="1"/>
    <col min="11060" max="11068" width="1.7109375" style="5" customWidth="1"/>
    <col min="11069" max="11069" width="0.28515625" style="5" customWidth="1"/>
    <col min="11070" max="11078" width="1.7109375" style="5" customWidth="1"/>
    <col min="11079" max="11079" width="0.28515625" style="5" customWidth="1"/>
    <col min="11080" max="11088" width="1.7109375" style="5" customWidth="1"/>
    <col min="11089" max="11264" width="9.140625" style="5"/>
    <col min="11265" max="11265" width="0.28515625" style="5" customWidth="1"/>
    <col min="11266" max="11274" width="1.7109375" style="5" customWidth="1"/>
    <col min="11275" max="11275" width="0.28515625" style="5" customWidth="1"/>
    <col min="11276" max="11284" width="1.7109375" style="5" customWidth="1"/>
    <col min="11285" max="11285" width="0.28515625" style="5" customWidth="1"/>
    <col min="11286" max="11294" width="1.7109375" style="5" customWidth="1"/>
    <col min="11295" max="11295" width="0.28515625" style="5" customWidth="1"/>
    <col min="11296" max="11304" width="1.7109375" style="5" customWidth="1"/>
    <col min="11305" max="11305" width="0.28515625" style="5" customWidth="1"/>
    <col min="11306" max="11314" width="1.7109375" style="5" customWidth="1"/>
    <col min="11315" max="11315" width="0.28515625" style="5" customWidth="1"/>
    <col min="11316" max="11324" width="1.7109375" style="5" customWidth="1"/>
    <col min="11325" max="11325" width="0.28515625" style="5" customWidth="1"/>
    <col min="11326" max="11334" width="1.7109375" style="5" customWidth="1"/>
    <col min="11335" max="11335" width="0.28515625" style="5" customWidth="1"/>
    <col min="11336" max="11344" width="1.7109375" style="5" customWidth="1"/>
    <col min="11345" max="11520" width="9.140625" style="5"/>
    <col min="11521" max="11521" width="0.28515625" style="5" customWidth="1"/>
    <col min="11522" max="11530" width="1.7109375" style="5" customWidth="1"/>
    <col min="11531" max="11531" width="0.28515625" style="5" customWidth="1"/>
    <col min="11532" max="11540" width="1.7109375" style="5" customWidth="1"/>
    <col min="11541" max="11541" width="0.28515625" style="5" customWidth="1"/>
    <col min="11542" max="11550" width="1.7109375" style="5" customWidth="1"/>
    <col min="11551" max="11551" width="0.28515625" style="5" customWidth="1"/>
    <col min="11552" max="11560" width="1.7109375" style="5" customWidth="1"/>
    <col min="11561" max="11561" width="0.28515625" style="5" customWidth="1"/>
    <col min="11562" max="11570" width="1.7109375" style="5" customWidth="1"/>
    <col min="11571" max="11571" width="0.28515625" style="5" customWidth="1"/>
    <col min="11572" max="11580" width="1.7109375" style="5" customWidth="1"/>
    <col min="11581" max="11581" width="0.28515625" style="5" customWidth="1"/>
    <col min="11582" max="11590" width="1.7109375" style="5" customWidth="1"/>
    <col min="11591" max="11591" width="0.28515625" style="5" customWidth="1"/>
    <col min="11592" max="11600" width="1.7109375" style="5" customWidth="1"/>
    <col min="11601" max="11776" width="9.140625" style="5"/>
    <col min="11777" max="11777" width="0.28515625" style="5" customWidth="1"/>
    <col min="11778" max="11786" width="1.7109375" style="5" customWidth="1"/>
    <col min="11787" max="11787" width="0.28515625" style="5" customWidth="1"/>
    <col min="11788" max="11796" width="1.7109375" style="5" customWidth="1"/>
    <col min="11797" max="11797" width="0.28515625" style="5" customWidth="1"/>
    <col min="11798" max="11806" width="1.7109375" style="5" customWidth="1"/>
    <col min="11807" max="11807" width="0.28515625" style="5" customWidth="1"/>
    <col min="11808" max="11816" width="1.7109375" style="5" customWidth="1"/>
    <col min="11817" max="11817" width="0.28515625" style="5" customWidth="1"/>
    <col min="11818" max="11826" width="1.7109375" style="5" customWidth="1"/>
    <col min="11827" max="11827" width="0.28515625" style="5" customWidth="1"/>
    <col min="11828" max="11836" width="1.7109375" style="5" customWidth="1"/>
    <col min="11837" max="11837" width="0.28515625" style="5" customWidth="1"/>
    <col min="11838" max="11846" width="1.7109375" style="5" customWidth="1"/>
    <col min="11847" max="11847" width="0.28515625" style="5" customWidth="1"/>
    <col min="11848" max="11856" width="1.7109375" style="5" customWidth="1"/>
    <col min="11857" max="12032" width="9.140625" style="5"/>
    <col min="12033" max="12033" width="0.28515625" style="5" customWidth="1"/>
    <col min="12034" max="12042" width="1.7109375" style="5" customWidth="1"/>
    <col min="12043" max="12043" width="0.28515625" style="5" customWidth="1"/>
    <col min="12044" max="12052" width="1.7109375" style="5" customWidth="1"/>
    <col min="12053" max="12053" width="0.28515625" style="5" customWidth="1"/>
    <col min="12054" max="12062" width="1.7109375" style="5" customWidth="1"/>
    <col min="12063" max="12063" width="0.28515625" style="5" customWidth="1"/>
    <col min="12064" max="12072" width="1.7109375" style="5" customWidth="1"/>
    <col min="12073" max="12073" width="0.28515625" style="5" customWidth="1"/>
    <col min="12074" max="12082" width="1.7109375" style="5" customWidth="1"/>
    <col min="12083" max="12083" width="0.28515625" style="5" customWidth="1"/>
    <col min="12084" max="12092" width="1.7109375" style="5" customWidth="1"/>
    <col min="12093" max="12093" width="0.28515625" style="5" customWidth="1"/>
    <col min="12094" max="12102" width="1.7109375" style="5" customWidth="1"/>
    <col min="12103" max="12103" width="0.28515625" style="5" customWidth="1"/>
    <col min="12104" max="12112" width="1.7109375" style="5" customWidth="1"/>
    <col min="12113" max="12288" width="9.140625" style="5"/>
    <col min="12289" max="12289" width="0.28515625" style="5" customWidth="1"/>
    <col min="12290" max="12298" width="1.7109375" style="5" customWidth="1"/>
    <col min="12299" max="12299" width="0.28515625" style="5" customWidth="1"/>
    <col min="12300" max="12308" width="1.7109375" style="5" customWidth="1"/>
    <col min="12309" max="12309" width="0.28515625" style="5" customWidth="1"/>
    <col min="12310" max="12318" width="1.7109375" style="5" customWidth="1"/>
    <col min="12319" max="12319" width="0.28515625" style="5" customWidth="1"/>
    <col min="12320" max="12328" width="1.7109375" style="5" customWidth="1"/>
    <col min="12329" max="12329" width="0.28515625" style="5" customWidth="1"/>
    <col min="12330" max="12338" width="1.7109375" style="5" customWidth="1"/>
    <col min="12339" max="12339" width="0.28515625" style="5" customWidth="1"/>
    <col min="12340" max="12348" width="1.7109375" style="5" customWidth="1"/>
    <col min="12349" max="12349" width="0.28515625" style="5" customWidth="1"/>
    <col min="12350" max="12358" width="1.7109375" style="5" customWidth="1"/>
    <col min="12359" max="12359" width="0.28515625" style="5" customWidth="1"/>
    <col min="12360" max="12368" width="1.7109375" style="5" customWidth="1"/>
    <col min="12369" max="12544" width="9.140625" style="5"/>
    <col min="12545" max="12545" width="0.28515625" style="5" customWidth="1"/>
    <col min="12546" max="12554" width="1.7109375" style="5" customWidth="1"/>
    <col min="12555" max="12555" width="0.28515625" style="5" customWidth="1"/>
    <col min="12556" max="12564" width="1.7109375" style="5" customWidth="1"/>
    <col min="12565" max="12565" width="0.28515625" style="5" customWidth="1"/>
    <col min="12566" max="12574" width="1.7109375" style="5" customWidth="1"/>
    <col min="12575" max="12575" width="0.28515625" style="5" customWidth="1"/>
    <col min="12576" max="12584" width="1.7109375" style="5" customWidth="1"/>
    <col min="12585" max="12585" width="0.28515625" style="5" customWidth="1"/>
    <col min="12586" max="12594" width="1.7109375" style="5" customWidth="1"/>
    <col min="12595" max="12595" width="0.28515625" style="5" customWidth="1"/>
    <col min="12596" max="12604" width="1.7109375" style="5" customWidth="1"/>
    <col min="12605" max="12605" width="0.28515625" style="5" customWidth="1"/>
    <col min="12606" max="12614" width="1.7109375" style="5" customWidth="1"/>
    <col min="12615" max="12615" width="0.28515625" style="5" customWidth="1"/>
    <col min="12616" max="12624" width="1.7109375" style="5" customWidth="1"/>
    <col min="12625" max="12800" width="9.140625" style="5"/>
    <col min="12801" max="12801" width="0.28515625" style="5" customWidth="1"/>
    <col min="12802" max="12810" width="1.7109375" style="5" customWidth="1"/>
    <col min="12811" max="12811" width="0.28515625" style="5" customWidth="1"/>
    <col min="12812" max="12820" width="1.7109375" style="5" customWidth="1"/>
    <col min="12821" max="12821" width="0.28515625" style="5" customWidth="1"/>
    <col min="12822" max="12830" width="1.7109375" style="5" customWidth="1"/>
    <col min="12831" max="12831" width="0.28515625" style="5" customWidth="1"/>
    <col min="12832" max="12840" width="1.7109375" style="5" customWidth="1"/>
    <col min="12841" max="12841" width="0.28515625" style="5" customWidth="1"/>
    <col min="12842" max="12850" width="1.7109375" style="5" customWidth="1"/>
    <col min="12851" max="12851" width="0.28515625" style="5" customWidth="1"/>
    <col min="12852" max="12860" width="1.7109375" style="5" customWidth="1"/>
    <col min="12861" max="12861" width="0.28515625" style="5" customWidth="1"/>
    <col min="12862" max="12870" width="1.7109375" style="5" customWidth="1"/>
    <col min="12871" max="12871" width="0.28515625" style="5" customWidth="1"/>
    <col min="12872" max="12880" width="1.7109375" style="5" customWidth="1"/>
    <col min="12881" max="13056" width="9.140625" style="5"/>
    <col min="13057" max="13057" width="0.28515625" style="5" customWidth="1"/>
    <col min="13058" max="13066" width="1.7109375" style="5" customWidth="1"/>
    <col min="13067" max="13067" width="0.28515625" style="5" customWidth="1"/>
    <col min="13068" max="13076" width="1.7109375" style="5" customWidth="1"/>
    <col min="13077" max="13077" width="0.28515625" style="5" customWidth="1"/>
    <col min="13078" max="13086" width="1.7109375" style="5" customWidth="1"/>
    <col min="13087" max="13087" width="0.28515625" style="5" customWidth="1"/>
    <col min="13088" max="13096" width="1.7109375" style="5" customWidth="1"/>
    <col min="13097" max="13097" width="0.28515625" style="5" customWidth="1"/>
    <col min="13098" max="13106" width="1.7109375" style="5" customWidth="1"/>
    <col min="13107" max="13107" width="0.28515625" style="5" customWidth="1"/>
    <col min="13108" max="13116" width="1.7109375" style="5" customWidth="1"/>
    <col min="13117" max="13117" width="0.28515625" style="5" customWidth="1"/>
    <col min="13118" max="13126" width="1.7109375" style="5" customWidth="1"/>
    <col min="13127" max="13127" width="0.28515625" style="5" customWidth="1"/>
    <col min="13128" max="13136" width="1.7109375" style="5" customWidth="1"/>
    <col min="13137" max="13312" width="9.140625" style="5"/>
    <col min="13313" max="13313" width="0.28515625" style="5" customWidth="1"/>
    <col min="13314" max="13322" width="1.7109375" style="5" customWidth="1"/>
    <col min="13323" max="13323" width="0.28515625" style="5" customWidth="1"/>
    <col min="13324" max="13332" width="1.7109375" style="5" customWidth="1"/>
    <col min="13333" max="13333" width="0.28515625" style="5" customWidth="1"/>
    <col min="13334" max="13342" width="1.7109375" style="5" customWidth="1"/>
    <col min="13343" max="13343" width="0.28515625" style="5" customWidth="1"/>
    <col min="13344" max="13352" width="1.7109375" style="5" customWidth="1"/>
    <col min="13353" max="13353" width="0.28515625" style="5" customWidth="1"/>
    <col min="13354" max="13362" width="1.7109375" style="5" customWidth="1"/>
    <col min="13363" max="13363" width="0.28515625" style="5" customWidth="1"/>
    <col min="13364" max="13372" width="1.7109375" style="5" customWidth="1"/>
    <col min="13373" max="13373" width="0.28515625" style="5" customWidth="1"/>
    <col min="13374" max="13382" width="1.7109375" style="5" customWidth="1"/>
    <col min="13383" max="13383" width="0.28515625" style="5" customWidth="1"/>
    <col min="13384" max="13392" width="1.7109375" style="5" customWidth="1"/>
    <col min="13393" max="13568" width="9.140625" style="5"/>
    <col min="13569" max="13569" width="0.28515625" style="5" customWidth="1"/>
    <col min="13570" max="13578" width="1.7109375" style="5" customWidth="1"/>
    <col min="13579" max="13579" width="0.28515625" style="5" customWidth="1"/>
    <col min="13580" max="13588" width="1.7109375" style="5" customWidth="1"/>
    <col min="13589" max="13589" width="0.28515625" style="5" customWidth="1"/>
    <col min="13590" max="13598" width="1.7109375" style="5" customWidth="1"/>
    <col min="13599" max="13599" width="0.28515625" style="5" customWidth="1"/>
    <col min="13600" max="13608" width="1.7109375" style="5" customWidth="1"/>
    <col min="13609" max="13609" width="0.28515625" style="5" customWidth="1"/>
    <col min="13610" max="13618" width="1.7109375" style="5" customWidth="1"/>
    <col min="13619" max="13619" width="0.28515625" style="5" customWidth="1"/>
    <col min="13620" max="13628" width="1.7109375" style="5" customWidth="1"/>
    <col min="13629" max="13629" width="0.28515625" style="5" customWidth="1"/>
    <col min="13630" max="13638" width="1.7109375" style="5" customWidth="1"/>
    <col min="13639" max="13639" width="0.28515625" style="5" customWidth="1"/>
    <col min="13640" max="13648" width="1.7109375" style="5" customWidth="1"/>
    <col min="13649" max="13824" width="9.140625" style="5"/>
    <col min="13825" max="13825" width="0.28515625" style="5" customWidth="1"/>
    <col min="13826" max="13834" width="1.7109375" style="5" customWidth="1"/>
    <col min="13835" max="13835" width="0.28515625" style="5" customWidth="1"/>
    <col min="13836" max="13844" width="1.7109375" style="5" customWidth="1"/>
    <col min="13845" max="13845" width="0.28515625" style="5" customWidth="1"/>
    <col min="13846" max="13854" width="1.7109375" style="5" customWidth="1"/>
    <col min="13855" max="13855" width="0.28515625" style="5" customWidth="1"/>
    <col min="13856" max="13864" width="1.7109375" style="5" customWidth="1"/>
    <col min="13865" max="13865" width="0.28515625" style="5" customWidth="1"/>
    <col min="13866" max="13874" width="1.7109375" style="5" customWidth="1"/>
    <col min="13875" max="13875" width="0.28515625" style="5" customWidth="1"/>
    <col min="13876" max="13884" width="1.7109375" style="5" customWidth="1"/>
    <col min="13885" max="13885" width="0.28515625" style="5" customWidth="1"/>
    <col min="13886" max="13894" width="1.7109375" style="5" customWidth="1"/>
    <col min="13895" max="13895" width="0.28515625" style="5" customWidth="1"/>
    <col min="13896" max="13904" width="1.7109375" style="5" customWidth="1"/>
    <col min="13905" max="14080" width="9.140625" style="5"/>
    <col min="14081" max="14081" width="0.28515625" style="5" customWidth="1"/>
    <col min="14082" max="14090" width="1.7109375" style="5" customWidth="1"/>
    <col min="14091" max="14091" width="0.28515625" style="5" customWidth="1"/>
    <col min="14092" max="14100" width="1.7109375" style="5" customWidth="1"/>
    <col min="14101" max="14101" width="0.28515625" style="5" customWidth="1"/>
    <col min="14102" max="14110" width="1.7109375" style="5" customWidth="1"/>
    <col min="14111" max="14111" width="0.28515625" style="5" customWidth="1"/>
    <col min="14112" max="14120" width="1.7109375" style="5" customWidth="1"/>
    <col min="14121" max="14121" width="0.28515625" style="5" customWidth="1"/>
    <col min="14122" max="14130" width="1.7109375" style="5" customWidth="1"/>
    <col min="14131" max="14131" width="0.28515625" style="5" customWidth="1"/>
    <col min="14132" max="14140" width="1.7109375" style="5" customWidth="1"/>
    <col min="14141" max="14141" width="0.28515625" style="5" customWidth="1"/>
    <col min="14142" max="14150" width="1.7109375" style="5" customWidth="1"/>
    <col min="14151" max="14151" width="0.28515625" style="5" customWidth="1"/>
    <col min="14152" max="14160" width="1.7109375" style="5" customWidth="1"/>
    <col min="14161" max="14336" width="9.140625" style="5"/>
    <col min="14337" max="14337" width="0.28515625" style="5" customWidth="1"/>
    <col min="14338" max="14346" width="1.7109375" style="5" customWidth="1"/>
    <col min="14347" max="14347" width="0.28515625" style="5" customWidth="1"/>
    <col min="14348" max="14356" width="1.7109375" style="5" customWidth="1"/>
    <col min="14357" max="14357" width="0.28515625" style="5" customWidth="1"/>
    <col min="14358" max="14366" width="1.7109375" style="5" customWidth="1"/>
    <col min="14367" max="14367" width="0.28515625" style="5" customWidth="1"/>
    <col min="14368" max="14376" width="1.7109375" style="5" customWidth="1"/>
    <col min="14377" max="14377" width="0.28515625" style="5" customWidth="1"/>
    <col min="14378" max="14386" width="1.7109375" style="5" customWidth="1"/>
    <col min="14387" max="14387" width="0.28515625" style="5" customWidth="1"/>
    <col min="14388" max="14396" width="1.7109375" style="5" customWidth="1"/>
    <col min="14397" max="14397" width="0.28515625" style="5" customWidth="1"/>
    <col min="14398" max="14406" width="1.7109375" style="5" customWidth="1"/>
    <col min="14407" max="14407" width="0.28515625" style="5" customWidth="1"/>
    <col min="14408" max="14416" width="1.7109375" style="5" customWidth="1"/>
    <col min="14417" max="14592" width="9.140625" style="5"/>
    <col min="14593" max="14593" width="0.28515625" style="5" customWidth="1"/>
    <col min="14594" max="14602" width="1.7109375" style="5" customWidth="1"/>
    <col min="14603" max="14603" width="0.28515625" style="5" customWidth="1"/>
    <col min="14604" max="14612" width="1.7109375" style="5" customWidth="1"/>
    <col min="14613" max="14613" width="0.28515625" style="5" customWidth="1"/>
    <col min="14614" max="14622" width="1.7109375" style="5" customWidth="1"/>
    <col min="14623" max="14623" width="0.28515625" style="5" customWidth="1"/>
    <col min="14624" max="14632" width="1.7109375" style="5" customWidth="1"/>
    <col min="14633" max="14633" width="0.28515625" style="5" customWidth="1"/>
    <col min="14634" max="14642" width="1.7109375" style="5" customWidth="1"/>
    <col min="14643" max="14643" width="0.28515625" style="5" customWidth="1"/>
    <col min="14644" max="14652" width="1.7109375" style="5" customWidth="1"/>
    <col min="14653" max="14653" width="0.28515625" style="5" customWidth="1"/>
    <col min="14654" max="14662" width="1.7109375" style="5" customWidth="1"/>
    <col min="14663" max="14663" width="0.28515625" style="5" customWidth="1"/>
    <col min="14664" max="14672" width="1.7109375" style="5" customWidth="1"/>
    <col min="14673" max="14848" width="9.140625" style="5"/>
    <col min="14849" max="14849" width="0.28515625" style="5" customWidth="1"/>
    <col min="14850" max="14858" width="1.7109375" style="5" customWidth="1"/>
    <col min="14859" max="14859" width="0.28515625" style="5" customWidth="1"/>
    <col min="14860" max="14868" width="1.7109375" style="5" customWidth="1"/>
    <col min="14869" max="14869" width="0.28515625" style="5" customWidth="1"/>
    <col min="14870" max="14878" width="1.7109375" style="5" customWidth="1"/>
    <col min="14879" max="14879" width="0.28515625" style="5" customWidth="1"/>
    <col min="14880" max="14888" width="1.7109375" style="5" customWidth="1"/>
    <col min="14889" max="14889" width="0.28515625" style="5" customWidth="1"/>
    <col min="14890" max="14898" width="1.7109375" style="5" customWidth="1"/>
    <col min="14899" max="14899" width="0.28515625" style="5" customWidth="1"/>
    <col min="14900" max="14908" width="1.7109375" style="5" customWidth="1"/>
    <col min="14909" max="14909" width="0.28515625" style="5" customWidth="1"/>
    <col min="14910" max="14918" width="1.7109375" style="5" customWidth="1"/>
    <col min="14919" max="14919" width="0.28515625" style="5" customWidth="1"/>
    <col min="14920" max="14928" width="1.7109375" style="5" customWidth="1"/>
    <col min="14929" max="15104" width="9.140625" style="5"/>
    <col min="15105" max="15105" width="0.28515625" style="5" customWidth="1"/>
    <col min="15106" max="15114" width="1.7109375" style="5" customWidth="1"/>
    <col min="15115" max="15115" width="0.28515625" style="5" customWidth="1"/>
    <col min="15116" max="15124" width="1.7109375" style="5" customWidth="1"/>
    <col min="15125" max="15125" width="0.28515625" style="5" customWidth="1"/>
    <col min="15126" max="15134" width="1.7109375" style="5" customWidth="1"/>
    <col min="15135" max="15135" width="0.28515625" style="5" customWidth="1"/>
    <col min="15136" max="15144" width="1.7109375" style="5" customWidth="1"/>
    <col min="15145" max="15145" width="0.28515625" style="5" customWidth="1"/>
    <col min="15146" max="15154" width="1.7109375" style="5" customWidth="1"/>
    <col min="15155" max="15155" width="0.28515625" style="5" customWidth="1"/>
    <col min="15156" max="15164" width="1.7109375" style="5" customWidth="1"/>
    <col min="15165" max="15165" width="0.28515625" style="5" customWidth="1"/>
    <col min="15166" max="15174" width="1.7109375" style="5" customWidth="1"/>
    <col min="15175" max="15175" width="0.28515625" style="5" customWidth="1"/>
    <col min="15176" max="15184" width="1.7109375" style="5" customWidth="1"/>
    <col min="15185" max="15360" width="9.140625" style="5"/>
    <col min="15361" max="15361" width="0.28515625" style="5" customWidth="1"/>
    <col min="15362" max="15370" width="1.7109375" style="5" customWidth="1"/>
    <col min="15371" max="15371" width="0.28515625" style="5" customWidth="1"/>
    <col min="15372" max="15380" width="1.7109375" style="5" customWidth="1"/>
    <col min="15381" max="15381" width="0.28515625" style="5" customWidth="1"/>
    <col min="15382" max="15390" width="1.7109375" style="5" customWidth="1"/>
    <col min="15391" max="15391" width="0.28515625" style="5" customWidth="1"/>
    <col min="15392" max="15400" width="1.7109375" style="5" customWidth="1"/>
    <col min="15401" max="15401" width="0.28515625" style="5" customWidth="1"/>
    <col min="15402" max="15410" width="1.7109375" style="5" customWidth="1"/>
    <col min="15411" max="15411" width="0.28515625" style="5" customWidth="1"/>
    <col min="15412" max="15420" width="1.7109375" style="5" customWidth="1"/>
    <col min="15421" max="15421" width="0.28515625" style="5" customWidth="1"/>
    <col min="15422" max="15430" width="1.7109375" style="5" customWidth="1"/>
    <col min="15431" max="15431" width="0.28515625" style="5" customWidth="1"/>
    <col min="15432" max="15440" width="1.7109375" style="5" customWidth="1"/>
    <col min="15441" max="15616" width="9.140625" style="5"/>
    <col min="15617" max="15617" width="0.28515625" style="5" customWidth="1"/>
    <col min="15618" max="15626" width="1.7109375" style="5" customWidth="1"/>
    <col min="15627" max="15627" width="0.28515625" style="5" customWidth="1"/>
    <col min="15628" max="15636" width="1.7109375" style="5" customWidth="1"/>
    <col min="15637" max="15637" width="0.28515625" style="5" customWidth="1"/>
    <col min="15638" max="15646" width="1.7109375" style="5" customWidth="1"/>
    <col min="15647" max="15647" width="0.28515625" style="5" customWidth="1"/>
    <col min="15648" max="15656" width="1.7109375" style="5" customWidth="1"/>
    <col min="15657" max="15657" width="0.28515625" style="5" customWidth="1"/>
    <col min="15658" max="15666" width="1.7109375" style="5" customWidth="1"/>
    <col min="15667" max="15667" width="0.28515625" style="5" customWidth="1"/>
    <col min="15668" max="15676" width="1.7109375" style="5" customWidth="1"/>
    <col min="15677" max="15677" width="0.28515625" style="5" customWidth="1"/>
    <col min="15678" max="15686" width="1.7109375" style="5" customWidth="1"/>
    <col min="15687" max="15687" width="0.28515625" style="5" customWidth="1"/>
    <col min="15688" max="15696" width="1.7109375" style="5" customWidth="1"/>
    <col min="15697" max="15872" width="9.140625" style="5"/>
    <col min="15873" max="15873" width="0.28515625" style="5" customWidth="1"/>
    <col min="15874" max="15882" width="1.7109375" style="5" customWidth="1"/>
    <col min="15883" max="15883" width="0.28515625" style="5" customWidth="1"/>
    <col min="15884" max="15892" width="1.7109375" style="5" customWidth="1"/>
    <col min="15893" max="15893" width="0.28515625" style="5" customWidth="1"/>
    <col min="15894" max="15902" width="1.7109375" style="5" customWidth="1"/>
    <col min="15903" max="15903" width="0.28515625" style="5" customWidth="1"/>
    <col min="15904" max="15912" width="1.7109375" style="5" customWidth="1"/>
    <col min="15913" max="15913" width="0.28515625" style="5" customWidth="1"/>
    <col min="15914" max="15922" width="1.7109375" style="5" customWidth="1"/>
    <col min="15923" max="15923" width="0.28515625" style="5" customWidth="1"/>
    <col min="15924" max="15932" width="1.7109375" style="5" customWidth="1"/>
    <col min="15933" max="15933" width="0.28515625" style="5" customWidth="1"/>
    <col min="15934" max="15942" width="1.7109375" style="5" customWidth="1"/>
    <col min="15943" max="15943" width="0.28515625" style="5" customWidth="1"/>
    <col min="15944" max="15952" width="1.7109375" style="5" customWidth="1"/>
    <col min="15953" max="16128" width="9.140625" style="5"/>
    <col min="16129" max="16129" width="0.28515625" style="5" customWidth="1"/>
    <col min="16130" max="16138" width="1.7109375" style="5" customWidth="1"/>
    <col min="16139" max="16139" width="0.28515625" style="5" customWidth="1"/>
    <col min="16140" max="16148" width="1.7109375" style="5" customWidth="1"/>
    <col min="16149" max="16149" width="0.28515625" style="5" customWidth="1"/>
    <col min="16150" max="16158" width="1.7109375" style="5" customWidth="1"/>
    <col min="16159" max="16159" width="0.28515625" style="5" customWidth="1"/>
    <col min="16160" max="16168" width="1.7109375" style="5" customWidth="1"/>
    <col min="16169" max="16169" width="0.28515625" style="5" customWidth="1"/>
    <col min="16170" max="16178" width="1.7109375" style="5" customWidth="1"/>
    <col min="16179" max="16179" width="0.28515625" style="5" customWidth="1"/>
    <col min="16180" max="16188" width="1.7109375" style="5" customWidth="1"/>
    <col min="16189" max="16189" width="0.28515625" style="5" customWidth="1"/>
    <col min="16190" max="16198" width="1.7109375" style="5" customWidth="1"/>
    <col min="16199" max="16199" width="0.28515625" style="5" customWidth="1"/>
    <col min="16200" max="16208" width="1.7109375" style="5" customWidth="1"/>
    <col min="16209" max="16384" width="9.140625" style="5"/>
  </cols>
  <sheetData>
    <row r="1" spans="1:73" ht="19.5" customHeight="1" x14ac:dyDescent="0.25">
      <c r="A1" s="484" t="s">
        <v>830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5"/>
      <c r="AD1" s="485"/>
      <c r="AE1" s="485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5"/>
      <c r="AT1" s="485"/>
      <c r="AU1" s="485"/>
      <c r="AV1" s="485"/>
      <c r="AW1" s="485"/>
      <c r="AX1" s="485"/>
      <c r="AY1" s="485"/>
      <c r="AZ1" s="485"/>
      <c r="BA1" s="485"/>
      <c r="BB1" s="485"/>
      <c r="BC1" s="485"/>
      <c r="BD1" s="485"/>
      <c r="BE1" s="485"/>
      <c r="BF1" s="485"/>
      <c r="BG1" s="485"/>
      <c r="BH1" s="485"/>
      <c r="BI1" s="485"/>
      <c r="BJ1" s="485"/>
      <c r="BK1" s="485"/>
      <c r="BL1" s="485"/>
      <c r="BM1" s="485"/>
      <c r="BN1" s="485"/>
      <c r="BO1" s="485"/>
      <c r="BP1" s="485"/>
      <c r="BQ1" s="485"/>
      <c r="BR1" s="486"/>
      <c r="BS1" s="4"/>
    </row>
    <row r="2" spans="1:73" ht="19.5" customHeight="1" x14ac:dyDescent="0.25">
      <c r="A2" s="485"/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485"/>
      <c r="R2" s="485"/>
      <c r="S2" s="485"/>
      <c r="T2" s="485"/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485"/>
      <c r="BP2" s="485"/>
      <c r="BQ2" s="485"/>
      <c r="BR2" s="486"/>
      <c r="BS2" s="6"/>
    </row>
    <row r="3" spans="1:73" ht="19.5" customHeight="1" x14ac:dyDescent="0.25">
      <c r="A3" s="485"/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485"/>
      <c r="U3" s="485"/>
      <c r="V3" s="485"/>
      <c r="W3" s="485"/>
      <c r="X3" s="485"/>
      <c r="Y3" s="485"/>
      <c r="Z3" s="485"/>
      <c r="AA3" s="485"/>
      <c r="AB3" s="485"/>
      <c r="AC3" s="485"/>
      <c r="AD3" s="485"/>
      <c r="AE3" s="485"/>
      <c r="AF3" s="485"/>
      <c r="AG3" s="485"/>
      <c r="AH3" s="485"/>
      <c r="AI3" s="485"/>
      <c r="AJ3" s="485"/>
      <c r="AK3" s="485"/>
      <c r="AL3" s="485"/>
      <c r="AM3" s="485"/>
      <c r="AN3" s="485"/>
      <c r="AO3" s="485"/>
      <c r="AP3" s="485"/>
      <c r="AQ3" s="485"/>
      <c r="AR3" s="485"/>
      <c r="AS3" s="485"/>
      <c r="AT3" s="485"/>
      <c r="AU3" s="485"/>
      <c r="AV3" s="485"/>
      <c r="AW3" s="485"/>
      <c r="AX3" s="485"/>
      <c r="AY3" s="485"/>
      <c r="AZ3" s="485"/>
      <c r="BA3" s="485"/>
      <c r="BB3" s="485"/>
      <c r="BC3" s="485"/>
      <c r="BD3" s="485"/>
      <c r="BE3" s="485"/>
      <c r="BF3" s="485"/>
      <c r="BG3" s="485"/>
      <c r="BH3" s="485"/>
      <c r="BI3" s="485"/>
      <c r="BJ3" s="485"/>
      <c r="BK3" s="485"/>
      <c r="BL3" s="485"/>
      <c r="BM3" s="485"/>
      <c r="BN3" s="485"/>
      <c r="BO3" s="485"/>
      <c r="BP3" s="485"/>
      <c r="BQ3" s="485"/>
      <c r="BR3" s="486"/>
      <c r="BS3" s="6"/>
    </row>
    <row r="4" spans="1:73" ht="19.5" customHeight="1" x14ac:dyDescent="0.25">
      <c r="A4" s="487"/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  <c r="U4" s="487"/>
      <c r="V4" s="487"/>
      <c r="W4" s="487"/>
      <c r="X4" s="487"/>
      <c r="Y4" s="487"/>
      <c r="Z4" s="487"/>
      <c r="AA4" s="487"/>
      <c r="AB4" s="487"/>
      <c r="AC4" s="487"/>
      <c r="AD4" s="487"/>
      <c r="AE4" s="487"/>
      <c r="AF4" s="487"/>
      <c r="AG4" s="487"/>
      <c r="AH4" s="487"/>
      <c r="AI4" s="487"/>
      <c r="AJ4" s="487"/>
      <c r="AK4" s="487"/>
      <c r="AL4" s="487"/>
      <c r="AM4" s="487"/>
      <c r="AN4" s="487"/>
      <c r="AO4" s="487"/>
      <c r="AP4" s="487"/>
      <c r="AQ4" s="487"/>
      <c r="AR4" s="487"/>
      <c r="AS4" s="487"/>
      <c r="AT4" s="487"/>
      <c r="AU4" s="487"/>
      <c r="AV4" s="487"/>
      <c r="AW4" s="487"/>
      <c r="AX4" s="487"/>
      <c r="AY4" s="487"/>
      <c r="AZ4" s="487"/>
      <c r="BA4" s="487"/>
      <c r="BB4" s="487"/>
      <c r="BC4" s="487"/>
      <c r="BD4" s="487"/>
      <c r="BE4" s="487"/>
      <c r="BF4" s="487"/>
      <c r="BG4" s="487"/>
      <c r="BH4" s="487"/>
      <c r="BI4" s="487"/>
      <c r="BJ4" s="487"/>
      <c r="BK4" s="487"/>
      <c r="BL4" s="487"/>
      <c r="BM4" s="487"/>
      <c r="BN4" s="487"/>
      <c r="BO4" s="487"/>
      <c r="BP4" s="487"/>
      <c r="BQ4" s="487"/>
      <c r="BR4" s="488"/>
      <c r="BS4" s="6"/>
    </row>
    <row r="5" spans="1:73" ht="18" customHeight="1" x14ac:dyDescent="0.25">
      <c r="A5" s="482">
        <v>1.4</v>
      </c>
      <c r="B5" s="483"/>
      <c r="C5" s="483"/>
      <c r="D5" s="483"/>
      <c r="E5" s="483"/>
      <c r="F5" s="483"/>
      <c r="G5" s="483"/>
      <c r="H5" s="483"/>
      <c r="I5" s="483"/>
      <c r="J5" s="483"/>
      <c r="K5" s="247"/>
      <c r="L5" s="480" t="s">
        <v>789</v>
      </c>
      <c r="M5" s="480"/>
      <c r="N5" s="480"/>
      <c r="O5" s="480"/>
      <c r="P5" s="480"/>
      <c r="Q5" s="480"/>
      <c r="R5" s="480"/>
      <c r="S5" s="480"/>
      <c r="T5" s="480"/>
      <c r="U5" s="480"/>
      <c r="V5" s="480"/>
      <c r="W5" s="480"/>
      <c r="X5" s="480"/>
      <c r="Y5" s="480"/>
      <c r="Z5" s="480"/>
      <c r="AA5" s="480"/>
      <c r="AB5" s="480"/>
      <c r="AC5" s="480"/>
      <c r="AD5" s="480"/>
      <c r="AE5" s="480"/>
      <c r="AF5" s="480"/>
      <c r="AG5" s="480"/>
      <c r="AH5" s="480"/>
      <c r="AI5" s="480"/>
      <c r="AJ5" s="480"/>
      <c r="AK5" s="480"/>
      <c r="AL5" s="480"/>
      <c r="AM5" s="480"/>
      <c r="AN5" s="480"/>
      <c r="AO5" s="480"/>
      <c r="AP5" s="480"/>
      <c r="AQ5" s="480"/>
      <c r="AR5" s="480"/>
      <c r="AS5" s="480"/>
      <c r="AT5" s="480"/>
      <c r="AU5" s="480"/>
      <c r="AV5" s="480"/>
      <c r="AW5" s="480"/>
      <c r="AX5" s="480"/>
      <c r="AY5" s="480"/>
      <c r="AZ5" s="480"/>
      <c r="BA5" s="480"/>
      <c r="BB5" s="480"/>
      <c r="BC5" s="480"/>
      <c r="BD5" s="480"/>
      <c r="BE5" s="480"/>
      <c r="BF5" s="480"/>
      <c r="BG5" s="480"/>
      <c r="BH5" s="480"/>
      <c r="BI5" s="480"/>
      <c r="BJ5" s="480"/>
      <c r="BK5" s="480"/>
      <c r="BL5" s="480"/>
      <c r="BM5" s="480"/>
      <c r="BN5" s="480"/>
      <c r="BO5" s="480"/>
      <c r="BP5" s="480"/>
      <c r="BQ5" s="480"/>
      <c r="BR5" s="481"/>
      <c r="BS5" s="6"/>
      <c r="BT5" s="7"/>
    </row>
    <row r="6" spans="1:73" ht="1.5" customHeight="1" x14ac:dyDescent="0.25">
      <c r="B6" s="8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9"/>
      <c r="AQ6" s="9"/>
      <c r="AR6" s="9"/>
      <c r="AS6" s="9"/>
      <c r="AT6" s="9"/>
      <c r="AU6" s="9"/>
      <c r="AV6" s="9"/>
      <c r="AW6" s="9"/>
      <c r="AX6" s="9"/>
      <c r="AY6" s="7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10"/>
      <c r="BS6" s="4"/>
      <c r="BU6" s="7"/>
    </row>
    <row r="7" spans="1:73" s="23" customFormat="1" ht="9" customHeight="1" x14ac:dyDescent="0.25">
      <c r="A7" s="26"/>
      <c r="B7" s="474" t="s">
        <v>223</v>
      </c>
      <c r="C7" s="475"/>
      <c r="D7" s="476"/>
      <c r="E7" s="477" t="s">
        <v>224</v>
      </c>
      <c r="F7" s="478"/>
      <c r="G7" s="478"/>
      <c r="H7" s="478"/>
      <c r="I7" s="478"/>
      <c r="J7" s="479"/>
      <c r="K7" s="87"/>
      <c r="L7" s="474" t="s">
        <v>225</v>
      </c>
      <c r="M7" s="475"/>
      <c r="N7" s="476"/>
      <c r="O7" s="477" t="s">
        <v>224</v>
      </c>
      <c r="P7" s="478"/>
      <c r="Q7" s="478"/>
      <c r="R7" s="478"/>
      <c r="S7" s="478"/>
      <c r="T7" s="479"/>
      <c r="U7" s="87"/>
      <c r="V7" s="474" t="s">
        <v>226</v>
      </c>
      <c r="W7" s="475"/>
      <c r="X7" s="476"/>
      <c r="Y7" s="477" t="s">
        <v>224</v>
      </c>
      <c r="Z7" s="478"/>
      <c r="AA7" s="478"/>
      <c r="AB7" s="478"/>
      <c r="AC7" s="478"/>
      <c r="AD7" s="479"/>
      <c r="AE7" s="88"/>
      <c r="AF7" s="474" t="s">
        <v>227</v>
      </c>
      <c r="AG7" s="475"/>
      <c r="AH7" s="476"/>
      <c r="AI7" s="477" t="s">
        <v>224</v>
      </c>
      <c r="AJ7" s="478"/>
      <c r="AK7" s="478"/>
      <c r="AL7" s="478"/>
      <c r="AM7" s="478"/>
      <c r="AN7" s="479"/>
      <c r="AO7" s="89"/>
      <c r="AP7" s="474" t="s">
        <v>228</v>
      </c>
      <c r="AQ7" s="475"/>
      <c r="AR7" s="476"/>
      <c r="AS7" s="477" t="s">
        <v>229</v>
      </c>
      <c r="AT7" s="478"/>
      <c r="AU7" s="478"/>
      <c r="AV7" s="478"/>
      <c r="AW7" s="478"/>
      <c r="AX7" s="479"/>
      <c r="AY7" s="87"/>
      <c r="AZ7" s="474" t="s">
        <v>230</v>
      </c>
      <c r="BA7" s="475"/>
      <c r="BB7" s="476"/>
      <c r="BC7" s="477" t="s">
        <v>229</v>
      </c>
      <c r="BD7" s="478"/>
      <c r="BE7" s="478"/>
      <c r="BF7" s="478"/>
      <c r="BG7" s="478"/>
      <c r="BH7" s="479"/>
      <c r="BI7" s="87"/>
      <c r="BJ7" s="474" t="s">
        <v>231</v>
      </c>
      <c r="BK7" s="475"/>
      <c r="BL7" s="476"/>
      <c r="BM7" s="477" t="s">
        <v>229</v>
      </c>
      <c r="BN7" s="478"/>
      <c r="BO7" s="478"/>
      <c r="BP7" s="478"/>
      <c r="BQ7" s="478"/>
      <c r="BR7" s="479"/>
      <c r="BS7" s="26"/>
      <c r="BT7" s="26"/>
    </row>
    <row r="8" spans="1:73" s="32" customFormat="1" ht="9" customHeight="1" x14ac:dyDescent="0.25">
      <c r="B8" s="489"/>
      <c r="C8" s="490"/>
      <c r="D8" s="490"/>
      <c r="E8" s="490"/>
      <c r="F8" s="490"/>
      <c r="G8" s="490"/>
      <c r="H8" s="490"/>
      <c r="I8" s="490"/>
      <c r="J8" s="491"/>
      <c r="K8" s="90"/>
      <c r="L8" s="489" t="s">
        <v>232</v>
      </c>
      <c r="M8" s="490"/>
      <c r="N8" s="490"/>
      <c r="O8" s="490"/>
      <c r="P8" s="490"/>
      <c r="Q8" s="490"/>
      <c r="R8" s="490"/>
      <c r="S8" s="490"/>
      <c r="T8" s="491"/>
      <c r="U8" s="91"/>
      <c r="V8" s="489" t="s">
        <v>233</v>
      </c>
      <c r="W8" s="490"/>
      <c r="X8" s="490"/>
      <c r="Y8" s="490"/>
      <c r="Z8" s="490"/>
      <c r="AA8" s="490"/>
      <c r="AB8" s="490"/>
      <c r="AC8" s="490"/>
      <c r="AD8" s="491"/>
      <c r="AE8" s="90"/>
      <c r="AF8" s="489" t="s">
        <v>234</v>
      </c>
      <c r="AG8" s="490"/>
      <c r="AH8" s="490"/>
      <c r="AI8" s="490"/>
      <c r="AJ8" s="490"/>
      <c r="AK8" s="490"/>
      <c r="AL8" s="490"/>
      <c r="AM8" s="490"/>
      <c r="AN8" s="491"/>
      <c r="AO8" s="91"/>
      <c r="AP8" s="489" t="s">
        <v>235</v>
      </c>
      <c r="AQ8" s="490"/>
      <c r="AR8" s="490"/>
      <c r="AS8" s="490"/>
      <c r="AT8" s="490"/>
      <c r="AU8" s="490"/>
      <c r="AV8" s="490"/>
      <c r="AW8" s="490"/>
      <c r="AX8" s="491"/>
      <c r="AY8" s="91"/>
      <c r="AZ8" s="489" t="s">
        <v>236</v>
      </c>
      <c r="BA8" s="490"/>
      <c r="BB8" s="490"/>
      <c r="BC8" s="490"/>
      <c r="BD8" s="490"/>
      <c r="BE8" s="490"/>
      <c r="BF8" s="490"/>
      <c r="BG8" s="490"/>
      <c r="BH8" s="491"/>
      <c r="BI8" s="91"/>
      <c r="BJ8" s="489" t="s">
        <v>237</v>
      </c>
      <c r="BK8" s="490"/>
      <c r="BL8" s="490"/>
      <c r="BM8" s="490"/>
      <c r="BN8" s="490"/>
      <c r="BO8" s="490"/>
      <c r="BP8" s="490"/>
      <c r="BQ8" s="490"/>
      <c r="BR8" s="491"/>
      <c r="BS8" s="34"/>
      <c r="BT8" s="34"/>
    </row>
    <row r="9" spans="1:73" s="23" customFormat="1" ht="9" customHeight="1" x14ac:dyDescent="0.25">
      <c r="A9" s="30"/>
      <c r="B9" s="87"/>
      <c r="C9" s="87"/>
      <c r="D9" s="87"/>
      <c r="E9" s="87"/>
      <c r="F9" s="87"/>
      <c r="G9" s="87"/>
      <c r="H9" s="87"/>
      <c r="I9" s="87"/>
      <c r="J9" s="89"/>
      <c r="K9" s="92"/>
      <c r="L9" s="87"/>
      <c r="M9" s="87"/>
      <c r="N9" s="87"/>
      <c r="O9" s="87"/>
      <c r="P9" s="87"/>
      <c r="Q9" s="87"/>
      <c r="R9" s="87"/>
      <c r="S9" s="87"/>
      <c r="T9" s="89"/>
      <c r="U9" s="89"/>
      <c r="V9" s="87"/>
      <c r="W9" s="87"/>
      <c r="X9" s="87"/>
      <c r="Y9" s="87"/>
      <c r="Z9" s="87"/>
      <c r="AA9" s="87"/>
      <c r="AB9" s="87"/>
      <c r="AC9" s="87"/>
      <c r="AD9" s="89"/>
      <c r="AE9" s="92"/>
      <c r="AF9" s="87"/>
      <c r="AG9" s="87"/>
      <c r="AH9" s="87"/>
      <c r="AI9" s="87"/>
      <c r="AJ9" s="87"/>
      <c r="AK9" s="87"/>
      <c r="AL9" s="87"/>
      <c r="AM9" s="87"/>
      <c r="AN9" s="89"/>
      <c r="AO9" s="89"/>
      <c r="AP9" s="87"/>
      <c r="AQ9" s="87"/>
      <c r="AR9" s="87"/>
      <c r="AS9" s="87"/>
      <c r="AT9" s="87"/>
      <c r="AU9" s="87"/>
      <c r="AV9" s="87"/>
      <c r="AW9" s="87"/>
      <c r="AX9" s="89"/>
      <c r="AY9" s="89"/>
      <c r="AZ9" s="87"/>
      <c r="BA9" s="87"/>
      <c r="BB9" s="87"/>
      <c r="BC9" s="87"/>
      <c r="BD9" s="87"/>
      <c r="BE9" s="87"/>
      <c r="BF9" s="87"/>
      <c r="BG9" s="87"/>
      <c r="BH9" s="89"/>
      <c r="BI9" s="89"/>
      <c r="BJ9" s="87"/>
      <c r="BK9" s="87"/>
      <c r="BL9" s="87"/>
      <c r="BM9" s="87"/>
      <c r="BN9" s="87"/>
      <c r="BO9" s="87"/>
      <c r="BP9" s="87"/>
      <c r="BQ9" s="87"/>
      <c r="BR9" s="89"/>
      <c r="BS9" s="26"/>
      <c r="BT9" s="26"/>
    </row>
    <row r="10" spans="1:73" s="23" customFormat="1" ht="9" customHeight="1" x14ac:dyDescent="0.25">
      <c r="A10" s="30"/>
      <c r="B10" s="87"/>
      <c r="C10" s="87"/>
      <c r="D10" s="87"/>
      <c r="E10" s="87"/>
      <c r="F10" s="87"/>
      <c r="G10" s="87"/>
      <c r="H10" s="87"/>
      <c r="I10" s="87"/>
      <c r="J10" s="89"/>
      <c r="K10" s="92"/>
      <c r="L10" s="87"/>
      <c r="M10" s="87"/>
      <c r="N10" s="87"/>
      <c r="O10" s="87"/>
      <c r="P10" s="87"/>
      <c r="Q10" s="87"/>
      <c r="R10" s="87"/>
      <c r="S10" s="87"/>
      <c r="T10" s="89"/>
      <c r="U10" s="89"/>
      <c r="V10" s="87"/>
      <c r="W10" s="87"/>
      <c r="X10" s="87"/>
      <c r="Y10" s="87"/>
      <c r="Z10" s="87"/>
      <c r="AA10" s="87"/>
      <c r="AB10" s="87"/>
      <c r="AC10" s="87"/>
      <c r="AD10" s="89"/>
      <c r="AE10" s="92"/>
      <c r="AF10" s="87"/>
      <c r="AG10" s="87"/>
      <c r="AH10" s="87"/>
      <c r="AI10" s="87"/>
      <c r="AJ10" s="87"/>
      <c r="AK10" s="87"/>
      <c r="AL10" s="87"/>
      <c r="AM10" s="87"/>
      <c r="AN10" s="89"/>
      <c r="AO10" s="89"/>
      <c r="AP10" s="87"/>
      <c r="AQ10" s="87"/>
      <c r="AR10" s="87"/>
      <c r="AS10" s="87"/>
      <c r="AT10" s="87"/>
      <c r="AU10" s="87"/>
      <c r="AV10" s="87"/>
      <c r="AW10" s="87"/>
      <c r="AX10" s="89"/>
      <c r="AY10" s="89"/>
      <c r="AZ10" s="87"/>
      <c r="BA10" s="87"/>
      <c r="BB10" s="87"/>
      <c r="BC10" s="87"/>
      <c r="BD10" s="87"/>
      <c r="BE10" s="87"/>
      <c r="BF10" s="87"/>
      <c r="BG10" s="87"/>
      <c r="BH10" s="89"/>
      <c r="BI10" s="89"/>
      <c r="BJ10" s="87"/>
      <c r="BK10" s="87"/>
      <c r="BL10" s="87"/>
      <c r="BM10" s="87"/>
      <c r="BN10" s="87"/>
      <c r="BO10" s="87"/>
      <c r="BP10" s="87"/>
      <c r="BQ10" s="87"/>
      <c r="BR10" s="89"/>
      <c r="BS10" s="26"/>
      <c r="BT10" s="26"/>
    </row>
    <row r="11" spans="1:73" s="23" customFormat="1" ht="9" customHeight="1" x14ac:dyDescent="0.25">
      <c r="A11" s="30"/>
      <c r="B11" s="87"/>
      <c r="C11" s="87"/>
      <c r="D11" s="87"/>
      <c r="E11" s="87"/>
      <c r="F11" s="87"/>
      <c r="G11" s="87"/>
      <c r="H11" s="87"/>
      <c r="I11" s="87"/>
      <c r="J11" s="89"/>
      <c r="K11" s="92"/>
      <c r="L11" s="87"/>
      <c r="M11" s="87"/>
      <c r="N11" s="87"/>
      <c r="O11" s="87"/>
      <c r="P11" s="87"/>
      <c r="Q11" s="87"/>
      <c r="R11" s="87"/>
      <c r="S11" s="87"/>
      <c r="T11" s="89"/>
      <c r="U11" s="89"/>
      <c r="V11" s="87"/>
      <c r="W11" s="87"/>
      <c r="X11" s="87"/>
      <c r="Y11" s="87"/>
      <c r="Z11" s="87"/>
      <c r="AA11" s="87"/>
      <c r="AB11" s="87"/>
      <c r="AC11" s="87"/>
      <c r="AD11" s="89"/>
      <c r="AE11" s="92"/>
      <c r="AF11" s="87"/>
      <c r="AG11" s="87"/>
      <c r="AH11" s="87"/>
      <c r="AI11" s="87"/>
      <c r="AJ11" s="87"/>
      <c r="AK11" s="87"/>
      <c r="AL11" s="87"/>
      <c r="AM11" s="87"/>
      <c r="AN11" s="89"/>
      <c r="AO11" s="89"/>
      <c r="AP11" s="87"/>
      <c r="AQ11" s="87"/>
      <c r="AR11" s="87"/>
      <c r="AS11" s="87"/>
      <c r="AT11" s="87"/>
      <c r="AU11" s="87"/>
      <c r="AV11" s="87"/>
      <c r="AW11" s="87"/>
      <c r="AX11" s="89"/>
      <c r="AY11" s="89"/>
      <c r="AZ11" s="87"/>
      <c r="BA11" s="87"/>
      <c r="BB11" s="87"/>
      <c r="BC11" s="87"/>
      <c r="BD11" s="87"/>
      <c r="BE11" s="87"/>
      <c r="BF11" s="87"/>
      <c r="BG11" s="87"/>
      <c r="BH11" s="89"/>
      <c r="BI11" s="89"/>
      <c r="BJ11" s="87"/>
      <c r="BK11" s="87"/>
      <c r="BL11" s="87"/>
      <c r="BM11" s="87"/>
      <c r="BN11" s="87"/>
      <c r="BO11" s="87"/>
      <c r="BP11" s="87"/>
      <c r="BQ11" s="87"/>
      <c r="BR11" s="89"/>
      <c r="BS11" s="26"/>
      <c r="BT11" s="26"/>
    </row>
    <row r="12" spans="1:73" s="23" customFormat="1" ht="9" customHeight="1" x14ac:dyDescent="0.25">
      <c r="A12" s="30"/>
      <c r="B12" s="87"/>
      <c r="C12" s="87"/>
      <c r="D12" s="87"/>
      <c r="E12" s="87"/>
      <c r="F12" s="87"/>
      <c r="G12" s="87"/>
      <c r="H12" s="87"/>
      <c r="I12" s="87"/>
      <c r="J12" s="89"/>
      <c r="K12" s="92"/>
      <c r="L12" s="87"/>
      <c r="M12" s="87"/>
      <c r="N12" s="87"/>
      <c r="O12" s="87"/>
      <c r="P12" s="87"/>
      <c r="Q12" s="87"/>
      <c r="R12" s="87"/>
      <c r="S12" s="87"/>
      <c r="T12" s="89"/>
      <c r="U12" s="89"/>
      <c r="V12" s="87"/>
      <c r="W12" s="87"/>
      <c r="X12" s="87"/>
      <c r="Y12" s="87"/>
      <c r="Z12" s="87"/>
      <c r="AA12" s="87"/>
      <c r="AB12" s="87"/>
      <c r="AC12" s="87"/>
      <c r="AD12" s="89"/>
      <c r="AE12" s="92"/>
      <c r="AF12" s="87"/>
      <c r="AG12" s="87"/>
      <c r="AH12" s="87"/>
      <c r="AI12" s="87"/>
      <c r="AJ12" s="87"/>
      <c r="AK12" s="87"/>
      <c r="AL12" s="87"/>
      <c r="AM12" s="87"/>
      <c r="AN12" s="89"/>
      <c r="AO12" s="89"/>
      <c r="AP12" s="87"/>
      <c r="AQ12" s="87"/>
      <c r="AR12" s="87"/>
      <c r="AS12" s="87"/>
      <c r="AT12" s="87"/>
      <c r="AU12" s="87"/>
      <c r="AV12" s="87"/>
      <c r="AW12" s="87"/>
      <c r="AX12" s="89"/>
      <c r="AY12" s="89"/>
      <c r="AZ12" s="87"/>
      <c r="BA12" s="87"/>
      <c r="BB12" s="87"/>
      <c r="BC12" s="87"/>
      <c r="BD12" s="87"/>
      <c r="BE12" s="87"/>
      <c r="BF12" s="87"/>
      <c r="BG12" s="87"/>
      <c r="BH12" s="89"/>
      <c r="BI12" s="89"/>
      <c r="BJ12" s="87"/>
      <c r="BK12" s="87"/>
      <c r="BL12" s="87"/>
      <c r="BM12" s="87"/>
      <c r="BN12" s="87"/>
      <c r="BO12" s="87"/>
      <c r="BP12" s="87"/>
      <c r="BQ12" s="87"/>
      <c r="BR12" s="89"/>
      <c r="BS12" s="26"/>
      <c r="BT12" s="26"/>
    </row>
    <row r="13" spans="1:73" s="23" customFormat="1" ht="9" customHeight="1" x14ac:dyDescent="0.25">
      <c r="A13" s="30"/>
      <c r="B13" s="87"/>
      <c r="C13" s="87"/>
      <c r="D13" s="87"/>
      <c r="E13" s="87"/>
      <c r="F13" s="87"/>
      <c r="G13" s="87"/>
      <c r="H13" s="87"/>
      <c r="I13" s="87"/>
      <c r="J13" s="89"/>
      <c r="K13" s="92"/>
      <c r="L13" s="87"/>
      <c r="M13" s="87"/>
      <c r="N13" s="87"/>
      <c r="O13" s="87"/>
      <c r="P13" s="87"/>
      <c r="Q13" s="87"/>
      <c r="R13" s="87"/>
      <c r="S13" s="87"/>
      <c r="T13" s="89"/>
      <c r="U13" s="89"/>
      <c r="V13" s="87"/>
      <c r="W13" s="87"/>
      <c r="X13" s="87"/>
      <c r="Y13" s="87"/>
      <c r="Z13" s="87"/>
      <c r="AA13" s="87"/>
      <c r="AB13" s="87"/>
      <c r="AC13" s="87"/>
      <c r="AD13" s="89"/>
      <c r="AE13" s="92"/>
      <c r="AF13" s="87"/>
      <c r="AG13" s="87"/>
      <c r="AH13" s="87"/>
      <c r="AI13" s="87"/>
      <c r="AJ13" s="87"/>
      <c r="AK13" s="87"/>
      <c r="AL13" s="87"/>
      <c r="AM13" s="87"/>
      <c r="AN13" s="89"/>
      <c r="AO13" s="89"/>
      <c r="AP13" s="87"/>
      <c r="AQ13" s="87"/>
      <c r="AR13" s="87"/>
      <c r="AS13" s="87"/>
      <c r="AT13" s="87"/>
      <c r="AU13" s="87"/>
      <c r="AV13" s="87"/>
      <c r="AW13" s="87"/>
      <c r="AX13" s="89"/>
      <c r="AY13" s="89"/>
      <c r="AZ13" s="87"/>
      <c r="BA13" s="87"/>
      <c r="BB13" s="87"/>
      <c r="BC13" s="87"/>
      <c r="BD13" s="87"/>
      <c r="BE13" s="87"/>
      <c r="BF13" s="87"/>
      <c r="BG13" s="87"/>
      <c r="BH13" s="89"/>
      <c r="BI13" s="89"/>
      <c r="BJ13" s="87"/>
      <c r="BK13" s="87"/>
      <c r="BL13" s="87"/>
      <c r="BM13" s="87"/>
      <c r="BN13" s="87"/>
      <c r="BO13" s="87"/>
      <c r="BP13" s="87"/>
      <c r="BQ13" s="87"/>
      <c r="BR13" s="89"/>
      <c r="BS13" s="26"/>
      <c r="BT13" s="26"/>
    </row>
    <row r="14" spans="1:73" s="23" customFormat="1" ht="9" customHeight="1" x14ac:dyDescent="0.25">
      <c r="A14" s="30"/>
      <c r="B14" s="87"/>
      <c r="C14" s="87"/>
      <c r="D14" s="87"/>
      <c r="E14" s="87"/>
      <c r="F14" s="87"/>
      <c r="G14" s="87"/>
      <c r="H14" s="87"/>
      <c r="I14" s="87"/>
      <c r="J14" s="89"/>
      <c r="K14" s="92"/>
      <c r="L14" s="87"/>
      <c r="M14" s="87"/>
      <c r="N14" s="87"/>
      <c r="O14" s="87"/>
      <c r="P14" s="87"/>
      <c r="Q14" s="87"/>
      <c r="R14" s="87"/>
      <c r="S14" s="87"/>
      <c r="T14" s="89"/>
      <c r="U14" s="89"/>
      <c r="V14" s="87"/>
      <c r="W14" s="87"/>
      <c r="X14" s="87"/>
      <c r="Y14" s="87"/>
      <c r="Z14" s="87"/>
      <c r="AA14" s="87"/>
      <c r="AB14" s="87"/>
      <c r="AC14" s="87"/>
      <c r="AD14" s="89"/>
      <c r="AE14" s="92"/>
      <c r="AF14" s="87"/>
      <c r="AG14" s="87"/>
      <c r="AH14" s="87"/>
      <c r="AI14" s="87"/>
      <c r="AJ14" s="87"/>
      <c r="AK14" s="87"/>
      <c r="AL14" s="87"/>
      <c r="AM14" s="87"/>
      <c r="AN14" s="89"/>
      <c r="AO14" s="89"/>
      <c r="AP14" s="87"/>
      <c r="AQ14" s="87"/>
      <c r="AR14" s="87"/>
      <c r="AS14" s="87"/>
      <c r="AT14" s="87"/>
      <c r="AU14" s="87"/>
      <c r="AV14" s="87"/>
      <c r="AW14" s="87"/>
      <c r="AX14" s="89"/>
      <c r="AY14" s="89"/>
      <c r="AZ14" s="87"/>
      <c r="BA14" s="87"/>
      <c r="BB14" s="87"/>
      <c r="BC14" s="87"/>
      <c r="BD14" s="87"/>
      <c r="BE14" s="87"/>
      <c r="BF14" s="87"/>
      <c r="BG14" s="87"/>
      <c r="BH14" s="89"/>
      <c r="BI14" s="89"/>
      <c r="BJ14" s="87"/>
      <c r="BK14" s="87"/>
      <c r="BL14" s="87"/>
      <c r="BM14" s="87"/>
      <c r="BN14" s="87"/>
      <c r="BO14" s="87"/>
      <c r="BP14" s="87"/>
      <c r="BQ14" s="87"/>
      <c r="BR14" s="89"/>
      <c r="BS14" s="26"/>
      <c r="BT14" s="26"/>
    </row>
    <row r="15" spans="1:73" s="23" customFormat="1" ht="9" customHeight="1" x14ac:dyDescent="0.25">
      <c r="A15" s="30"/>
      <c r="B15" s="87"/>
      <c r="C15" s="87"/>
      <c r="D15" s="87"/>
      <c r="E15" s="87"/>
      <c r="F15" s="87"/>
      <c r="G15" s="87"/>
      <c r="H15" s="87"/>
      <c r="I15" s="87"/>
      <c r="J15" s="89"/>
      <c r="K15" s="92"/>
      <c r="L15" s="87"/>
      <c r="M15" s="87"/>
      <c r="N15" s="87"/>
      <c r="O15" s="87"/>
      <c r="P15" s="87"/>
      <c r="Q15" s="87"/>
      <c r="R15" s="87"/>
      <c r="S15" s="87"/>
      <c r="T15" s="89"/>
      <c r="U15" s="89"/>
      <c r="V15" s="87"/>
      <c r="W15" s="87"/>
      <c r="X15" s="87"/>
      <c r="Y15" s="87"/>
      <c r="Z15" s="87"/>
      <c r="AA15" s="87"/>
      <c r="AB15" s="87"/>
      <c r="AC15" s="87"/>
      <c r="AD15" s="89"/>
      <c r="AE15" s="92"/>
      <c r="AF15" s="87"/>
      <c r="AG15" s="87"/>
      <c r="AH15" s="87"/>
      <c r="AI15" s="87"/>
      <c r="AJ15" s="87"/>
      <c r="AK15" s="87"/>
      <c r="AL15" s="87"/>
      <c r="AM15" s="87"/>
      <c r="AN15" s="89"/>
      <c r="AO15" s="89"/>
      <c r="AP15" s="87"/>
      <c r="AQ15" s="87"/>
      <c r="AR15" s="87"/>
      <c r="AS15" s="87"/>
      <c r="AT15" s="87"/>
      <c r="AU15" s="87"/>
      <c r="AV15" s="87"/>
      <c r="AW15" s="87"/>
      <c r="AX15" s="89"/>
      <c r="AY15" s="89"/>
      <c r="AZ15" s="87"/>
      <c r="BA15" s="87"/>
      <c r="BB15" s="87"/>
      <c r="BC15" s="87"/>
      <c r="BD15" s="87"/>
      <c r="BE15" s="87"/>
      <c r="BF15" s="87"/>
      <c r="BG15" s="87"/>
      <c r="BH15" s="89"/>
      <c r="BI15" s="89"/>
      <c r="BJ15" s="87"/>
      <c r="BK15" s="87"/>
      <c r="BL15" s="87"/>
      <c r="BM15" s="87"/>
      <c r="BN15" s="87"/>
      <c r="BO15" s="87"/>
      <c r="BP15" s="87"/>
      <c r="BQ15" s="87"/>
      <c r="BR15" s="89"/>
      <c r="BS15" s="26"/>
      <c r="BT15" s="26"/>
    </row>
    <row r="16" spans="1:73" s="23" customFormat="1" ht="9" customHeight="1" x14ac:dyDescent="0.25">
      <c r="A16" s="30"/>
      <c r="B16" s="87"/>
      <c r="C16" s="87"/>
      <c r="D16" s="87"/>
      <c r="E16" s="87"/>
      <c r="F16" s="87"/>
      <c r="G16" s="87"/>
      <c r="H16" s="87"/>
      <c r="I16" s="87"/>
      <c r="J16" s="89"/>
      <c r="K16" s="92"/>
      <c r="L16" s="87"/>
      <c r="M16" s="87"/>
      <c r="N16" s="87"/>
      <c r="O16" s="87"/>
      <c r="P16" s="87"/>
      <c r="Q16" s="87"/>
      <c r="R16" s="87"/>
      <c r="S16" s="87"/>
      <c r="T16" s="89"/>
      <c r="U16" s="89"/>
      <c r="V16" s="87"/>
      <c r="W16" s="87"/>
      <c r="X16" s="87"/>
      <c r="Y16" s="87"/>
      <c r="Z16" s="87"/>
      <c r="AA16" s="87"/>
      <c r="AB16" s="87"/>
      <c r="AC16" s="87"/>
      <c r="AD16" s="89"/>
      <c r="AE16" s="92"/>
      <c r="AF16" s="87"/>
      <c r="AG16" s="87"/>
      <c r="AH16" s="87"/>
      <c r="AI16" s="87"/>
      <c r="AJ16" s="87"/>
      <c r="AK16" s="87"/>
      <c r="AL16" s="87"/>
      <c r="AM16" s="87"/>
      <c r="AN16" s="89"/>
      <c r="AO16" s="89"/>
      <c r="AP16" s="87"/>
      <c r="AQ16" s="87"/>
      <c r="AR16" s="87"/>
      <c r="AS16" s="87"/>
      <c r="AT16" s="87"/>
      <c r="AU16" s="87"/>
      <c r="AV16" s="87"/>
      <c r="AW16" s="87"/>
      <c r="AX16" s="89"/>
      <c r="AY16" s="89"/>
      <c r="AZ16" s="87"/>
      <c r="BA16" s="87"/>
      <c r="BB16" s="87"/>
      <c r="BC16" s="87"/>
      <c r="BD16" s="87"/>
      <c r="BE16" s="87"/>
      <c r="BF16" s="87"/>
      <c r="BG16" s="87"/>
      <c r="BH16" s="89"/>
      <c r="BI16" s="89"/>
      <c r="BJ16" s="87"/>
      <c r="BK16" s="87"/>
      <c r="BL16" s="87"/>
      <c r="BM16" s="87"/>
      <c r="BN16" s="87"/>
      <c r="BO16" s="87"/>
      <c r="BP16" s="87"/>
      <c r="BQ16" s="87"/>
      <c r="BR16" s="89"/>
      <c r="BS16" s="26"/>
      <c r="BT16" s="26"/>
    </row>
    <row r="17" spans="1:72" s="23" customFormat="1" ht="9.75" customHeight="1" x14ac:dyDescent="0.25">
      <c r="A17" s="30"/>
      <c r="B17" s="87"/>
      <c r="C17" s="87"/>
      <c r="D17" s="87"/>
      <c r="E17" s="87"/>
      <c r="F17" s="87"/>
      <c r="G17" s="87"/>
      <c r="H17" s="87"/>
      <c r="I17" s="87"/>
      <c r="J17" s="89"/>
      <c r="K17" s="92"/>
      <c r="L17" s="87"/>
      <c r="M17" s="87"/>
      <c r="N17" s="87"/>
      <c r="O17" s="87"/>
      <c r="P17" s="87"/>
      <c r="Q17" s="87"/>
      <c r="R17" s="87"/>
      <c r="S17" s="87"/>
      <c r="T17" s="89"/>
      <c r="U17" s="89"/>
      <c r="V17" s="87"/>
      <c r="W17" s="87"/>
      <c r="X17" s="87"/>
      <c r="Y17" s="87"/>
      <c r="Z17" s="87"/>
      <c r="AA17" s="87"/>
      <c r="AB17" s="87"/>
      <c r="AC17" s="87"/>
      <c r="AD17" s="89"/>
      <c r="AE17" s="92"/>
      <c r="AF17" s="87"/>
      <c r="AG17" s="87"/>
      <c r="AH17" s="87"/>
      <c r="AI17" s="87"/>
      <c r="AJ17" s="87"/>
      <c r="AK17" s="87"/>
      <c r="AL17" s="87"/>
      <c r="AM17" s="87"/>
      <c r="AN17" s="89"/>
      <c r="AO17" s="89"/>
      <c r="AP17" s="87"/>
      <c r="AQ17" s="87"/>
      <c r="AR17" s="87"/>
      <c r="AS17" s="87"/>
      <c r="AT17" s="87"/>
      <c r="AU17" s="87"/>
      <c r="AV17" s="87"/>
      <c r="AW17" s="87"/>
      <c r="AX17" s="89"/>
      <c r="AY17" s="89"/>
      <c r="AZ17" s="87"/>
      <c r="BA17" s="87"/>
      <c r="BB17" s="87"/>
      <c r="BC17" s="87"/>
      <c r="BD17" s="87"/>
      <c r="BE17" s="87"/>
      <c r="BF17" s="87"/>
      <c r="BG17" s="87"/>
      <c r="BH17" s="89"/>
      <c r="BI17" s="89"/>
      <c r="BJ17" s="87"/>
      <c r="BK17" s="87"/>
      <c r="BL17" s="87"/>
      <c r="BM17" s="87"/>
      <c r="BN17" s="87"/>
      <c r="BO17" s="87"/>
      <c r="BP17" s="87"/>
      <c r="BQ17" s="87"/>
      <c r="BR17" s="89"/>
      <c r="BS17" s="26"/>
      <c r="BT17" s="26"/>
    </row>
    <row r="18" spans="1:72" s="23" customFormat="1" ht="9" customHeight="1" x14ac:dyDescent="0.25">
      <c r="B18" s="494" t="s">
        <v>300</v>
      </c>
      <c r="C18" s="494"/>
      <c r="D18" s="494"/>
      <c r="E18" s="494"/>
      <c r="F18" s="494"/>
      <c r="G18" s="493">
        <f>CEILING(1360*A5,1)</f>
        <v>1904</v>
      </c>
      <c r="H18" s="493"/>
      <c r="I18" s="493"/>
      <c r="J18" s="493"/>
      <c r="K18" s="180"/>
      <c r="L18" s="194"/>
      <c r="M18" s="199"/>
      <c r="N18" s="199"/>
      <c r="O18" s="199"/>
      <c r="P18" s="199"/>
      <c r="Q18" s="199"/>
      <c r="R18" s="199"/>
      <c r="S18" s="199"/>
      <c r="T18" s="200"/>
      <c r="U18" s="181"/>
      <c r="V18" s="182"/>
      <c r="W18" s="182"/>
      <c r="X18" s="182"/>
      <c r="Y18" s="182"/>
      <c r="Z18" s="182"/>
      <c r="AA18" s="182"/>
      <c r="AB18" s="182"/>
      <c r="AC18" s="182"/>
      <c r="AD18" s="181"/>
      <c r="AE18" s="183"/>
      <c r="AF18" s="182"/>
      <c r="AG18" s="182"/>
      <c r="AH18" s="182"/>
      <c r="AI18" s="182"/>
      <c r="AJ18" s="182"/>
      <c r="AK18" s="182"/>
      <c r="AL18" s="182"/>
      <c r="AM18" s="182"/>
      <c r="AN18" s="181"/>
      <c r="AO18" s="181"/>
      <c r="AP18" s="194"/>
      <c r="AQ18" s="199"/>
      <c r="AR18" s="199"/>
      <c r="AS18" s="199"/>
      <c r="AT18" s="199"/>
      <c r="AU18" s="199"/>
      <c r="AV18" s="199"/>
      <c r="AW18" s="199"/>
      <c r="AX18" s="200"/>
      <c r="AY18" s="181"/>
      <c r="AZ18" s="194"/>
      <c r="BA18" s="199"/>
      <c r="BB18" s="199"/>
      <c r="BC18" s="199"/>
      <c r="BD18" s="199"/>
      <c r="BE18" s="199"/>
      <c r="BF18" s="199"/>
      <c r="BG18" s="199"/>
      <c r="BH18" s="200"/>
      <c r="BI18" s="181"/>
      <c r="BJ18" s="194"/>
      <c r="BK18" s="199"/>
      <c r="BL18" s="199"/>
      <c r="BM18" s="199"/>
      <c r="BN18" s="199"/>
      <c r="BO18" s="199"/>
      <c r="BP18" s="199"/>
      <c r="BQ18" s="199"/>
      <c r="BR18" s="200"/>
      <c r="BS18" s="26"/>
      <c r="BT18" s="26"/>
    </row>
    <row r="19" spans="1:72" s="23" customFormat="1" ht="9" customHeight="1" x14ac:dyDescent="0.25">
      <c r="B19" s="494" t="s">
        <v>238</v>
      </c>
      <c r="C19" s="494"/>
      <c r="D19" s="494"/>
      <c r="E19" s="494"/>
      <c r="F19" s="494"/>
      <c r="G19" s="493">
        <f>CEILING(1540*A5,1)</f>
        <v>2156</v>
      </c>
      <c r="H19" s="493"/>
      <c r="I19" s="493"/>
      <c r="J19" s="493"/>
      <c r="K19" s="184"/>
      <c r="L19" s="492" t="s">
        <v>238</v>
      </c>
      <c r="M19" s="492"/>
      <c r="N19" s="492"/>
      <c r="O19" s="492"/>
      <c r="P19" s="492"/>
      <c r="Q19" s="493">
        <f>CEILING(2235*A5,1)</f>
        <v>3129</v>
      </c>
      <c r="R19" s="493"/>
      <c r="S19" s="493"/>
      <c r="T19" s="493"/>
      <c r="U19" s="181"/>
      <c r="V19" s="185"/>
      <c r="W19" s="185"/>
      <c r="X19" s="185"/>
      <c r="Y19" s="185"/>
      <c r="Z19" s="185"/>
      <c r="AA19" s="185"/>
      <c r="AB19" s="185"/>
      <c r="AC19" s="185"/>
      <c r="AD19" s="186"/>
      <c r="AE19" s="187"/>
      <c r="AF19" s="185"/>
      <c r="AG19" s="185"/>
      <c r="AH19" s="185"/>
      <c r="AI19" s="185"/>
      <c r="AJ19" s="185"/>
      <c r="AK19" s="185"/>
      <c r="AL19" s="185"/>
      <c r="AM19" s="185"/>
      <c r="AN19" s="186"/>
      <c r="AO19" s="185"/>
      <c r="AP19" s="492" t="s">
        <v>238</v>
      </c>
      <c r="AQ19" s="492"/>
      <c r="AR19" s="492"/>
      <c r="AS19" s="492"/>
      <c r="AT19" s="492"/>
      <c r="AU19" s="493">
        <f>CEILING(2319*A5,1)</f>
        <v>3247</v>
      </c>
      <c r="AV19" s="493"/>
      <c r="AW19" s="493"/>
      <c r="AX19" s="493"/>
      <c r="AY19" s="224"/>
      <c r="AZ19" s="492" t="s">
        <v>238</v>
      </c>
      <c r="BA19" s="492"/>
      <c r="BB19" s="492"/>
      <c r="BC19" s="492"/>
      <c r="BD19" s="492"/>
      <c r="BE19" s="493">
        <f>CEILING(3108*A5,1)</f>
        <v>4352</v>
      </c>
      <c r="BF19" s="493"/>
      <c r="BG19" s="493"/>
      <c r="BH19" s="493"/>
      <c r="BI19" s="224"/>
      <c r="BJ19" s="492" t="s">
        <v>238</v>
      </c>
      <c r="BK19" s="492"/>
      <c r="BL19" s="492"/>
      <c r="BM19" s="492"/>
      <c r="BN19" s="492"/>
      <c r="BO19" s="493">
        <f>CEILING(2861*A5,1)</f>
        <v>4006</v>
      </c>
      <c r="BP19" s="493"/>
      <c r="BQ19" s="493"/>
      <c r="BR19" s="493"/>
      <c r="BS19" s="26"/>
      <c r="BT19" s="26"/>
    </row>
    <row r="20" spans="1:72" s="23" customFormat="1" ht="9" customHeight="1" x14ac:dyDescent="0.25">
      <c r="B20" s="495" t="s">
        <v>239</v>
      </c>
      <c r="C20" s="496"/>
      <c r="D20" s="496"/>
      <c r="E20" s="496"/>
      <c r="F20" s="497"/>
      <c r="G20" s="498">
        <f>CEILING(1715*A5,1)</f>
        <v>2401</v>
      </c>
      <c r="H20" s="499"/>
      <c r="I20" s="499"/>
      <c r="J20" s="500"/>
      <c r="K20" s="230"/>
      <c r="L20" s="501" t="s">
        <v>239</v>
      </c>
      <c r="M20" s="502"/>
      <c r="N20" s="502"/>
      <c r="O20" s="502"/>
      <c r="P20" s="503"/>
      <c r="Q20" s="498">
        <f>CEILING(2423*A5,1)</f>
        <v>3393</v>
      </c>
      <c r="R20" s="499"/>
      <c r="S20" s="499"/>
      <c r="T20" s="500"/>
      <c r="U20" s="181"/>
      <c r="V20" s="182"/>
      <c r="W20" s="182"/>
      <c r="X20" s="182"/>
      <c r="Y20" s="182"/>
      <c r="Z20" s="182"/>
      <c r="AA20" s="182"/>
      <c r="AB20" s="182"/>
      <c r="AC20" s="182"/>
      <c r="AD20" s="181"/>
      <c r="AE20" s="183"/>
      <c r="AF20" s="182"/>
      <c r="AG20" s="182"/>
      <c r="AH20" s="182"/>
      <c r="AI20" s="182"/>
      <c r="AJ20" s="182"/>
      <c r="AK20" s="182"/>
      <c r="AL20" s="182"/>
      <c r="AM20" s="182"/>
      <c r="AN20" s="181"/>
      <c r="AO20" s="199"/>
      <c r="AP20" s="492" t="s">
        <v>239</v>
      </c>
      <c r="AQ20" s="492"/>
      <c r="AR20" s="492"/>
      <c r="AS20" s="492"/>
      <c r="AT20" s="492"/>
      <c r="AU20" s="493">
        <f>CEILING(2482*A5,1)</f>
        <v>3475</v>
      </c>
      <c r="AV20" s="493"/>
      <c r="AW20" s="493"/>
      <c r="AX20" s="493"/>
      <c r="AY20" s="224"/>
      <c r="AZ20" s="492" t="s">
        <v>239</v>
      </c>
      <c r="BA20" s="492"/>
      <c r="BB20" s="492"/>
      <c r="BC20" s="492"/>
      <c r="BD20" s="492"/>
      <c r="BE20" s="493">
        <f>CEILING(3310*A5,1)</f>
        <v>4634</v>
      </c>
      <c r="BF20" s="493"/>
      <c r="BG20" s="493"/>
      <c r="BH20" s="493"/>
      <c r="BI20" s="224"/>
      <c r="BJ20" s="492" t="s">
        <v>239</v>
      </c>
      <c r="BK20" s="492"/>
      <c r="BL20" s="492"/>
      <c r="BM20" s="492"/>
      <c r="BN20" s="492"/>
      <c r="BO20" s="493">
        <f>CEILING(3074*A5,1)</f>
        <v>4304</v>
      </c>
      <c r="BP20" s="493"/>
      <c r="BQ20" s="493"/>
      <c r="BR20" s="493"/>
      <c r="BS20" s="26"/>
      <c r="BT20" s="26"/>
    </row>
    <row r="21" spans="1:72" s="23" customFormat="1" ht="9" customHeight="1" x14ac:dyDescent="0.25">
      <c r="B21" s="494" t="s">
        <v>240</v>
      </c>
      <c r="C21" s="494"/>
      <c r="D21" s="494"/>
      <c r="E21" s="494"/>
      <c r="F21" s="494"/>
      <c r="G21" s="493">
        <f>CEILING(1893*A5,1)</f>
        <v>2651</v>
      </c>
      <c r="H21" s="493"/>
      <c r="I21" s="493"/>
      <c r="J21" s="493"/>
      <c r="K21" s="222"/>
      <c r="L21" s="492" t="s">
        <v>240</v>
      </c>
      <c r="M21" s="492"/>
      <c r="N21" s="492"/>
      <c r="O21" s="492"/>
      <c r="P21" s="492"/>
      <c r="Q21" s="493">
        <f>CEILING(2613*A5,1)</f>
        <v>3659</v>
      </c>
      <c r="R21" s="493"/>
      <c r="S21" s="493"/>
      <c r="T21" s="493"/>
      <c r="U21" s="222"/>
      <c r="V21" s="492" t="s">
        <v>239</v>
      </c>
      <c r="W21" s="492"/>
      <c r="X21" s="492"/>
      <c r="Y21" s="492"/>
      <c r="Z21" s="492"/>
      <c r="AA21" s="493">
        <f>CEILING(3323*A5,1)</f>
        <v>4653</v>
      </c>
      <c r="AB21" s="493"/>
      <c r="AC21" s="493"/>
      <c r="AD21" s="493"/>
      <c r="AE21" s="223"/>
      <c r="AF21" s="492" t="s">
        <v>239</v>
      </c>
      <c r="AG21" s="492"/>
      <c r="AH21" s="492"/>
      <c r="AI21" s="492"/>
      <c r="AJ21" s="492"/>
      <c r="AK21" s="493">
        <f>CEILING(2979*A5,1)</f>
        <v>4171</v>
      </c>
      <c r="AL21" s="493"/>
      <c r="AM21" s="493"/>
      <c r="AN21" s="493"/>
      <c r="AO21" s="223"/>
      <c r="AP21" s="492" t="s">
        <v>240</v>
      </c>
      <c r="AQ21" s="492"/>
      <c r="AR21" s="492"/>
      <c r="AS21" s="492"/>
      <c r="AT21" s="492"/>
      <c r="AU21" s="493">
        <f>CEILING(2649*A5,1)</f>
        <v>3709</v>
      </c>
      <c r="AV21" s="493"/>
      <c r="AW21" s="493"/>
      <c r="AX21" s="493"/>
      <c r="AY21" s="224"/>
      <c r="AZ21" s="492" t="s">
        <v>240</v>
      </c>
      <c r="BA21" s="492"/>
      <c r="BB21" s="492"/>
      <c r="BC21" s="492"/>
      <c r="BD21" s="492"/>
      <c r="BE21" s="493">
        <f>CEILING(3510*A5,1)</f>
        <v>4914</v>
      </c>
      <c r="BF21" s="493"/>
      <c r="BG21" s="493"/>
      <c r="BH21" s="493"/>
      <c r="BI21" s="224"/>
      <c r="BJ21" s="492" t="s">
        <v>240</v>
      </c>
      <c r="BK21" s="492"/>
      <c r="BL21" s="492"/>
      <c r="BM21" s="492"/>
      <c r="BN21" s="492"/>
      <c r="BO21" s="493">
        <f>CEILING(3286*A5,1)</f>
        <v>4601</v>
      </c>
      <c r="BP21" s="493"/>
      <c r="BQ21" s="493"/>
      <c r="BR21" s="493"/>
      <c r="BS21" s="26"/>
      <c r="BT21" s="26"/>
    </row>
    <row r="22" spans="1:72" s="23" customFormat="1" ht="1.5" customHeight="1" x14ac:dyDescent="0.25"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201"/>
      <c r="Z22" s="201"/>
      <c r="AA22" s="201"/>
      <c r="AB22" s="201"/>
      <c r="AC22" s="201"/>
      <c r="AD22" s="201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201"/>
      <c r="AR22" s="201"/>
      <c r="AS22" s="201"/>
      <c r="AT22" s="201"/>
      <c r="AU22" s="201"/>
      <c r="AV22" s="201"/>
      <c r="AW22" s="201"/>
      <c r="AX22" s="201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26"/>
      <c r="BT22" s="26"/>
    </row>
    <row r="23" spans="1:72" s="23" customFormat="1" ht="9" customHeight="1" x14ac:dyDescent="0.25">
      <c r="B23" s="507" t="s">
        <v>241</v>
      </c>
      <c r="C23" s="508"/>
      <c r="D23" s="509"/>
      <c r="E23" s="510" t="s">
        <v>270</v>
      </c>
      <c r="F23" s="511"/>
      <c r="G23" s="511"/>
      <c r="H23" s="511"/>
      <c r="I23" s="511"/>
      <c r="J23" s="512"/>
      <c r="K23" s="87"/>
      <c r="L23" s="474" t="s">
        <v>242</v>
      </c>
      <c r="M23" s="475"/>
      <c r="N23" s="476"/>
      <c r="O23" s="504" t="s">
        <v>270</v>
      </c>
      <c r="P23" s="505"/>
      <c r="Q23" s="505"/>
      <c r="R23" s="505"/>
      <c r="S23" s="505"/>
      <c r="T23" s="506"/>
      <c r="U23" s="87"/>
      <c r="V23" s="474" t="s">
        <v>243</v>
      </c>
      <c r="W23" s="475"/>
      <c r="X23" s="476"/>
      <c r="Y23" s="504" t="s">
        <v>270</v>
      </c>
      <c r="Z23" s="505"/>
      <c r="AA23" s="505"/>
      <c r="AB23" s="505"/>
      <c r="AC23" s="505"/>
      <c r="AD23" s="506"/>
      <c r="AE23" s="87"/>
      <c r="AF23" s="507" t="s">
        <v>244</v>
      </c>
      <c r="AG23" s="508"/>
      <c r="AH23" s="509"/>
      <c r="AI23" s="510" t="s">
        <v>270</v>
      </c>
      <c r="AJ23" s="511"/>
      <c r="AK23" s="511"/>
      <c r="AL23" s="511"/>
      <c r="AM23" s="511"/>
      <c r="AN23" s="512"/>
      <c r="AO23" s="87"/>
      <c r="AP23" s="474" t="s">
        <v>245</v>
      </c>
      <c r="AQ23" s="475"/>
      <c r="AR23" s="476"/>
      <c r="AS23" s="504" t="s">
        <v>270</v>
      </c>
      <c r="AT23" s="505"/>
      <c r="AU23" s="505"/>
      <c r="AV23" s="505"/>
      <c r="AW23" s="505"/>
      <c r="AX23" s="506"/>
      <c r="AY23" s="87"/>
      <c r="AZ23" s="474" t="s">
        <v>246</v>
      </c>
      <c r="BA23" s="475"/>
      <c r="BB23" s="476"/>
      <c r="BC23" s="504" t="s">
        <v>270</v>
      </c>
      <c r="BD23" s="505"/>
      <c r="BE23" s="505"/>
      <c r="BF23" s="505"/>
      <c r="BG23" s="505"/>
      <c r="BH23" s="506"/>
      <c r="BI23" s="87"/>
      <c r="BJ23" s="474" t="s">
        <v>247</v>
      </c>
      <c r="BK23" s="475"/>
      <c r="BL23" s="476"/>
      <c r="BM23" s="504" t="s">
        <v>270</v>
      </c>
      <c r="BN23" s="505"/>
      <c r="BO23" s="505"/>
      <c r="BP23" s="505"/>
      <c r="BQ23" s="505"/>
      <c r="BR23" s="506"/>
      <c r="BS23" s="26"/>
      <c r="BT23" s="26"/>
    </row>
    <row r="24" spans="1:72" s="32" customFormat="1" ht="9" customHeight="1" x14ac:dyDescent="0.25">
      <c r="B24" s="516" t="s">
        <v>595</v>
      </c>
      <c r="C24" s="490"/>
      <c r="D24" s="490"/>
      <c r="E24" s="490"/>
      <c r="F24" s="490"/>
      <c r="G24" s="490"/>
      <c r="H24" s="490"/>
      <c r="I24" s="490"/>
      <c r="J24" s="517"/>
      <c r="K24" s="90"/>
      <c r="L24" s="489" t="s">
        <v>596</v>
      </c>
      <c r="M24" s="490"/>
      <c r="N24" s="490"/>
      <c r="O24" s="490"/>
      <c r="P24" s="490"/>
      <c r="Q24" s="490"/>
      <c r="R24" s="490"/>
      <c r="S24" s="490"/>
      <c r="T24" s="491"/>
      <c r="U24" s="100"/>
      <c r="V24" s="490" t="s">
        <v>596</v>
      </c>
      <c r="W24" s="490"/>
      <c r="X24" s="490"/>
      <c r="Y24" s="490"/>
      <c r="Z24" s="490"/>
      <c r="AA24" s="490"/>
      <c r="AB24" s="490"/>
      <c r="AC24" s="490"/>
      <c r="AD24" s="491"/>
      <c r="AE24" s="90"/>
      <c r="AF24" s="516" t="s">
        <v>596</v>
      </c>
      <c r="AG24" s="490"/>
      <c r="AH24" s="490"/>
      <c r="AI24" s="490"/>
      <c r="AJ24" s="490"/>
      <c r="AK24" s="490"/>
      <c r="AL24" s="490"/>
      <c r="AM24" s="490"/>
      <c r="AN24" s="517"/>
      <c r="AO24" s="91"/>
      <c r="AP24" s="490" t="s">
        <v>596</v>
      </c>
      <c r="AQ24" s="490"/>
      <c r="AR24" s="490"/>
      <c r="AS24" s="490"/>
      <c r="AT24" s="490"/>
      <c r="AU24" s="490"/>
      <c r="AV24" s="490"/>
      <c r="AW24" s="490"/>
      <c r="AX24" s="491"/>
      <c r="AY24" s="90"/>
      <c r="AZ24" s="490" t="s">
        <v>596</v>
      </c>
      <c r="BA24" s="490"/>
      <c r="BB24" s="490"/>
      <c r="BC24" s="490"/>
      <c r="BD24" s="490"/>
      <c r="BE24" s="490"/>
      <c r="BF24" s="490"/>
      <c r="BG24" s="490"/>
      <c r="BH24" s="491"/>
      <c r="BI24" s="100"/>
      <c r="BJ24" s="490" t="s">
        <v>634</v>
      </c>
      <c r="BK24" s="490"/>
      <c r="BL24" s="490"/>
      <c r="BM24" s="490"/>
      <c r="BN24" s="490"/>
      <c r="BO24" s="490"/>
      <c r="BP24" s="490"/>
      <c r="BQ24" s="490"/>
      <c r="BR24" s="491"/>
      <c r="BS24" s="34"/>
      <c r="BT24" s="34"/>
    </row>
    <row r="25" spans="1:72" s="32" customFormat="1" ht="9" customHeight="1" x14ac:dyDescent="0.25">
      <c r="B25" s="516" t="s">
        <v>248</v>
      </c>
      <c r="C25" s="490"/>
      <c r="D25" s="490"/>
      <c r="E25" s="490"/>
      <c r="F25" s="490"/>
      <c r="G25" s="490"/>
      <c r="H25" s="490"/>
      <c r="I25" s="490"/>
      <c r="J25" s="517"/>
      <c r="K25" s="90"/>
      <c r="L25" s="489" t="s">
        <v>249</v>
      </c>
      <c r="M25" s="490"/>
      <c r="N25" s="490"/>
      <c r="O25" s="490"/>
      <c r="P25" s="490"/>
      <c r="Q25" s="490"/>
      <c r="R25" s="490"/>
      <c r="S25" s="490"/>
      <c r="T25" s="491"/>
      <c r="U25" s="100"/>
      <c r="V25" s="490" t="s">
        <v>250</v>
      </c>
      <c r="W25" s="490"/>
      <c r="X25" s="490"/>
      <c r="Y25" s="490"/>
      <c r="Z25" s="490"/>
      <c r="AA25" s="490"/>
      <c r="AB25" s="490"/>
      <c r="AC25" s="490"/>
      <c r="AD25" s="491"/>
      <c r="AE25" s="90"/>
      <c r="AF25" s="516" t="s">
        <v>251</v>
      </c>
      <c r="AG25" s="490"/>
      <c r="AH25" s="490"/>
      <c r="AI25" s="490"/>
      <c r="AJ25" s="490"/>
      <c r="AK25" s="490"/>
      <c r="AL25" s="490"/>
      <c r="AM25" s="490"/>
      <c r="AN25" s="517"/>
      <c r="AO25" s="91"/>
      <c r="AP25" s="490" t="s">
        <v>251</v>
      </c>
      <c r="AQ25" s="490"/>
      <c r="AR25" s="490"/>
      <c r="AS25" s="490"/>
      <c r="AT25" s="490"/>
      <c r="AU25" s="490"/>
      <c r="AV25" s="490"/>
      <c r="AW25" s="490"/>
      <c r="AX25" s="491"/>
      <c r="AY25" s="90"/>
      <c r="AZ25" s="490" t="s">
        <v>252</v>
      </c>
      <c r="BA25" s="490"/>
      <c r="BB25" s="490"/>
      <c r="BC25" s="490"/>
      <c r="BD25" s="490"/>
      <c r="BE25" s="490"/>
      <c r="BF25" s="490"/>
      <c r="BG25" s="490"/>
      <c r="BH25" s="491"/>
      <c r="BI25" s="100"/>
      <c r="BJ25" s="490" t="s">
        <v>253</v>
      </c>
      <c r="BK25" s="490"/>
      <c r="BL25" s="490"/>
      <c r="BM25" s="490"/>
      <c r="BN25" s="490"/>
      <c r="BO25" s="490"/>
      <c r="BP25" s="490"/>
      <c r="BQ25" s="490"/>
      <c r="BR25" s="491"/>
      <c r="BS25" s="34"/>
      <c r="BT25" s="34"/>
    </row>
    <row r="26" spans="1:72" s="32" customFormat="1" ht="9" customHeight="1" x14ac:dyDescent="0.25">
      <c r="B26" s="101"/>
      <c r="C26" s="90"/>
      <c r="D26" s="90"/>
      <c r="E26" s="90"/>
      <c r="F26" s="90"/>
      <c r="G26" s="90"/>
      <c r="H26" s="90"/>
      <c r="I26" s="90"/>
      <c r="J26" s="102"/>
      <c r="K26" s="90"/>
      <c r="L26" s="103"/>
      <c r="M26" s="90"/>
      <c r="N26" s="90"/>
      <c r="O26" s="90"/>
      <c r="P26" s="90"/>
      <c r="Q26" s="90"/>
      <c r="R26" s="90"/>
      <c r="S26" s="90"/>
      <c r="T26" s="91"/>
      <c r="U26" s="100"/>
      <c r="V26" s="90"/>
      <c r="W26" s="90"/>
      <c r="X26" s="90"/>
      <c r="Y26" s="90"/>
      <c r="Z26" s="90"/>
      <c r="AA26" s="90"/>
      <c r="AB26" s="90"/>
      <c r="AC26" s="90"/>
      <c r="AD26" s="91"/>
      <c r="AE26" s="90"/>
      <c r="AF26" s="101"/>
      <c r="AG26" s="90"/>
      <c r="AH26" s="90"/>
      <c r="AI26" s="90"/>
      <c r="AJ26" s="90"/>
      <c r="AK26" s="90"/>
      <c r="AL26" s="90"/>
      <c r="AM26" s="90"/>
      <c r="AN26" s="102"/>
      <c r="AO26" s="91"/>
      <c r="AP26" s="90"/>
      <c r="AQ26" s="90"/>
      <c r="AR26" s="90"/>
      <c r="AS26" s="90"/>
      <c r="AT26" s="90"/>
      <c r="AU26" s="90"/>
      <c r="AV26" s="90"/>
      <c r="AW26" s="90"/>
      <c r="AX26" s="91"/>
      <c r="AY26" s="90"/>
      <c r="AZ26" s="90"/>
      <c r="BA26" s="90"/>
      <c r="BB26" s="90"/>
      <c r="BC26" s="90"/>
      <c r="BD26" s="90"/>
      <c r="BE26" s="90"/>
      <c r="BF26" s="90"/>
      <c r="BG26" s="90"/>
      <c r="BH26" s="91"/>
      <c r="BI26" s="100"/>
      <c r="BJ26" s="90"/>
      <c r="BK26" s="90"/>
      <c r="BL26" s="90"/>
      <c r="BM26" s="90"/>
      <c r="BN26" s="90"/>
      <c r="BO26" s="90"/>
      <c r="BP26" s="90"/>
      <c r="BQ26" s="90"/>
      <c r="BR26" s="91"/>
      <c r="BS26" s="34"/>
      <c r="BT26" s="34"/>
    </row>
    <row r="27" spans="1:72" s="23" customFormat="1" ht="9" customHeight="1" x14ac:dyDescent="0.25">
      <c r="A27" s="56"/>
      <c r="B27" s="104"/>
      <c r="C27" s="87"/>
      <c r="D27" s="87"/>
      <c r="E27" s="87"/>
      <c r="F27" s="87"/>
      <c r="G27" s="87"/>
      <c r="H27" s="87"/>
      <c r="I27" s="87"/>
      <c r="J27" s="105"/>
      <c r="K27" s="87"/>
      <c r="L27" s="88"/>
      <c r="M27" s="87"/>
      <c r="N27" s="87"/>
      <c r="O27" s="87"/>
      <c r="P27" s="87"/>
      <c r="Q27" s="87"/>
      <c r="R27" s="87"/>
      <c r="S27" s="87"/>
      <c r="T27" s="89"/>
      <c r="U27" s="92"/>
      <c r="V27" s="87"/>
      <c r="W27" s="87"/>
      <c r="X27" s="87"/>
      <c r="Y27" s="87"/>
      <c r="Z27" s="87"/>
      <c r="AA27" s="87"/>
      <c r="AB27" s="87"/>
      <c r="AC27" s="87"/>
      <c r="AD27" s="89"/>
      <c r="AE27" s="87"/>
      <c r="AF27" s="104"/>
      <c r="AG27" s="87"/>
      <c r="AH27" s="87"/>
      <c r="AI27" s="87"/>
      <c r="AJ27" s="87"/>
      <c r="AK27" s="87"/>
      <c r="AL27" s="87"/>
      <c r="AM27" s="87"/>
      <c r="AN27" s="105"/>
      <c r="AO27" s="89"/>
      <c r="AP27" s="87"/>
      <c r="AQ27" s="87"/>
      <c r="AR27" s="87"/>
      <c r="AS27" s="87"/>
      <c r="AT27" s="87"/>
      <c r="AU27" s="87"/>
      <c r="AV27" s="87"/>
      <c r="AW27" s="87"/>
      <c r="AX27" s="89"/>
      <c r="AY27" s="87"/>
      <c r="AZ27" s="87"/>
      <c r="BA27" s="87"/>
      <c r="BB27" s="87"/>
      <c r="BC27" s="87"/>
      <c r="BD27" s="87"/>
      <c r="BE27" s="87"/>
      <c r="BF27" s="87"/>
      <c r="BG27" s="87"/>
      <c r="BH27" s="89"/>
      <c r="BI27" s="92"/>
      <c r="BJ27" s="87"/>
      <c r="BK27" s="87"/>
      <c r="BL27" s="87"/>
      <c r="BM27" s="87"/>
      <c r="BN27" s="87"/>
      <c r="BO27" s="87"/>
      <c r="BP27" s="87"/>
      <c r="BQ27" s="87"/>
      <c r="BR27" s="89"/>
      <c r="BS27" s="26"/>
      <c r="BT27" s="26"/>
    </row>
    <row r="28" spans="1:72" s="23" customFormat="1" ht="9" customHeight="1" x14ac:dyDescent="0.25">
      <c r="A28" s="56"/>
      <c r="B28" s="104"/>
      <c r="C28" s="87"/>
      <c r="D28" s="87"/>
      <c r="E28" s="87"/>
      <c r="F28" s="87"/>
      <c r="G28" s="87"/>
      <c r="H28" s="87"/>
      <c r="I28" s="87"/>
      <c r="J28" s="105"/>
      <c r="K28" s="87"/>
      <c r="L28" s="88"/>
      <c r="M28" s="87"/>
      <c r="N28" s="87"/>
      <c r="O28" s="87"/>
      <c r="P28" s="87"/>
      <c r="Q28" s="87"/>
      <c r="R28" s="87"/>
      <c r="S28" s="87"/>
      <c r="T28" s="89"/>
      <c r="U28" s="92"/>
      <c r="V28" s="87"/>
      <c r="W28" s="87"/>
      <c r="X28" s="87"/>
      <c r="Y28" s="87"/>
      <c r="Z28" s="87"/>
      <c r="AA28" s="87"/>
      <c r="AB28" s="87"/>
      <c r="AC28" s="87"/>
      <c r="AD28" s="89"/>
      <c r="AE28" s="87"/>
      <c r="AF28" s="104"/>
      <c r="AG28" s="87"/>
      <c r="AH28" s="87"/>
      <c r="AI28" s="87"/>
      <c r="AJ28" s="87"/>
      <c r="AK28" s="87"/>
      <c r="AL28" s="87"/>
      <c r="AM28" s="87"/>
      <c r="AN28" s="105"/>
      <c r="AO28" s="89"/>
      <c r="AP28" s="87"/>
      <c r="AQ28" s="87"/>
      <c r="AR28" s="87"/>
      <c r="AS28" s="87"/>
      <c r="AT28" s="87"/>
      <c r="AU28" s="87"/>
      <c r="AV28" s="87"/>
      <c r="AW28" s="87"/>
      <c r="AX28" s="89"/>
      <c r="AY28" s="87"/>
      <c r="AZ28" s="87"/>
      <c r="BA28" s="87"/>
      <c r="BB28" s="87"/>
      <c r="BC28" s="87"/>
      <c r="BD28" s="87"/>
      <c r="BE28" s="87"/>
      <c r="BF28" s="87"/>
      <c r="BG28" s="87"/>
      <c r="BH28" s="89"/>
      <c r="BI28" s="92"/>
      <c r="BJ28" s="87"/>
      <c r="BK28" s="87"/>
      <c r="BL28" s="87"/>
      <c r="BM28" s="87"/>
      <c r="BN28" s="87"/>
      <c r="BO28" s="87"/>
      <c r="BP28" s="87"/>
      <c r="BQ28" s="87"/>
      <c r="BR28" s="89"/>
      <c r="BS28" s="26"/>
      <c r="BT28" s="26"/>
    </row>
    <row r="29" spans="1:72" s="23" customFormat="1" ht="9.75" customHeight="1" x14ac:dyDescent="0.25">
      <c r="A29" s="56"/>
      <c r="B29" s="104"/>
      <c r="C29" s="87"/>
      <c r="D29" s="87"/>
      <c r="E29" s="87"/>
      <c r="F29" s="87"/>
      <c r="G29" s="87"/>
      <c r="H29" s="87"/>
      <c r="I29" s="87"/>
      <c r="J29" s="105"/>
      <c r="K29" s="87"/>
      <c r="L29" s="88"/>
      <c r="M29" s="87"/>
      <c r="N29" s="87"/>
      <c r="O29" s="87"/>
      <c r="P29" s="87"/>
      <c r="Q29" s="87"/>
      <c r="R29" s="87"/>
      <c r="S29" s="87"/>
      <c r="T29" s="89"/>
      <c r="U29" s="92"/>
      <c r="V29" s="87"/>
      <c r="W29" s="87"/>
      <c r="X29" s="87"/>
      <c r="Y29" s="87"/>
      <c r="Z29" s="87"/>
      <c r="AA29" s="87"/>
      <c r="AB29" s="87"/>
      <c r="AC29" s="87"/>
      <c r="AD29" s="89"/>
      <c r="AE29" s="87"/>
      <c r="AF29" s="104"/>
      <c r="AG29" s="87"/>
      <c r="AH29" s="87"/>
      <c r="AI29" s="87"/>
      <c r="AJ29" s="87"/>
      <c r="AK29" s="87"/>
      <c r="AL29" s="87"/>
      <c r="AM29" s="87"/>
      <c r="AN29" s="105"/>
      <c r="AO29" s="89"/>
      <c r="AP29" s="87"/>
      <c r="AQ29" s="87"/>
      <c r="AR29" s="87"/>
      <c r="AS29" s="87"/>
      <c r="AT29" s="87"/>
      <c r="AU29" s="87"/>
      <c r="AV29" s="87"/>
      <c r="AW29" s="87"/>
      <c r="AX29" s="89"/>
      <c r="AY29" s="87"/>
      <c r="AZ29" s="87"/>
      <c r="BA29" s="87"/>
      <c r="BB29" s="87"/>
      <c r="BC29" s="87"/>
      <c r="BD29" s="87"/>
      <c r="BE29" s="87"/>
      <c r="BF29" s="87"/>
      <c r="BG29" s="87"/>
      <c r="BH29" s="89"/>
      <c r="BI29" s="92"/>
      <c r="BJ29" s="87"/>
      <c r="BK29" s="87"/>
      <c r="BL29" s="87"/>
      <c r="BM29" s="87"/>
      <c r="BN29" s="87"/>
      <c r="BO29" s="87"/>
      <c r="BP29" s="87"/>
      <c r="BQ29" s="87"/>
      <c r="BR29" s="89"/>
      <c r="BS29" s="26"/>
      <c r="BT29" s="26"/>
    </row>
    <row r="30" spans="1:72" s="23" customFormat="1" ht="9.75" customHeight="1" x14ac:dyDescent="0.25">
      <c r="A30" s="56"/>
      <c r="B30" s="104"/>
      <c r="C30" s="87"/>
      <c r="D30" s="87"/>
      <c r="E30" s="87"/>
      <c r="F30" s="87"/>
      <c r="G30" s="87"/>
      <c r="H30" s="87"/>
      <c r="I30" s="87"/>
      <c r="J30" s="105"/>
      <c r="K30" s="87"/>
      <c r="L30" s="88"/>
      <c r="M30" s="87"/>
      <c r="N30" s="87"/>
      <c r="O30" s="87"/>
      <c r="P30" s="87"/>
      <c r="Q30" s="87"/>
      <c r="R30" s="87"/>
      <c r="S30" s="87"/>
      <c r="T30" s="89"/>
      <c r="U30" s="92"/>
      <c r="V30" s="87"/>
      <c r="W30" s="87"/>
      <c r="X30" s="87"/>
      <c r="Y30" s="87"/>
      <c r="Z30" s="87"/>
      <c r="AA30" s="87"/>
      <c r="AB30" s="87"/>
      <c r="AC30" s="87"/>
      <c r="AD30" s="89"/>
      <c r="AE30" s="87"/>
      <c r="AF30" s="104"/>
      <c r="AG30" s="87"/>
      <c r="AH30" s="87"/>
      <c r="AI30" s="87"/>
      <c r="AJ30" s="87"/>
      <c r="AK30" s="87"/>
      <c r="AL30" s="87"/>
      <c r="AM30" s="87"/>
      <c r="AN30" s="105"/>
      <c r="AO30" s="89"/>
      <c r="AP30" s="87"/>
      <c r="AQ30" s="87"/>
      <c r="AR30" s="87"/>
      <c r="AS30" s="87"/>
      <c r="AT30" s="87"/>
      <c r="AU30" s="87"/>
      <c r="AV30" s="87"/>
      <c r="AW30" s="87"/>
      <c r="AX30" s="89"/>
      <c r="AY30" s="87"/>
      <c r="AZ30" s="87"/>
      <c r="BA30" s="87"/>
      <c r="BB30" s="87"/>
      <c r="BC30" s="87"/>
      <c r="BD30" s="87"/>
      <c r="BE30" s="87"/>
      <c r="BF30" s="87"/>
      <c r="BG30" s="87"/>
      <c r="BH30" s="89"/>
      <c r="BI30" s="92"/>
      <c r="BJ30" s="87"/>
      <c r="BK30" s="87"/>
      <c r="BL30" s="87"/>
      <c r="BM30" s="87"/>
      <c r="BN30" s="87"/>
      <c r="BO30" s="87"/>
      <c r="BP30" s="87"/>
      <c r="BQ30" s="87"/>
      <c r="BR30" s="89"/>
      <c r="BS30" s="26"/>
      <c r="BT30" s="26"/>
    </row>
    <row r="31" spans="1:72" s="23" customFormat="1" ht="9.75" customHeight="1" x14ac:dyDescent="0.25">
      <c r="A31" s="56"/>
      <c r="B31" s="104"/>
      <c r="C31" s="87"/>
      <c r="D31" s="87"/>
      <c r="E31" s="87"/>
      <c r="F31" s="87"/>
      <c r="G31" s="87"/>
      <c r="H31" s="87"/>
      <c r="I31" s="87"/>
      <c r="J31" s="105"/>
      <c r="K31" s="87"/>
      <c r="L31" s="88"/>
      <c r="M31" s="87"/>
      <c r="N31" s="87"/>
      <c r="O31" s="87"/>
      <c r="P31" s="87"/>
      <c r="Q31" s="87"/>
      <c r="R31" s="87"/>
      <c r="S31" s="87"/>
      <c r="T31" s="89"/>
      <c r="U31" s="92"/>
      <c r="V31" s="87"/>
      <c r="W31" s="87"/>
      <c r="X31" s="87"/>
      <c r="Y31" s="87"/>
      <c r="Z31" s="87"/>
      <c r="AA31" s="87"/>
      <c r="AB31" s="87"/>
      <c r="AC31" s="87"/>
      <c r="AD31" s="89"/>
      <c r="AE31" s="87"/>
      <c r="AF31" s="104"/>
      <c r="AG31" s="87"/>
      <c r="AH31" s="87"/>
      <c r="AI31" s="87"/>
      <c r="AJ31" s="87"/>
      <c r="AK31" s="87"/>
      <c r="AL31" s="87"/>
      <c r="AM31" s="87"/>
      <c r="AN31" s="105"/>
      <c r="AO31" s="89"/>
      <c r="AP31" s="87"/>
      <c r="AQ31" s="87"/>
      <c r="AR31" s="87"/>
      <c r="AS31" s="87"/>
      <c r="AT31" s="87"/>
      <c r="AU31" s="87"/>
      <c r="AV31" s="87"/>
      <c r="AW31" s="87"/>
      <c r="AX31" s="89"/>
      <c r="AY31" s="87"/>
      <c r="AZ31" s="87"/>
      <c r="BA31" s="87"/>
      <c r="BB31" s="87"/>
      <c r="BC31" s="87"/>
      <c r="BD31" s="87"/>
      <c r="BE31" s="87"/>
      <c r="BF31" s="87"/>
      <c r="BG31" s="87"/>
      <c r="BH31" s="89"/>
      <c r="BI31" s="92"/>
      <c r="BJ31" s="87"/>
      <c r="BK31" s="87"/>
      <c r="BL31" s="87"/>
      <c r="BM31" s="87"/>
      <c r="BN31" s="87"/>
      <c r="BO31" s="87"/>
      <c r="BP31" s="87"/>
      <c r="BQ31" s="87"/>
      <c r="BR31" s="89"/>
      <c r="BS31" s="26"/>
      <c r="BT31" s="26"/>
    </row>
    <row r="32" spans="1:72" s="39" customFormat="1" ht="9" customHeight="1" x14ac:dyDescent="0.25">
      <c r="A32" s="57"/>
      <c r="B32" s="104"/>
      <c r="C32" s="87"/>
      <c r="D32" s="87"/>
      <c r="E32" s="87"/>
      <c r="F32" s="87"/>
      <c r="G32" s="87"/>
      <c r="H32" s="87"/>
      <c r="I32" s="87"/>
      <c r="J32" s="105"/>
      <c r="K32" s="106"/>
      <c r="L32" s="107"/>
      <c r="M32" s="106"/>
      <c r="N32" s="106"/>
      <c r="O32" s="106"/>
      <c r="P32" s="106"/>
      <c r="Q32" s="106"/>
      <c r="R32" s="106"/>
      <c r="S32" s="106"/>
      <c r="T32" s="108"/>
      <c r="U32" s="109"/>
      <c r="V32" s="106"/>
      <c r="W32" s="106"/>
      <c r="X32" s="106"/>
      <c r="Y32" s="106"/>
      <c r="Z32" s="106"/>
      <c r="AA32" s="106"/>
      <c r="AB32" s="106"/>
      <c r="AC32" s="106"/>
      <c r="AD32" s="108"/>
      <c r="AE32" s="106"/>
      <c r="AF32" s="110"/>
      <c r="AG32" s="106"/>
      <c r="AH32" s="106"/>
      <c r="AI32" s="106"/>
      <c r="AJ32" s="106"/>
      <c r="AK32" s="106"/>
      <c r="AL32" s="106"/>
      <c r="AM32" s="106"/>
      <c r="AN32" s="111"/>
      <c r="AO32" s="108"/>
      <c r="AP32" s="106"/>
      <c r="AQ32" s="106"/>
      <c r="AR32" s="106"/>
      <c r="AS32" s="106"/>
      <c r="AT32" s="106"/>
      <c r="AU32" s="106"/>
      <c r="AV32" s="106"/>
      <c r="AW32" s="106"/>
      <c r="AX32" s="108"/>
      <c r="AY32" s="106"/>
      <c r="AZ32" s="106"/>
      <c r="BA32" s="106"/>
      <c r="BB32" s="106"/>
      <c r="BC32" s="106"/>
      <c r="BD32" s="106"/>
      <c r="BE32" s="106"/>
      <c r="BF32" s="106"/>
      <c r="BG32" s="106"/>
      <c r="BH32" s="108"/>
      <c r="BI32" s="109"/>
      <c r="BJ32" s="87"/>
      <c r="BK32" s="87"/>
      <c r="BL32" s="87"/>
      <c r="BM32" s="87"/>
      <c r="BN32" s="87"/>
      <c r="BO32" s="87"/>
      <c r="BP32" s="87"/>
      <c r="BQ32" s="87"/>
      <c r="BR32" s="89"/>
      <c r="BS32" s="38"/>
      <c r="BT32" s="38"/>
    </row>
    <row r="33" spans="1:72" s="39" customFormat="1" ht="9" customHeight="1" x14ac:dyDescent="0.25">
      <c r="A33" s="57"/>
      <c r="B33" s="104"/>
      <c r="C33" s="202"/>
      <c r="D33" s="202"/>
      <c r="E33" s="202"/>
      <c r="F33" s="202"/>
      <c r="G33" s="202"/>
      <c r="H33" s="202"/>
      <c r="I33" s="202"/>
      <c r="J33" s="105"/>
      <c r="K33" s="106"/>
      <c r="L33" s="107"/>
      <c r="M33" s="106"/>
      <c r="N33" s="106"/>
      <c r="O33" s="106"/>
      <c r="P33" s="106"/>
      <c r="Q33" s="106"/>
      <c r="R33" s="106"/>
      <c r="S33" s="106"/>
      <c r="T33" s="108"/>
      <c r="U33" s="109"/>
      <c r="V33" s="106"/>
      <c r="W33" s="106"/>
      <c r="X33" s="106"/>
      <c r="Y33" s="106"/>
      <c r="Z33" s="106"/>
      <c r="AA33" s="106"/>
      <c r="AB33" s="106"/>
      <c r="AC33" s="106"/>
      <c r="AD33" s="108"/>
      <c r="AE33" s="106"/>
      <c r="AF33" s="110"/>
      <c r="AG33" s="106"/>
      <c r="AH33" s="106"/>
      <c r="AI33" s="106"/>
      <c r="AJ33" s="106"/>
      <c r="AK33" s="106"/>
      <c r="AL33" s="106"/>
      <c r="AM33" s="106"/>
      <c r="AN33" s="111"/>
      <c r="AO33" s="108"/>
      <c r="AP33" s="106"/>
      <c r="AQ33" s="106"/>
      <c r="AR33" s="106"/>
      <c r="AS33" s="106"/>
      <c r="AT33" s="106"/>
      <c r="AU33" s="106"/>
      <c r="AV33" s="106"/>
      <c r="AW33" s="106"/>
      <c r="AX33" s="108"/>
      <c r="AY33" s="106"/>
      <c r="AZ33" s="106"/>
      <c r="BA33" s="106"/>
      <c r="BB33" s="106"/>
      <c r="BC33" s="106"/>
      <c r="BD33" s="106"/>
      <c r="BE33" s="106"/>
      <c r="BF33" s="106"/>
      <c r="BG33" s="106"/>
      <c r="BH33" s="108"/>
      <c r="BI33" s="109"/>
      <c r="BJ33" s="87"/>
      <c r="BK33" s="87"/>
      <c r="BL33" s="87"/>
      <c r="BM33" s="87"/>
      <c r="BN33" s="87"/>
      <c r="BO33" s="87"/>
      <c r="BP33" s="87"/>
      <c r="BQ33" s="87"/>
      <c r="BR33" s="89"/>
      <c r="BS33" s="38"/>
      <c r="BT33" s="38"/>
    </row>
    <row r="34" spans="1:72" s="39" customFormat="1" ht="9" customHeight="1" x14ac:dyDescent="0.25">
      <c r="A34" s="196"/>
      <c r="B34" s="492" t="s">
        <v>238</v>
      </c>
      <c r="C34" s="492"/>
      <c r="D34" s="492"/>
      <c r="E34" s="492"/>
      <c r="F34" s="492"/>
      <c r="G34" s="493">
        <f>CEILING(3179*A5,1)</f>
        <v>4451</v>
      </c>
      <c r="H34" s="493"/>
      <c r="I34" s="493"/>
      <c r="J34" s="493"/>
      <c r="K34" s="189"/>
      <c r="L34" s="190"/>
      <c r="M34" s="189"/>
      <c r="N34" s="189"/>
      <c r="O34" s="189"/>
      <c r="P34" s="189"/>
      <c r="Q34" s="513"/>
      <c r="R34" s="513"/>
      <c r="S34" s="513"/>
      <c r="T34" s="514"/>
      <c r="U34" s="191"/>
      <c r="V34" s="189"/>
      <c r="W34" s="189"/>
      <c r="X34" s="189"/>
      <c r="Y34" s="189"/>
      <c r="Z34" s="189"/>
      <c r="AA34" s="189"/>
      <c r="AB34" s="189"/>
      <c r="AC34" s="189"/>
      <c r="AD34" s="192"/>
      <c r="AE34" s="189"/>
      <c r="AF34" s="225"/>
      <c r="AG34" s="189"/>
      <c r="AH34" s="189"/>
      <c r="AI34" s="189"/>
      <c r="AJ34" s="189"/>
      <c r="AK34" s="513"/>
      <c r="AL34" s="513"/>
      <c r="AM34" s="513"/>
      <c r="AN34" s="515"/>
      <c r="AO34" s="192"/>
      <c r="AP34" s="189"/>
      <c r="AQ34" s="189"/>
      <c r="AR34" s="189"/>
      <c r="AS34" s="189"/>
      <c r="AT34" s="189"/>
      <c r="AU34" s="189"/>
      <c r="AV34" s="189"/>
      <c r="AW34" s="189"/>
      <c r="AX34" s="192"/>
      <c r="AY34" s="189"/>
      <c r="AZ34" s="189"/>
      <c r="BA34" s="189"/>
      <c r="BB34" s="189"/>
      <c r="BC34" s="189"/>
      <c r="BD34" s="189"/>
      <c r="BE34" s="189"/>
      <c r="BF34" s="189"/>
      <c r="BG34" s="189"/>
      <c r="BH34" s="192"/>
      <c r="BI34" s="189"/>
      <c r="BJ34" s="492" t="s">
        <v>238</v>
      </c>
      <c r="BK34" s="492"/>
      <c r="BL34" s="492"/>
      <c r="BM34" s="492"/>
      <c r="BN34" s="492"/>
      <c r="BO34" s="493">
        <f>CEILING(3169*A5,1)</f>
        <v>4437</v>
      </c>
      <c r="BP34" s="493"/>
      <c r="BQ34" s="493"/>
      <c r="BR34" s="493"/>
      <c r="BS34" s="38"/>
      <c r="BT34" s="38"/>
    </row>
    <row r="35" spans="1:72" s="39" customFormat="1" ht="9" customHeight="1" x14ac:dyDescent="0.25">
      <c r="B35" s="492" t="s">
        <v>239</v>
      </c>
      <c r="C35" s="492"/>
      <c r="D35" s="492"/>
      <c r="E35" s="492"/>
      <c r="F35" s="492"/>
      <c r="G35" s="493">
        <f>CEILING(3403*A5,1)</f>
        <v>4765</v>
      </c>
      <c r="H35" s="493"/>
      <c r="I35" s="493"/>
      <c r="J35" s="493"/>
      <c r="K35" s="226"/>
      <c r="L35" s="492" t="s">
        <v>254</v>
      </c>
      <c r="M35" s="492"/>
      <c r="N35" s="492"/>
      <c r="O35" s="492"/>
      <c r="P35" s="492"/>
      <c r="Q35" s="493">
        <f>CEILING(4845*A5,1)</f>
        <v>6783</v>
      </c>
      <c r="R35" s="493"/>
      <c r="S35" s="493"/>
      <c r="T35" s="493"/>
      <c r="U35" s="226"/>
      <c r="V35" s="492" t="s">
        <v>254</v>
      </c>
      <c r="W35" s="492"/>
      <c r="X35" s="492"/>
      <c r="Y35" s="492"/>
      <c r="Z35" s="492"/>
      <c r="AA35" s="493">
        <f>CEILING(4407*A5,1)</f>
        <v>6170</v>
      </c>
      <c r="AB35" s="493"/>
      <c r="AC35" s="493"/>
      <c r="AD35" s="493"/>
      <c r="AE35" s="226"/>
      <c r="AF35" s="492" t="s">
        <v>254</v>
      </c>
      <c r="AG35" s="492"/>
      <c r="AH35" s="492"/>
      <c r="AI35" s="492"/>
      <c r="AJ35" s="492"/>
      <c r="AK35" s="493">
        <f>CEILING(4195*A5,1)</f>
        <v>5873</v>
      </c>
      <c r="AL35" s="493"/>
      <c r="AM35" s="493"/>
      <c r="AN35" s="493"/>
      <c r="AO35" s="226"/>
      <c r="AP35" s="492" t="s">
        <v>254</v>
      </c>
      <c r="AQ35" s="492"/>
      <c r="AR35" s="492"/>
      <c r="AS35" s="492"/>
      <c r="AT35" s="492"/>
      <c r="AU35" s="493">
        <f>CEILING(4811*A5,1)</f>
        <v>6736</v>
      </c>
      <c r="AV35" s="493"/>
      <c r="AW35" s="493"/>
      <c r="AX35" s="493"/>
      <c r="AY35" s="226"/>
      <c r="AZ35" s="492" t="s">
        <v>254</v>
      </c>
      <c r="BA35" s="492"/>
      <c r="BB35" s="492"/>
      <c r="BC35" s="492"/>
      <c r="BD35" s="492"/>
      <c r="BE35" s="493">
        <f>CEILING(4443*A5,1)</f>
        <v>6221</v>
      </c>
      <c r="BF35" s="493"/>
      <c r="BG35" s="493"/>
      <c r="BH35" s="493"/>
      <c r="BI35" s="226"/>
      <c r="BJ35" s="492" t="s">
        <v>239</v>
      </c>
      <c r="BK35" s="492"/>
      <c r="BL35" s="492"/>
      <c r="BM35" s="492"/>
      <c r="BN35" s="492"/>
      <c r="BO35" s="493">
        <f>CEILING(3380*A5,1)</f>
        <v>4732</v>
      </c>
      <c r="BP35" s="493"/>
      <c r="BQ35" s="493"/>
      <c r="BR35" s="493"/>
      <c r="BS35" s="38"/>
      <c r="BT35" s="38"/>
    </row>
    <row r="36" spans="1:72" s="39" customFormat="1" ht="9" customHeight="1" x14ac:dyDescent="0.25">
      <c r="A36" s="38"/>
      <c r="B36" s="492" t="s">
        <v>240</v>
      </c>
      <c r="C36" s="492"/>
      <c r="D36" s="492"/>
      <c r="E36" s="492"/>
      <c r="F36" s="492"/>
      <c r="G36" s="493">
        <f>CEILING(3629*A5,1)</f>
        <v>5081</v>
      </c>
      <c r="H36" s="493"/>
      <c r="I36" s="493"/>
      <c r="J36" s="493"/>
      <c r="K36" s="226"/>
      <c r="L36" s="492" t="s">
        <v>255</v>
      </c>
      <c r="M36" s="492"/>
      <c r="N36" s="492"/>
      <c r="O36" s="492"/>
      <c r="P36" s="492"/>
      <c r="Q36" s="493">
        <f>CEILING(5081*A5,1)</f>
        <v>7114</v>
      </c>
      <c r="R36" s="493"/>
      <c r="S36" s="493"/>
      <c r="T36" s="493"/>
      <c r="U36" s="226"/>
      <c r="V36" s="492" t="s">
        <v>255</v>
      </c>
      <c r="W36" s="492"/>
      <c r="X36" s="492"/>
      <c r="Y36" s="492"/>
      <c r="Z36" s="492"/>
      <c r="AA36" s="493">
        <f>CEILING(4607*A5,1)</f>
        <v>6450</v>
      </c>
      <c r="AB36" s="493"/>
      <c r="AC36" s="493"/>
      <c r="AD36" s="493"/>
      <c r="AE36" s="226"/>
      <c r="AF36" s="492" t="s">
        <v>255</v>
      </c>
      <c r="AG36" s="492"/>
      <c r="AH36" s="492"/>
      <c r="AI36" s="492"/>
      <c r="AJ36" s="492"/>
      <c r="AK36" s="493">
        <f>CEILING(4396*A5,1)</f>
        <v>6155</v>
      </c>
      <c r="AL36" s="493"/>
      <c r="AM36" s="493"/>
      <c r="AN36" s="493"/>
      <c r="AO36" s="226"/>
      <c r="AP36" s="492" t="s">
        <v>255</v>
      </c>
      <c r="AQ36" s="492"/>
      <c r="AR36" s="492"/>
      <c r="AS36" s="492"/>
      <c r="AT36" s="492"/>
      <c r="AU36" s="493">
        <f>CEILING(5011*A5,1)</f>
        <v>7016</v>
      </c>
      <c r="AV36" s="493"/>
      <c r="AW36" s="493"/>
      <c r="AX36" s="493"/>
      <c r="AY36" s="226"/>
      <c r="AZ36" s="492" t="s">
        <v>255</v>
      </c>
      <c r="BA36" s="492"/>
      <c r="BB36" s="492"/>
      <c r="BC36" s="492"/>
      <c r="BD36" s="492"/>
      <c r="BE36" s="493">
        <f>CEILING(4607*A5,1)</f>
        <v>6450</v>
      </c>
      <c r="BF36" s="493"/>
      <c r="BG36" s="493"/>
      <c r="BH36" s="493"/>
      <c r="BI36" s="226"/>
      <c r="BJ36" s="492" t="s">
        <v>240</v>
      </c>
      <c r="BK36" s="492"/>
      <c r="BL36" s="492"/>
      <c r="BM36" s="492"/>
      <c r="BN36" s="492"/>
      <c r="BO36" s="493">
        <f>CEILING(3581*A5,1)</f>
        <v>5014</v>
      </c>
      <c r="BP36" s="493"/>
      <c r="BQ36" s="493"/>
      <c r="BR36" s="493"/>
      <c r="BS36" s="38"/>
      <c r="BT36" s="38"/>
    </row>
    <row r="37" spans="1:72" s="23" customFormat="1" ht="1.5" customHeight="1" x14ac:dyDescent="0.25">
      <c r="A37" s="26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202"/>
      <c r="AL37" s="202"/>
      <c r="AM37" s="202"/>
      <c r="AN37" s="87"/>
      <c r="AO37" s="87"/>
      <c r="AP37" s="87"/>
      <c r="AQ37" s="202"/>
      <c r="AR37" s="202"/>
      <c r="AS37" s="202"/>
      <c r="AT37" s="202"/>
      <c r="AU37" s="202"/>
      <c r="AV37" s="202"/>
      <c r="AW37" s="202"/>
      <c r="AX37" s="202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112"/>
      <c r="BS37" s="26"/>
      <c r="BT37" s="26"/>
    </row>
    <row r="38" spans="1:72" s="39" customFormat="1" ht="9" customHeight="1" x14ac:dyDescent="0.25">
      <c r="A38" s="38"/>
      <c r="B38" s="474" t="s">
        <v>256</v>
      </c>
      <c r="C38" s="475"/>
      <c r="D38" s="476"/>
      <c r="E38" s="504" t="s">
        <v>270</v>
      </c>
      <c r="F38" s="505"/>
      <c r="G38" s="505"/>
      <c r="H38" s="505"/>
      <c r="I38" s="505"/>
      <c r="J38" s="506"/>
      <c r="K38" s="106"/>
      <c r="L38" s="474" t="s">
        <v>257</v>
      </c>
      <c r="M38" s="475"/>
      <c r="N38" s="476"/>
      <c r="O38" s="504" t="s">
        <v>270</v>
      </c>
      <c r="P38" s="505"/>
      <c r="Q38" s="505"/>
      <c r="R38" s="505"/>
      <c r="S38" s="505"/>
      <c r="T38" s="506"/>
      <c r="U38" s="106"/>
      <c r="V38" s="474" t="s">
        <v>258</v>
      </c>
      <c r="W38" s="475"/>
      <c r="X38" s="476"/>
      <c r="Y38" s="504" t="s">
        <v>270</v>
      </c>
      <c r="Z38" s="505"/>
      <c r="AA38" s="505"/>
      <c r="AB38" s="505"/>
      <c r="AC38" s="505"/>
      <c r="AD38" s="506"/>
      <c r="AE38" s="106"/>
      <c r="AF38" s="474" t="s">
        <v>259</v>
      </c>
      <c r="AG38" s="475"/>
      <c r="AH38" s="476"/>
      <c r="AI38" s="504" t="s">
        <v>270</v>
      </c>
      <c r="AJ38" s="505"/>
      <c r="AK38" s="505"/>
      <c r="AL38" s="505"/>
      <c r="AM38" s="505"/>
      <c r="AN38" s="506"/>
      <c r="AO38" s="106"/>
      <c r="AP38" s="507" t="s">
        <v>260</v>
      </c>
      <c r="AQ38" s="508"/>
      <c r="AR38" s="509"/>
      <c r="AS38" s="510" t="s">
        <v>270</v>
      </c>
      <c r="AT38" s="511"/>
      <c r="AU38" s="511"/>
      <c r="AV38" s="511"/>
      <c r="AW38" s="511"/>
      <c r="AX38" s="512"/>
      <c r="AY38" s="108"/>
      <c r="AZ38" s="474" t="s">
        <v>261</v>
      </c>
      <c r="BA38" s="475"/>
      <c r="BB38" s="476"/>
      <c r="BC38" s="504" t="s">
        <v>270</v>
      </c>
      <c r="BD38" s="505"/>
      <c r="BE38" s="505"/>
      <c r="BF38" s="505"/>
      <c r="BG38" s="505"/>
      <c r="BH38" s="506"/>
      <c r="BI38" s="106"/>
      <c r="BJ38" s="474" t="s">
        <v>262</v>
      </c>
      <c r="BK38" s="475"/>
      <c r="BL38" s="476"/>
      <c r="BM38" s="504" t="s">
        <v>270</v>
      </c>
      <c r="BN38" s="505"/>
      <c r="BO38" s="505"/>
      <c r="BP38" s="505"/>
      <c r="BQ38" s="505"/>
      <c r="BR38" s="506"/>
      <c r="BS38" s="38"/>
      <c r="BT38" s="38"/>
    </row>
    <row r="39" spans="1:72" s="32" customFormat="1" ht="9" customHeight="1" x14ac:dyDescent="0.25">
      <c r="B39" s="489" t="s">
        <v>634</v>
      </c>
      <c r="C39" s="490"/>
      <c r="D39" s="490"/>
      <c r="E39" s="490"/>
      <c r="F39" s="490"/>
      <c r="G39" s="490"/>
      <c r="H39" s="490"/>
      <c r="I39" s="490"/>
      <c r="J39" s="491"/>
      <c r="K39" s="90"/>
      <c r="L39" s="489" t="s">
        <v>634</v>
      </c>
      <c r="M39" s="490"/>
      <c r="N39" s="490"/>
      <c r="O39" s="490"/>
      <c r="P39" s="490"/>
      <c r="Q39" s="490"/>
      <c r="R39" s="490"/>
      <c r="S39" s="490"/>
      <c r="T39" s="491"/>
      <c r="U39" s="90"/>
      <c r="V39" s="489" t="s">
        <v>634</v>
      </c>
      <c r="W39" s="490"/>
      <c r="X39" s="490"/>
      <c r="Y39" s="490"/>
      <c r="Z39" s="490"/>
      <c r="AA39" s="490"/>
      <c r="AB39" s="490"/>
      <c r="AC39" s="490"/>
      <c r="AD39" s="491"/>
      <c r="AE39" s="90"/>
      <c r="AF39" s="489" t="s">
        <v>634</v>
      </c>
      <c r="AG39" s="490"/>
      <c r="AH39" s="490"/>
      <c r="AI39" s="490"/>
      <c r="AJ39" s="490"/>
      <c r="AK39" s="490"/>
      <c r="AL39" s="490"/>
      <c r="AM39" s="490"/>
      <c r="AN39" s="491"/>
      <c r="AO39" s="90"/>
      <c r="AP39" s="516" t="s">
        <v>634</v>
      </c>
      <c r="AQ39" s="490"/>
      <c r="AR39" s="490"/>
      <c r="AS39" s="490"/>
      <c r="AT39" s="490"/>
      <c r="AU39" s="490"/>
      <c r="AV39" s="490"/>
      <c r="AW39" s="490"/>
      <c r="AX39" s="517"/>
      <c r="AY39" s="91"/>
      <c r="AZ39" s="489" t="s">
        <v>634</v>
      </c>
      <c r="BA39" s="490"/>
      <c r="BB39" s="490"/>
      <c r="BC39" s="490"/>
      <c r="BD39" s="490"/>
      <c r="BE39" s="490"/>
      <c r="BF39" s="490"/>
      <c r="BG39" s="490"/>
      <c r="BH39" s="491"/>
      <c r="BI39" s="90"/>
      <c r="BJ39" s="489" t="s">
        <v>635</v>
      </c>
      <c r="BK39" s="490"/>
      <c r="BL39" s="490"/>
      <c r="BM39" s="490"/>
      <c r="BN39" s="490"/>
      <c r="BO39" s="490"/>
      <c r="BP39" s="490"/>
      <c r="BQ39" s="490"/>
      <c r="BR39" s="491"/>
      <c r="BS39" s="34"/>
      <c r="BT39" s="34"/>
    </row>
    <row r="40" spans="1:72" s="32" customFormat="1" ht="9" customHeight="1" x14ac:dyDescent="0.25">
      <c r="B40" s="489" t="s">
        <v>263</v>
      </c>
      <c r="C40" s="490"/>
      <c r="D40" s="490"/>
      <c r="E40" s="490"/>
      <c r="F40" s="490"/>
      <c r="G40" s="490"/>
      <c r="H40" s="490"/>
      <c r="I40" s="490"/>
      <c r="J40" s="491"/>
      <c r="K40" s="90"/>
      <c r="L40" s="489" t="s">
        <v>264</v>
      </c>
      <c r="M40" s="490"/>
      <c r="N40" s="490"/>
      <c r="O40" s="490"/>
      <c r="P40" s="490"/>
      <c r="Q40" s="490"/>
      <c r="R40" s="490"/>
      <c r="S40" s="490"/>
      <c r="T40" s="491"/>
      <c r="U40" s="90"/>
      <c r="V40" s="489" t="s">
        <v>265</v>
      </c>
      <c r="W40" s="490"/>
      <c r="X40" s="490"/>
      <c r="Y40" s="490"/>
      <c r="Z40" s="490"/>
      <c r="AA40" s="490"/>
      <c r="AB40" s="490"/>
      <c r="AC40" s="490"/>
      <c r="AD40" s="491"/>
      <c r="AE40" s="90"/>
      <c r="AF40" s="489" t="s">
        <v>266</v>
      </c>
      <c r="AG40" s="490"/>
      <c r="AH40" s="490"/>
      <c r="AI40" s="490"/>
      <c r="AJ40" s="490"/>
      <c r="AK40" s="490"/>
      <c r="AL40" s="490"/>
      <c r="AM40" s="490"/>
      <c r="AN40" s="491"/>
      <c r="AO40" s="90"/>
      <c r="AP40" s="516" t="s">
        <v>267</v>
      </c>
      <c r="AQ40" s="490"/>
      <c r="AR40" s="490"/>
      <c r="AS40" s="490"/>
      <c r="AT40" s="490"/>
      <c r="AU40" s="490"/>
      <c r="AV40" s="490"/>
      <c r="AW40" s="490"/>
      <c r="AX40" s="517"/>
      <c r="AY40" s="91"/>
      <c r="AZ40" s="490" t="s">
        <v>268</v>
      </c>
      <c r="BA40" s="490"/>
      <c r="BB40" s="490"/>
      <c r="BC40" s="490"/>
      <c r="BD40" s="490"/>
      <c r="BE40" s="490"/>
      <c r="BF40" s="490"/>
      <c r="BG40" s="490"/>
      <c r="BH40" s="491"/>
      <c r="BI40" s="90"/>
      <c r="BJ40" s="489" t="s">
        <v>264</v>
      </c>
      <c r="BK40" s="490"/>
      <c r="BL40" s="490"/>
      <c r="BM40" s="490"/>
      <c r="BN40" s="490"/>
      <c r="BO40" s="490"/>
      <c r="BP40" s="490"/>
      <c r="BQ40" s="490"/>
      <c r="BR40" s="491"/>
      <c r="BS40" s="34"/>
      <c r="BT40" s="34"/>
    </row>
    <row r="41" spans="1:72" s="32" customFormat="1" ht="9" customHeight="1" x14ac:dyDescent="0.25">
      <c r="B41" s="103"/>
      <c r="C41" s="90"/>
      <c r="D41" s="90"/>
      <c r="E41" s="90"/>
      <c r="F41" s="90"/>
      <c r="G41" s="90"/>
      <c r="H41" s="90"/>
      <c r="I41" s="90"/>
      <c r="J41" s="91"/>
      <c r="K41" s="90"/>
      <c r="L41" s="103"/>
      <c r="M41" s="90"/>
      <c r="N41" s="90"/>
      <c r="O41" s="90"/>
      <c r="P41" s="90"/>
      <c r="Q41" s="90"/>
      <c r="R41" s="90"/>
      <c r="S41" s="90"/>
      <c r="T41" s="91"/>
      <c r="U41" s="90"/>
      <c r="V41" s="103"/>
      <c r="W41" s="90"/>
      <c r="X41" s="90"/>
      <c r="Y41" s="90"/>
      <c r="Z41" s="90"/>
      <c r="AA41" s="90"/>
      <c r="AB41" s="90"/>
      <c r="AC41" s="90"/>
      <c r="AD41" s="91"/>
      <c r="AE41" s="90"/>
      <c r="AF41" s="103"/>
      <c r="AG41" s="90"/>
      <c r="AH41" s="90"/>
      <c r="AI41" s="90"/>
      <c r="AJ41" s="90"/>
      <c r="AK41" s="90"/>
      <c r="AL41" s="90"/>
      <c r="AM41" s="90"/>
      <c r="AN41" s="91"/>
      <c r="AO41" s="90"/>
      <c r="AP41" s="101"/>
      <c r="AQ41" s="90"/>
      <c r="AR41" s="90"/>
      <c r="AS41" s="90"/>
      <c r="AT41" s="90"/>
      <c r="AU41" s="90"/>
      <c r="AV41" s="90"/>
      <c r="AW41" s="90"/>
      <c r="AX41" s="102"/>
      <c r="AY41" s="91"/>
      <c r="AZ41" s="90"/>
      <c r="BA41" s="90"/>
      <c r="BB41" s="90"/>
      <c r="BC41" s="90"/>
      <c r="BD41" s="90"/>
      <c r="BE41" s="90"/>
      <c r="BF41" s="90"/>
      <c r="BG41" s="90"/>
      <c r="BH41" s="91"/>
      <c r="BI41" s="90"/>
      <c r="BJ41" s="103"/>
      <c r="BK41" s="90"/>
      <c r="BL41" s="90"/>
      <c r="BM41" s="90"/>
      <c r="BN41" s="90"/>
      <c r="BO41" s="90"/>
      <c r="BP41" s="90"/>
      <c r="BQ41" s="90"/>
      <c r="BR41" s="91"/>
      <c r="BS41" s="34"/>
      <c r="BT41" s="34"/>
    </row>
    <row r="42" spans="1:72" s="23" customFormat="1" ht="9" customHeight="1" x14ac:dyDescent="0.25">
      <c r="B42" s="88"/>
      <c r="C42" s="87"/>
      <c r="D42" s="87"/>
      <c r="E42" s="87"/>
      <c r="F42" s="87"/>
      <c r="G42" s="87"/>
      <c r="H42" s="87"/>
      <c r="I42" s="87"/>
      <c r="J42" s="89"/>
      <c r="K42" s="87"/>
      <c r="L42" s="88"/>
      <c r="M42" s="87"/>
      <c r="N42" s="87"/>
      <c r="O42" s="87"/>
      <c r="P42" s="87"/>
      <c r="Q42" s="87"/>
      <c r="R42" s="87"/>
      <c r="S42" s="87"/>
      <c r="T42" s="89"/>
      <c r="U42" s="87"/>
      <c r="V42" s="88"/>
      <c r="W42" s="87"/>
      <c r="X42" s="87"/>
      <c r="Y42" s="87"/>
      <c r="Z42" s="87"/>
      <c r="AA42" s="87"/>
      <c r="AB42" s="87"/>
      <c r="AC42" s="87"/>
      <c r="AD42" s="89"/>
      <c r="AE42" s="87"/>
      <c r="AF42" s="88"/>
      <c r="AG42" s="87"/>
      <c r="AH42" s="87"/>
      <c r="AI42" s="87"/>
      <c r="AJ42" s="87"/>
      <c r="AK42" s="87"/>
      <c r="AL42" s="87"/>
      <c r="AM42" s="87"/>
      <c r="AN42" s="89"/>
      <c r="AO42" s="87"/>
      <c r="AP42" s="104"/>
      <c r="AQ42" s="87"/>
      <c r="AR42" s="87"/>
      <c r="AS42" s="87"/>
      <c r="AT42" s="87"/>
      <c r="AU42" s="87"/>
      <c r="AV42" s="87"/>
      <c r="AW42" s="87"/>
      <c r="AX42" s="105"/>
      <c r="AY42" s="89"/>
      <c r="AZ42" s="87"/>
      <c r="BA42" s="87"/>
      <c r="BB42" s="87"/>
      <c r="BC42" s="87"/>
      <c r="BD42" s="87"/>
      <c r="BE42" s="87"/>
      <c r="BF42" s="87"/>
      <c r="BG42" s="87"/>
      <c r="BH42" s="89"/>
      <c r="BI42" s="87"/>
      <c r="BJ42" s="88"/>
      <c r="BK42" s="87"/>
      <c r="BL42" s="87"/>
      <c r="BM42" s="87"/>
      <c r="BN42" s="87"/>
      <c r="BO42" s="87"/>
      <c r="BP42" s="87"/>
      <c r="BQ42" s="87"/>
      <c r="BR42" s="89"/>
      <c r="BS42" s="26"/>
      <c r="BT42" s="26"/>
    </row>
    <row r="43" spans="1:72" s="23" customFormat="1" ht="9" customHeight="1" x14ac:dyDescent="0.25">
      <c r="B43" s="88"/>
      <c r="C43" s="87"/>
      <c r="D43" s="87"/>
      <c r="E43" s="87"/>
      <c r="F43" s="87"/>
      <c r="G43" s="87"/>
      <c r="H43" s="87"/>
      <c r="I43" s="87"/>
      <c r="J43" s="89"/>
      <c r="K43" s="87"/>
      <c r="L43" s="88"/>
      <c r="M43" s="87"/>
      <c r="N43" s="87"/>
      <c r="O43" s="87"/>
      <c r="P43" s="87"/>
      <c r="Q43" s="87"/>
      <c r="R43" s="87"/>
      <c r="S43" s="87"/>
      <c r="T43" s="89"/>
      <c r="U43" s="87"/>
      <c r="V43" s="88"/>
      <c r="W43" s="87"/>
      <c r="X43" s="87"/>
      <c r="Y43" s="87"/>
      <c r="Z43" s="87"/>
      <c r="AA43" s="87"/>
      <c r="AB43" s="87"/>
      <c r="AC43" s="87"/>
      <c r="AD43" s="89"/>
      <c r="AE43" s="87"/>
      <c r="AF43" s="88"/>
      <c r="AG43" s="87"/>
      <c r="AH43" s="87"/>
      <c r="AI43" s="87"/>
      <c r="AJ43" s="87"/>
      <c r="AK43" s="87"/>
      <c r="AL43" s="87"/>
      <c r="AM43" s="87"/>
      <c r="AN43" s="89"/>
      <c r="AO43" s="87"/>
      <c r="AP43" s="104"/>
      <c r="AQ43" s="87"/>
      <c r="AR43" s="87"/>
      <c r="AS43" s="87"/>
      <c r="AT43" s="87"/>
      <c r="AU43" s="87"/>
      <c r="AV43" s="87"/>
      <c r="AW43" s="87"/>
      <c r="AX43" s="105"/>
      <c r="AY43" s="89"/>
      <c r="AZ43" s="87"/>
      <c r="BA43" s="87"/>
      <c r="BB43" s="87"/>
      <c r="BC43" s="87"/>
      <c r="BD43" s="87"/>
      <c r="BE43" s="87"/>
      <c r="BF43" s="87"/>
      <c r="BG43" s="87"/>
      <c r="BH43" s="89"/>
      <c r="BI43" s="87"/>
      <c r="BJ43" s="88"/>
      <c r="BK43" s="87"/>
      <c r="BL43" s="87"/>
      <c r="BM43" s="87"/>
      <c r="BN43" s="87"/>
      <c r="BO43" s="87"/>
      <c r="BP43" s="87"/>
      <c r="BQ43" s="87"/>
      <c r="BR43" s="89"/>
      <c r="BS43" s="26"/>
      <c r="BT43" s="26"/>
    </row>
    <row r="44" spans="1:72" s="23" customFormat="1" ht="9.75" customHeight="1" x14ac:dyDescent="0.25">
      <c r="B44" s="88"/>
      <c r="C44" s="87"/>
      <c r="D44" s="87"/>
      <c r="E44" s="87"/>
      <c r="F44" s="87"/>
      <c r="G44" s="87"/>
      <c r="H44" s="87"/>
      <c r="I44" s="87"/>
      <c r="J44" s="89"/>
      <c r="K44" s="87"/>
      <c r="L44" s="88"/>
      <c r="M44" s="87"/>
      <c r="N44" s="87"/>
      <c r="O44" s="87"/>
      <c r="P44" s="87"/>
      <c r="Q44" s="87"/>
      <c r="R44" s="87"/>
      <c r="S44" s="87"/>
      <c r="T44" s="89"/>
      <c r="U44" s="87"/>
      <c r="V44" s="88"/>
      <c r="W44" s="87"/>
      <c r="X44" s="87"/>
      <c r="Y44" s="87"/>
      <c r="Z44" s="87"/>
      <c r="AA44" s="87"/>
      <c r="AB44" s="87"/>
      <c r="AC44" s="87"/>
      <c r="AD44" s="89"/>
      <c r="AE44" s="87"/>
      <c r="AF44" s="88"/>
      <c r="AG44" s="87"/>
      <c r="AH44" s="87"/>
      <c r="AI44" s="87"/>
      <c r="AJ44" s="87"/>
      <c r="AK44" s="87"/>
      <c r="AL44" s="87"/>
      <c r="AM44" s="87"/>
      <c r="AN44" s="89"/>
      <c r="AO44" s="87"/>
      <c r="AP44" s="104"/>
      <c r="AQ44" s="87"/>
      <c r="AR44" s="87"/>
      <c r="AS44" s="87"/>
      <c r="AT44" s="87"/>
      <c r="AU44" s="87"/>
      <c r="AV44" s="87"/>
      <c r="AW44" s="87"/>
      <c r="AX44" s="105"/>
      <c r="AY44" s="89"/>
      <c r="AZ44" s="87"/>
      <c r="BA44" s="87"/>
      <c r="BB44" s="87"/>
      <c r="BC44" s="87"/>
      <c r="BD44" s="87"/>
      <c r="BE44" s="87"/>
      <c r="BF44" s="87"/>
      <c r="BG44" s="87"/>
      <c r="BH44" s="89"/>
      <c r="BI44" s="87"/>
      <c r="BJ44" s="88"/>
      <c r="BK44" s="87"/>
      <c r="BL44" s="87"/>
      <c r="BM44" s="87"/>
      <c r="BN44" s="87"/>
      <c r="BO44" s="87"/>
      <c r="BP44" s="87"/>
      <c r="BQ44" s="87"/>
      <c r="BR44" s="89"/>
      <c r="BS44" s="26"/>
      <c r="BT44" s="26"/>
    </row>
    <row r="45" spans="1:72" s="23" customFormat="1" ht="9.75" customHeight="1" x14ac:dyDescent="0.25">
      <c r="B45" s="88"/>
      <c r="C45" s="87"/>
      <c r="D45" s="87"/>
      <c r="E45" s="87"/>
      <c r="F45" s="87"/>
      <c r="G45" s="87"/>
      <c r="H45" s="87"/>
      <c r="I45" s="87"/>
      <c r="J45" s="89"/>
      <c r="K45" s="87"/>
      <c r="L45" s="88"/>
      <c r="M45" s="87"/>
      <c r="N45" s="87"/>
      <c r="O45" s="87"/>
      <c r="P45" s="87"/>
      <c r="Q45" s="87"/>
      <c r="R45" s="87"/>
      <c r="S45" s="87"/>
      <c r="T45" s="89"/>
      <c r="U45" s="87"/>
      <c r="V45" s="88"/>
      <c r="W45" s="87"/>
      <c r="X45" s="87"/>
      <c r="Y45" s="87"/>
      <c r="Z45" s="87"/>
      <c r="AA45" s="87"/>
      <c r="AB45" s="87"/>
      <c r="AC45" s="87"/>
      <c r="AD45" s="89"/>
      <c r="AE45" s="87"/>
      <c r="AF45" s="88"/>
      <c r="AG45" s="87"/>
      <c r="AH45" s="87"/>
      <c r="AI45" s="87"/>
      <c r="AJ45" s="87"/>
      <c r="AK45" s="87"/>
      <c r="AL45" s="87"/>
      <c r="AM45" s="87"/>
      <c r="AN45" s="89"/>
      <c r="AO45" s="87"/>
      <c r="AP45" s="104"/>
      <c r="AQ45" s="87"/>
      <c r="AR45" s="87"/>
      <c r="AS45" s="87"/>
      <c r="AT45" s="87"/>
      <c r="AU45" s="87"/>
      <c r="AV45" s="87"/>
      <c r="AW45" s="87"/>
      <c r="AX45" s="105"/>
      <c r="AY45" s="89"/>
      <c r="AZ45" s="87"/>
      <c r="BA45" s="87"/>
      <c r="BB45" s="87"/>
      <c r="BC45" s="87"/>
      <c r="BD45" s="87"/>
      <c r="BE45" s="87"/>
      <c r="BF45" s="87"/>
      <c r="BG45" s="87"/>
      <c r="BH45" s="89"/>
      <c r="BI45" s="87"/>
      <c r="BJ45" s="88"/>
      <c r="BK45" s="87"/>
      <c r="BL45" s="87"/>
      <c r="BM45" s="87"/>
      <c r="BN45" s="87"/>
      <c r="BO45" s="87"/>
      <c r="BP45" s="87"/>
      <c r="BQ45" s="87"/>
      <c r="BR45" s="89"/>
      <c r="BS45" s="26"/>
      <c r="BT45" s="26"/>
    </row>
    <row r="46" spans="1:72" s="23" customFormat="1" ht="9.75" customHeight="1" x14ac:dyDescent="0.25">
      <c r="B46" s="88"/>
      <c r="C46" s="87"/>
      <c r="D46" s="87"/>
      <c r="E46" s="87"/>
      <c r="F46" s="87"/>
      <c r="G46" s="87"/>
      <c r="H46" s="87"/>
      <c r="I46" s="87"/>
      <c r="J46" s="89"/>
      <c r="K46" s="87"/>
      <c r="L46" s="88"/>
      <c r="M46" s="87"/>
      <c r="N46" s="87"/>
      <c r="O46" s="87"/>
      <c r="P46" s="87"/>
      <c r="Q46" s="87"/>
      <c r="R46" s="87"/>
      <c r="S46" s="87"/>
      <c r="T46" s="89"/>
      <c r="U46" s="87"/>
      <c r="V46" s="88"/>
      <c r="W46" s="87"/>
      <c r="X46" s="87"/>
      <c r="Y46" s="87"/>
      <c r="Z46" s="87"/>
      <c r="AA46" s="87"/>
      <c r="AB46" s="87"/>
      <c r="AC46" s="87"/>
      <c r="AD46" s="89"/>
      <c r="AE46" s="87"/>
      <c r="AF46" s="88"/>
      <c r="AG46" s="87"/>
      <c r="AH46" s="87"/>
      <c r="AI46" s="87"/>
      <c r="AJ46" s="87"/>
      <c r="AK46" s="87"/>
      <c r="AL46" s="87"/>
      <c r="AM46" s="87"/>
      <c r="AN46" s="89"/>
      <c r="AO46" s="87"/>
      <c r="AP46" s="104"/>
      <c r="AQ46" s="87"/>
      <c r="AR46" s="87"/>
      <c r="AS46" s="87"/>
      <c r="AT46" s="87"/>
      <c r="AU46" s="87"/>
      <c r="AV46" s="87"/>
      <c r="AW46" s="87"/>
      <c r="AX46" s="105"/>
      <c r="AY46" s="89"/>
      <c r="AZ46" s="87"/>
      <c r="BA46" s="87"/>
      <c r="BB46" s="87"/>
      <c r="BC46" s="87"/>
      <c r="BD46" s="87"/>
      <c r="BE46" s="87"/>
      <c r="BF46" s="87"/>
      <c r="BG46" s="87"/>
      <c r="BH46" s="89"/>
      <c r="BI46" s="87"/>
      <c r="BJ46" s="88"/>
      <c r="BK46" s="87"/>
      <c r="BL46" s="87"/>
      <c r="BM46" s="87"/>
      <c r="BN46" s="87"/>
      <c r="BO46" s="87"/>
      <c r="BP46" s="87"/>
      <c r="BQ46" s="87"/>
      <c r="BR46" s="89"/>
      <c r="BS46" s="26"/>
      <c r="BT46" s="26"/>
    </row>
    <row r="47" spans="1:72" s="39" customFormat="1" ht="9" customHeight="1" x14ac:dyDescent="0.25">
      <c r="B47" s="107"/>
      <c r="C47" s="106"/>
      <c r="D47" s="106"/>
      <c r="E47" s="106"/>
      <c r="F47" s="106"/>
      <c r="G47" s="106"/>
      <c r="H47" s="106"/>
      <c r="I47" s="106"/>
      <c r="J47" s="108"/>
      <c r="K47" s="106"/>
      <c r="L47" s="107"/>
      <c r="M47" s="106"/>
      <c r="N47" s="106"/>
      <c r="O47" s="106"/>
      <c r="P47" s="106"/>
      <c r="Q47" s="106"/>
      <c r="R47" s="106"/>
      <c r="S47" s="106"/>
      <c r="T47" s="108"/>
      <c r="U47" s="106"/>
      <c r="V47" s="107"/>
      <c r="W47" s="106"/>
      <c r="X47" s="106"/>
      <c r="Y47" s="106"/>
      <c r="Z47" s="106"/>
      <c r="AA47" s="106"/>
      <c r="AB47" s="106"/>
      <c r="AC47" s="106"/>
      <c r="AD47" s="108"/>
      <c r="AE47" s="106"/>
      <c r="AF47" s="107"/>
      <c r="AG47" s="106"/>
      <c r="AH47" s="106"/>
      <c r="AI47" s="106"/>
      <c r="AJ47" s="106"/>
      <c r="AK47" s="106"/>
      <c r="AL47" s="106"/>
      <c r="AM47" s="106"/>
      <c r="AN47" s="108"/>
      <c r="AO47" s="106"/>
      <c r="AP47" s="110"/>
      <c r="AQ47" s="106"/>
      <c r="AR47" s="106"/>
      <c r="AS47" s="106"/>
      <c r="AT47" s="106"/>
      <c r="AU47" s="106"/>
      <c r="AV47" s="106"/>
      <c r="AW47" s="106"/>
      <c r="AX47" s="111"/>
      <c r="AY47" s="108"/>
      <c r="AZ47" s="106"/>
      <c r="BA47" s="106"/>
      <c r="BB47" s="106"/>
      <c r="BC47" s="106"/>
      <c r="BD47" s="106"/>
      <c r="BE47" s="106"/>
      <c r="BF47" s="106"/>
      <c r="BG47" s="106"/>
      <c r="BH47" s="108"/>
      <c r="BI47" s="106"/>
      <c r="BJ47" s="107"/>
      <c r="BK47" s="106"/>
      <c r="BL47" s="106"/>
      <c r="BM47" s="106"/>
      <c r="BN47" s="106"/>
      <c r="BO47" s="106"/>
      <c r="BP47" s="106"/>
      <c r="BQ47" s="106"/>
      <c r="BR47" s="108"/>
      <c r="BS47" s="38"/>
      <c r="BT47" s="38"/>
    </row>
    <row r="48" spans="1:72" s="39" customFormat="1" ht="9" customHeight="1" x14ac:dyDescent="0.25">
      <c r="B48" s="107"/>
      <c r="C48" s="106"/>
      <c r="D48" s="106"/>
      <c r="E48" s="106"/>
      <c r="F48" s="106"/>
      <c r="G48" s="106"/>
      <c r="H48" s="106"/>
      <c r="I48" s="106"/>
      <c r="J48" s="108"/>
      <c r="K48" s="106"/>
      <c r="L48" s="107"/>
      <c r="M48" s="106"/>
      <c r="N48" s="106"/>
      <c r="O48" s="106"/>
      <c r="P48" s="106"/>
      <c r="Q48" s="106"/>
      <c r="R48" s="106"/>
      <c r="S48" s="106"/>
      <c r="T48" s="108"/>
      <c r="U48" s="106"/>
      <c r="V48" s="107"/>
      <c r="W48" s="106"/>
      <c r="X48" s="106"/>
      <c r="Y48" s="106"/>
      <c r="Z48" s="106"/>
      <c r="AA48" s="106"/>
      <c r="AB48" s="106"/>
      <c r="AC48" s="106"/>
      <c r="AD48" s="108"/>
      <c r="AE48" s="106"/>
      <c r="AF48" s="107"/>
      <c r="AG48" s="106"/>
      <c r="AH48" s="106"/>
      <c r="AI48" s="106"/>
      <c r="AJ48" s="106"/>
      <c r="AK48" s="106"/>
      <c r="AL48" s="106"/>
      <c r="AM48" s="106"/>
      <c r="AN48" s="108"/>
      <c r="AO48" s="106"/>
      <c r="AP48" s="110"/>
      <c r="AQ48" s="106"/>
      <c r="AR48" s="106"/>
      <c r="AS48" s="106"/>
      <c r="AT48" s="106"/>
      <c r="AU48" s="106"/>
      <c r="AV48" s="106"/>
      <c r="AW48" s="106"/>
      <c r="AX48" s="111"/>
      <c r="AY48" s="108"/>
      <c r="AZ48" s="106"/>
      <c r="BA48" s="106"/>
      <c r="BB48" s="106"/>
      <c r="BC48" s="106"/>
      <c r="BD48" s="106"/>
      <c r="BE48" s="106"/>
      <c r="BF48" s="106"/>
      <c r="BG48" s="106"/>
      <c r="BH48" s="108"/>
      <c r="BI48" s="106"/>
      <c r="BJ48" s="107"/>
      <c r="BK48" s="106"/>
      <c r="BL48" s="106"/>
      <c r="BM48" s="106"/>
      <c r="BN48" s="106"/>
      <c r="BO48" s="106"/>
      <c r="BP48" s="106"/>
      <c r="BQ48" s="106"/>
      <c r="BR48" s="108"/>
      <c r="BS48" s="38"/>
      <c r="BT48" s="38"/>
    </row>
    <row r="49" spans="1:72" s="39" customFormat="1" ht="9" customHeight="1" x14ac:dyDescent="0.25">
      <c r="B49" s="492" t="s">
        <v>238</v>
      </c>
      <c r="C49" s="492"/>
      <c r="D49" s="492"/>
      <c r="E49" s="492"/>
      <c r="F49" s="492"/>
      <c r="G49" s="493">
        <f>CEILING(3723*A5,1)</f>
        <v>5213</v>
      </c>
      <c r="H49" s="493"/>
      <c r="I49" s="493"/>
      <c r="J49" s="493"/>
      <c r="K49" s="227"/>
      <c r="L49" s="492" t="s">
        <v>238</v>
      </c>
      <c r="M49" s="492"/>
      <c r="N49" s="492"/>
      <c r="O49" s="492"/>
      <c r="P49" s="492"/>
      <c r="Q49" s="493">
        <f>CEILING(3960*A5,1)</f>
        <v>5544</v>
      </c>
      <c r="R49" s="493"/>
      <c r="S49" s="493"/>
      <c r="T49" s="493"/>
      <c r="U49" s="227"/>
      <c r="V49" s="492" t="s">
        <v>238</v>
      </c>
      <c r="W49" s="492"/>
      <c r="X49" s="492"/>
      <c r="Y49" s="492"/>
      <c r="Z49" s="492"/>
      <c r="AA49" s="493">
        <f>CEILING(3651*A5,1)</f>
        <v>5112</v>
      </c>
      <c r="AB49" s="493"/>
      <c r="AC49" s="493"/>
      <c r="AD49" s="493"/>
      <c r="AE49" s="227"/>
      <c r="AF49" s="492" t="s">
        <v>238</v>
      </c>
      <c r="AG49" s="492"/>
      <c r="AH49" s="492"/>
      <c r="AI49" s="492"/>
      <c r="AJ49" s="492"/>
      <c r="AK49" s="493">
        <f>CEILING(4019*A5,1)</f>
        <v>5627</v>
      </c>
      <c r="AL49" s="493"/>
      <c r="AM49" s="493"/>
      <c r="AN49" s="493"/>
      <c r="AO49" s="227"/>
      <c r="AP49" s="492" t="s">
        <v>238</v>
      </c>
      <c r="AQ49" s="492"/>
      <c r="AR49" s="492"/>
      <c r="AS49" s="492"/>
      <c r="AT49" s="492"/>
      <c r="AU49" s="493">
        <f>CEILING(4041*A5,1)</f>
        <v>5658</v>
      </c>
      <c r="AV49" s="493"/>
      <c r="AW49" s="493"/>
      <c r="AX49" s="493"/>
      <c r="AY49" s="227"/>
      <c r="AZ49" s="492" t="s">
        <v>238</v>
      </c>
      <c r="BA49" s="492"/>
      <c r="BB49" s="492"/>
      <c r="BC49" s="492"/>
      <c r="BD49" s="492"/>
      <c r="BE49" s="493">
        <f>CEILING(3239*A5,1)</f>
        <v>4535</v>
      </c>
      <c r="BF49" s="493"/>
      <c r="BG49" s="493"/>
      <c r="BH49" s="493"/>
      <c r="BI49" s="189"/>
      <c r="BJ49" s="190"/>
      <c r="BK49" s="189"/>
      <c r="BL49" s="189"/>
      <c r="BM49" s="189"/>
      <c r="BN49" s="189"/>
      <c r="BO49" s="189"/>
      <c r="BP49" s="189"/>
      <c r="BQ49" s="189"/>
      <c r="BR49" s="192"/>
      <c r="BS49" s="38"/>
      <c r="BT49" s="38"/>
    </row>
    <row r="50" spans="1:72" s="39" customFormat="1" ht="9" customHeight="1" x14ac:dyDescent="0.25">
      <c r="B50" s="492" t="s">
        <v>239</v>
      </c>
      <c r="C50" s="492"/>
      <c r="D50" s="492"/>
      <c r="E50" s="492"/>
      <c r="F50" s="492"/>
      <c r="G50" s="493">
        <f>CEILING(3935*A5,1)</f>
        <v>5509</v>
      </c>
      <c r="H50" s="493"/>
      <c r="I50" s="493"/>
      <c r="J50" s="493"/>
      <c r="K50" s="227"/>
      <c r="L50" s="492" t="s">
        <v>239</v>
      </c>
      <c r="M50" s="492"/>
      <c r="N50" s="492"/>
      <c r="O50" s="492"/>
      <c r="P50" s="492"/>
      <c r="Q50" s="493">
        <f>CEILING(4172*A5,1)</f>
        <v>5841</v>
      </c>
      <c r="R50" s="493"/>
      <c r="S50" s="493"/>
      <c r="T50" s="493"/>
      <c r="U50" s="227"/>
      <c r="V50" s="492" t="s">
        <v>239</v>
      </c>
      <c r="W50" s="492"/>
      <c r="X50" s="492"/>
      <c r="Y50" s="492"/>
      <c r="Z50" s="492"/>
      <c r="AA50" s="493">
        <f>CEILING(3828*A5,1)</f>
        <v>5360</v>
      </c>
      <c r="AB50" s="493"/>
      <c r="AC50" s="493"/>
      <c r="AD50" s="493"/>
      <c r="AE50" s="227"/>
      <c r="AF50" s="492" t="s">
        <v>239</v>
      </c>
      <c r="AG50" s="492"/>
      <c r="AH50" s="492"/>
      <c r="AI50" s="492"/>
      <c r="AJ50" s="492"/>
      <c r="AK50" s="493">
        <f>CEILING(4172*A5,1)</f>
        <v>5841</v>
      </c>
      <c r="AL50" s="493"/>
      <c r="AM50" s="493"/>
      <c r="AN50" s="493"/>
      <c r="AO50" s="227"/>
      <c r="AP50" s="492" t="s">
        <v>239</v>
      </c>
      <c r="AQ50" s="492"/>
      <c r="AR50" s="492"/>
      <c r="AS50" s="492"/>
      <c r="AT50" s="492"/>
      <c r="AU50" s="493">
        <f>CEILING(4254*A5,1)</f>
        <v>5956</v>
      </c>
      <c r="AV50" s="493"/>
      <c r="AW50" s="493"/>
      <c r="AX50" s="493"/>
      <c r="AY50" s="227"/>
      <c r="AZ50" s="492" t="s">
        <v>239</v>
      </c>
      <c r="BA50" s="492"/>
      <c r="BB50" s="492"/>
      <c r="BC50" s="492"/>
      <c r="BD50" s="492"/>
      <c r="BE50" s="493">
        <f>CEILING(3427*A5,1)</f>
        <v>4798</v>
      </c>
      <c r="BF50" s="493"/>
      <c r="BG50" s="493"/>
      <c r="BH50" s="493"/>
      <c r="BI50" s="189"/>
      <c r="BJ50" s="492" t="s">
        <v>254</v>
      </c>
      <c r="BK50" s="492"/>
      <c r="BL50" s="492"/>
      <c r="BM50" s="492"/>
      <c r="BN50" s="492"/>
      <c r="BO50" s="493">
        <f>CEILING(5542*A5,1)</f>
        <v>7759</v>
      </c>
      <c r="BP50" s="493"/>
      <c r="BQ50" s="493"/>
      <c r="BR50" s="493"/>
      <c r="BS50" s="38"/>
      <c r="BT50" s="38"/>
    </row>
    <row r="51" spans="1:72" s="39" customFormat="1" ht="9" customHeight="1" x14ac:dyDescent="0.25">
      <c r="B51" s="492" t="s">
        <v>240</v>
      </c>
      <c r="C51" s="492"/>
      <c r="D51" s="492"/>
      <c r="E51" s="492"/>
      <c r="F51" s="492"/>
      <c r="G51" s="493">
        <f>CEILING(4148*A5,1)</f>
        <v>5808</v>
      </c>
      <c r="H51" s="493"/>
      <c r="I51" s="493"/>
      <c r="J51" s="493"/>
      <c r="K51" s="227"/>
      <c r="L51" s="492" t="s">
        <v>240</v>
      </c>
      <c r="M51" s="492"/>
      <c r="N51" s="492"/>
      <c r="O51" s="492"/>
      <c r="P51" s="492"/>
      <c r="Q51" s="493">
        <f>CEILING(4374*A5,1)</f>
        <v>6124</v>
      </c>
      <c r="R51" s="493"/>
      <c r="S51" s="493"/>
      <c r="T51" s="493"/>
      <c r="U51" s="227"/>
      <c r="V51" s="492" t="s">
        <v>240</v>
      </c>
      <c r="W51" s="492"/>
      <c r="X51" s="492"/>
      <c r="Y51" s="492"/>
      <c r="Z51" s="492"/>
      <c r="AA51" s="493">
        <f>CEILING(4019*A5,1)</f>
        <v>5627</v>
      </c>
      <c r="AB51" s="493"/>
      <c r="AC51" s="493"/>
      <c r="AD51" s="493"/>
      <c r="AE51" s="227"/>
      <c r="AF51" s="492" t="s">
        <v>240</v>
      </c>
      <c r="AG51" s="492"/>
      <c r="AH51" s="492"/>
      <c r="AI51" s="492"/>
      <c r="AJ51" s="492"/>
      <c r="AK51" s="493">
        <f>CEILING(4350*A5,1)</f>
        <v>6090</v>
      </c>
      <c r="AL51" s="493"/>
      <c r="AM51" s="493"/>
      <c r="AN51" s="493"/>
      <c r="AO51" s="227"/>
      <c r="AP51" s="492" t="s">
        <v>240</v>
      </c>
      <c r="AQ51" s="492"/>
      <c r="AR51" s="492"/>
      <c r="AS51" s="492"/>
      <c r="AT51" s="492"/>
      <c r="AU51" s="493">
        <f>CEILING(4443*A5,1)</f>
        <v>6221</v>
      </c>
      <c r="AV51" s="493"/>
      <c r="AW51" s="493"/>
      <c r="AX51" s="493"/>
      <c r="AY51" s="227"/>
      <c r="AZ51" s="492" t="s">
        <v>240</v>
      </c>
      <c r="BA51" s="492"/>
      <c r="BB51" s="492"/>
      <c r="BC51" s="492"/>
      <c r="BD51" s="492"/>
      <c r="BE51" s="493">
        <f>CEILING(3642*A5,1)</f>
        <v>5099</v>
      </c>
      <c r="BF51" s="493"/>
      <c r="BG51" s="493"/>
      <c r="BH51" s="493"/>
      <c r="BI51" s="189"/>
      <c r="BJ51" s="492" t="s">
        <v>255</v>
      </c>
      <c r="BK51" s="492"/>
      <c r="BL51" s="492"/>
      <c r="BM51" s="492"/>
      <c r="BN51" s="492"/>
      <c r="BO51" s="493">
        <f>CEILING(5741*A5,1)</f>
        <v>8038</v>
      </c>
      <c r="BP51" s="493"/>
      <c r="BQ51" s="493"/>
      <c r="BR51" s="493"/>
      <c r="BS51" s="38"/>
      <c r="BT51" s="38"/>
    </row>
    <row r="52" spans="1:72" s="23" customFormat="1" ht="1.5" customHeight="1" x14ac:dyDescent="0.25"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239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94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26"/>
      <c r="BT52" s="26"/>
    </row>
    <row r="53" spans="1:72" s="23" customFormat="1" ht="9" customHeight="1" x14ac:dyDescent="0.25">
      <c r="B53" s="474" t="s">
        <v>269</v>
      </c>
      <c r="C53" s="475"/>
      <c r="D53" s="476"/>
      <c r="E53" s="505" t="s">
        <v>270</v>
      </c>
      <c r="F53" s="505"/>
      <c r="G53" s="505"/>
      <c r="H53" s="505"/>
      <c r="I53" s="505"/>
      <c r="J53" s="506"/>
      <c r="K53" s="87"/>
      <c r="L53" s="231" t="s">
        <v>813</v>
      </c>
      <c r="M53" s="232"/>
      <c r="N53" s="232"/>
      <c r="O53" s="233"/>
      <c r="P53" s="234"/>
      <c r="Q53" s="96"/>
      <c r="R53" s="96"/>
      <c r="S53" s="96"/>
      <c r="T53" s="96"/>
      <c r="U53" s="239"/>
      <c r="V53" s="244"/>
      <c r="W53" s="96"/>
      <c r="X53" s="96"/>
      <c r="Y53" s="96"/>
      <c r="Z53" s="96"/>
      <c r="AA53" s="96"/>
      <c r="AB53" s="96"/>
      <c r="AC53" s="96"/>
      <c r="AD53" s="97"/>
      <c r="AE53" s="87"/>
      <c r="AF53" s="507" t="s">
        <v>271</v>
      </c>
      <c r="AG53" s="508"/>
      <c r="AH53" s="509"/>
      <c r="AI53" s="511" t="s">
        <v>272</v>
      </c>
      <c r="AJ53" s="511"/>
      <c r="AK53" s="511"/>
      <c r="AL53" s="511"/>
      <c r="AM53" s="511"/>
      <c r="AN53" s="512"/>
      <c r="AO53" s="87"/>
      <c r="AP53" s="474" t="s">
        <v>273</v>
      </c>
      <c r="AQ53" s="475"/>
      <c r="AR53" s="476"/>
      <c r="AS53" s="505" t="s">
        <v>274</v>
      </c>
      <c r="AT53" s="505"/>
      <c r="AU53" s="505"/>
      <c r="AV53" s="505"/>
      <c r="AW53" s="505"/>
      <c r="AX53" s="506"/>
      <c r="AY53" s="87"/>
      <c r="AZ53" s="474" t="s">
        <v>275</v>
      </c>
      <c r="BA53" s="475"/>
      <c r="BB53" s="476"/>
      <c r="BC53" s="505" t="s">
        <v>276</v>
      </c>
      <c r="BD53" s="505"/>
      <c r="BE53" s="505"/>
      <c r="BF53" s="505"/>
      <c r="BG53" s="505"/>
      <c r="BH53" s="506"/>
      <c r="BI53" s="87"/>
      <c r="BJ53" s="474" t="s">
        <v>277</v>
      </c>
      <c r="BK53" s="475"/>
      <c r="BL53" s="476"/>
      <c r="BM53" s="505" t="s">
        <v>278</v>
      </c>
      <c r="BN53" s="505"/>
      <c r="BO53" s="505"/>
      <c r="BP53" s="505"/>
      <c r="BQ53" s="505"/>
      <c r="BR53" s="506"/>
      <c r="BS53" s="26"/>
      <c r="BT53" s="26"/>
    </row>
    <row r="54" spans="1:72" s="32" customFormat="1" ht="9" customHeight="1" x14ac:dyDescent="0.25">
      <c r="B54" s="489" t="s">
        <v>279</v>
      </c>
      <c r="C54" s="490"/>
      <c r="D54" s="490"/>
      <c r="E54" s="490"/>
      <c r="F54" s="490"/>
      <c r="G54" s="490"/>
      <c r="H54" s="490"/>
      <c r="I54" s="490"/>
      <c r="J54" s="491"/>
      <c r="K54" s="90"/>
      <c r="L54" s="518" t="s">
        <v>814</v>
      </c>
      <c r="M54" s="519"/>
      <c r="N54" s="519"/>
      <c r="O54" s="519"/>
      <c r="P54" s="519"/>
      <c r="Q54" s="519"/>
      <c r="R54" s="519"/>
      <c r="S54" s="519"/>
      <c r="T54" s="520"/>
      <c r="U54" s="239"/>
      <c r="V54" s="521"/>
      <c r="W54" s="522"/>
      <c r="X54" s="522"/>
      <c r="Y54" s="522"/>
      <c r="Z54" s="522"/>
      <c r="AA54" s="522"/>
      <c r="AB54" s="522"/>
      <c r="AC54" s="522"/>
      <c r="AD54" s="523"/>
      <c r="AE54" s="90"/>
      <c r="AF54" s="101"/>
      <c r="AG54" s="90"/>
      <c r="AH54" s="90"/>
      <c r="AI54" s="90"/>
      <c r="AJ54" s="90"/>
      <c r="AK54" s="90"/>
      <c r="AL54" s="90"/>
      <c r="AM54" s="90"/>
      <c r="AN54" s="102"/>
      <c r="AO54" s="90"/>
      <c r="AP54" s="489" t="s">
        <v>280</v>
      </c>
      <c r="AQ54" s="490"/>
      <c r="AR54" s="490"/>
      <c r="AS54" s="490"/>
      <c r="AT54" s="490"/>
      <c r="AU54" s="490"/>
      <c r="AV54" s="490"/>
      <c r="AW54" s="490"/>
      <c r="AX54" s="491"/>
      <c r="AY54" s="90"/>
      <c r="AZ54" s="489" t="s">
        <v>281</v>
      </c>
      <c r="BA54" s="490"/>
      <c r="BB54" s="490"/>
      <c r="BC54" s="490"/>
      <c r="BD54" s="490"/>
      <c r="BE54" s="490"/>
      <c r="BF54" s="490"/>
      <c r="BG54" s="490"/>
      <c r="BH54" s="491"/>
      <c r="BI54" s="90"/>
      <c r="BJ54" s="103"/>
      <c r="BK54" s="90"/>
      <c r="BL54" s="90"/>
      <c r="BM54" s="90"/>
      <c r="BN54" s="90"/>
      <c r="BO54" s="90"/>
      <c r="BP54" s="90"/>
      <c r="BQ54" s="90"/>
      <c r="BR54" s="91"/>
      <c r="BS54" s="34"/>
      <c r="BT54" s="34"/>
    </row>
    <row r="55" spans="1:72" s="32" customFormat="1" ht="9" customHeight="1" x14ac:dyDescent="0.25">
      <c r="B55" s="103"/>
      <c r="C55" s="90"/>
      <c r="D55" s="90"/>
      <c r="E55" s="90"/>
      <c r="F55" s="90"/>
      <c r="G55" s="90"/>
      <c r="H55" s="90"/>
      <c r="I55" s="90"/>
      <c r="J55" s="91"/>
      <c r="K55" s="90"/>
      <c r="L55" s="242"/>
      <c r="M55" s="243"/>
      <c r="N55" s="243"/>
      <c r="O55" s="243"/>
      <c r="P55" s="243"/>
      <c r="Q55" s="243"/>
      <c r="R55" s="243"/>
      <c r="S55" s="243"/>
      <c r="T55" s="243"/>
      <c r="U55" s="239"/>
      <c r="V55" s="96"/>
      <c r="W55" s="96"/>
      <c r="X55" s="96"/>
      <c r="Y55" s="96"/>
      <c r="Z55" s="96"/>
      <c r="AA55" s="96"/>
      <c r="AB55" s="96"/>
      <c r="AC55" s="96"/>
      <c r="AD55" s="97"/>
      <c r="AE55" s="90"/>
      <c r="AF55" s="101"/>
      <c r="AG55" s="90"/>
      <c r="AH55" s="90"/>
      <c r="AI55" s="90"/>
      <c r="AJ55" s="90"/>
      <c r="AK55" s="90"/>
      <c r="AL55" s="90"/>
      <c r="AM55" s="90"/>
      <c r="AN55" s="102"/>
      <c r="AO55" s="90"/>
      <c r="AP55" s="103"/>
      <c r="AQ55" s="90"/>
      <c r="AR55" s="90"/>
      <c r="AS55" s="90"/>
      <c r="AT55" s="90"/>
      <c r="AU55" s="90"/>
      <c r="AV55" s="90"/>
      <c r="AW55" s="90"/>
      <c r="AX55" s="91"/>
      <c r="AY55" s="90"/>
      <c r="AZ55" s="103"/>
      <c r="BA55" s="90"/>
      <c r="BB55" s="90"/>
      <c r="BC55" s="90"/>
      <c r="BD55" s="90"/>
      <c r="BE55" s="90"/>
      <c r="BF55" s="90"/>
      <c r="BG55" s="90"/>
      <c r="BH55" s="91"/>
      <c r="BI55" s="90"/>
      <c r="BJ55" s="103"/>
      <c r="BK55" s="90"/>
      <c r="BL55" s="90"/>
      <c r="BM55" s="90"/>
      <c r="BN55" s="90"/>
      <c r="BO55" s="90"/>
      <c r="BP55" s="90"/>
      <c r="BQ55" s="90"/>
      <c r="BR55" s="91"/>
      <c r="BS55" s="34"/>
      <c r="BT55" s="34"/>
    </row>
    <row r="56" spans="1:72" s="32" customFormat="1" ht="9" customHeight="1" x14ac:dyDescent="0.25">
      <c r="B56" s="103"/>
      <c r="C56" s="90"/>
      <c r="D56" s="90"/>
      <c r="E56" s="90"/>
      <c r="F56" s="90"/>
      <c r="G56" s="90"/>
      <c r="H56" s="90"/>
      <c r="I56" s="90"/>
      <c r="J56" s="91"/>
      <c r="K56" s="90"/>
      <c r="L56" s="237"/>
      <c r="M56" s="238"/>
      <c r="N56" s="238"/>
      <c r="O56" s="238"/>
      <c r="P56" s="238"/>
      <c r="Q56" s="96"/>
      <c r="R56" s="96"/>
      <c r="S56" s="96"/>
      <c r="T56" s="96"/>
      <c r="U56" s="239"/>
      <c r="V56" s="96"/>
      <c r="W56" s="96"/>
      <c r="X56" s="96"/>
      <c r="Y56" s="96"/>
      <c r="Z56" s="96"/>
      <c r="AA56" s="96"/>
      <c r="AB56" s="96"/>
      <c r="AC56" s="96"/>
      <c r="AD56" s="97"/>
      <c r="AE56" s="90"/>
      <c r="AF56" s="101"/>
      <c r="AG56" s="90"/>
      <c r="AH56" s="90"/>
      <c r="AI56" s="90"/>
      <c r="AJ56" s="90"/>
      <c r="AK56" s="90"/>
      <c r="AL56" s="90"/>
      <c r="AM56" s="90"/>
      <c r="AN56" s="102"/>
      <c r="AO56" s="90"/>
      <c r="AP56" s="103"/>
      <c r="AQ56" s="90"/>
      <c r="AR56" s="90"/>
      <c r="AS56" s="90"/>
      <c r="AT56" s="90"/>
      <c r="AU56" s="90"/>
      <c r="AV56" s="90"/>
      <c r="AW56" s="90"/>
      <c r="AX56" s="91"/>
      <c r="AY56" s="90"/>
      <c r="AZ56" s="103"/>
      <c r="BA56" s="90"/>
      <c r="BB56" s="90"/>
      <c r="BC56" s="90"/>
      <c r="BD56" s="90"/>
      <c r="BE56" s="90"/>
      <c r="BF56" s="90"/>
      <c r="BG56" s="90"/>
      <c r="BH56" s="91"/>
      <c r="BI56" s="90"/>
      <c r="BJ56" s="103"/>
      <c r="BK56" s="90"/>
      <c r="BL56" s="90"/>
      <c r="BM56" s="90"/>
      <c r="BN56" s="90"/>
      <c r="BO56" s="90"/>
      <c r="BP56" s="90"/>
      <c r="BQ56" s="90"/>
      <c r="BR56" s="91"/>
      <c r="BS56" s="34"/>
      <c r="BT56" s="34"/>
    </row>
    <row r="57" spans="1:72" s="23" customFormat="1" ht="9" customHeight="1" x14ac:dyDescent="0.25">
      <c r="B57" s="88"/>
      <c r="C57" s="87"/>
      <c r="D57" s="87"/>
      <c r="E57" s="87"/>
      <c r="F57" s="87"/>
      <c r="G57" s="87"/>
      <c r="H57" s="87"/>
      <c r="I57" s="87"/>
      <c r="J57" s="89"/>
      <c r="K57" s="87"/>
      <c r="L57" s="240"/>
      <c r="M57" s="241"/>
      <c r="N57" s="241"/>
      <c r="O57" s="241"/>
      <c r="P57" s="241"/>
      <c r="Q57" s="96"/>
      <c r="R57" s="96"/>
      <c r="S57" s="96"/>
      <c r="T57" s="96"/>
      <c r="U57" s="239"/>
      <c r="V57" s="96"/>
      <c r="W57" s="96"/>
      <c r="X57" s="96"/>
      <c r="Y57" s="96"/>
      <c r="Z57" s="96"/>
      <c r="AA57" s="96"/>
      <c r="AB57" s="96"/>
      <c r="AC57" s="96"/>
      <c r="AD57" s="97"/>
      <c r="AE57" s="87"/>
      <c r="AF57" s="104"/>
      <c r="AG57" s="87"/>
      <c r="AH57" s="87"/>
      <c r="AI57" s="87"/>
      <c r="AJ57" s="87"/>
      <c r="AK57" s="87"/>
      <c r="AL57" s="87"/>
      <c r="AM57" s="87"/>
      <c r="AN57" s="105"/>
      <c r="AO57" s="87"/>
      <c r="AP57" s="88"/>
      <c r="AQ57" s="87"/>
      <c r="AR57" s="87"/>
      <c r="AS57" s="87"/>
      <c r="AT57" s="87"/>
      <c r="AU57" s="87"/>
      <c r="AV57" s="87"/>
      <c r="AW57" s="87"/>
      <c r="AX57" s="89"/>
      <c r="AY57" s="87"/>
      <c r="AZ57" s="88"/>
      <c r="BA57" s="87"/>
      <c r="BB57" s="87"/>
      <c r="BC57" s="87"/>
      <c r="BD57" s="87"/>
      <c r="BE57" s="87"/>
      <c r="BF57" s="87"/>
      <c r="BG57" s="87"/>
      <c r="BH57" s="89"/>
      <c r="BI57" s="87"/>
      <c r="BJ57" s="88"/>
      <c r="BK57" s="87"/>
      <c r="BL57" s="87"/>
      <c r="BM57" s="87"/>
      <c r="BN57" s="87"/>
      <c r="BO57" s="87"/>
      <c r="BP57" s="87"/>
      <c r="BQ57" s="87"/>
      <c r="BR57" s="89"/>
      <c r="BS57" s="26"/>
      <c r="BT57" s="26"/>
    </row>
    <row r="58" spans="1:72" s="23" customFormat="1" ht="9" customHeight="1" x14ac:dyDescent="0.25">
      <c r="B58" s="88"/>
      <c r="C58" s="87"/>
      <c r="D58" s="87"/>
      <c r="E58" s="87"/>
      <c r="F58" s="87"/>
      <c r="G58" s="87"/>
      <c r="H58" s="87"/>
      <c r="I58" s="87"/>
      <c r="J58" s="89"/>
      <c r="K58" s="87"/>
      <c r="L58" s="240"/>
      <c r="M58" s="241"/>
      <c r="N58" s="241"/>
      <c r="O58" s="241"/>
      <c r="P58" s="241"/>
      <c r="Q58" s="96"/>
      <c r="R58" s="96"/>
      <c r="S58" s="96"/>
      <c r="T58" s="96"/>
      <c r="U58" s="239"/>
      <c r="V58" s="96"/>
      <c r="W58" s="96"/>
      <c r="X58" s="96"/>
      <c r="Y58" s="96"/>
      <c r="Z58" s="96"/>
      <c r="AA58" s="96"/>
      <c r="AB58" s="96"/>
      <c r="AC58" s="96"/>
      <c r="AD58" s="97"/>
      <c r="AE58" s="87"/>
      <c r="AF58" s="104"/>
      <c r="AG58" s="87"/>
      <c r="AH58" s="87"/>
      <c r="AI58" s="87"/>
      <c r="AJ58" s="87"/>
      <c r="AK58" s="87"/>
      <c r="AL58" s="87"/>
      <c r="AM58" s="87"/>
      <c r="AN58" s="105"/>
      <c r="AO58" s="87"/>
      <c r="AP58" s="88"/>
      <c r="AQ58" s="87"/>
      <c r="AR58" s="87"/>
      <c r="AS58" s="87"/>
      <c r="AT58" s="87"/>
      <c r="AU58" s="87"/>
      <c r="AV58" s="87"/>
      <c r="AW58" s="87"/>
      <c r="AX58" s="89"/>
      <c r="AY58" s="87"/>
      <c r="AZ58" s="88"/>
      <c r="BA58" s="87"/>
      <c r="BB58" s="87"/>
      <c r="BC58" s="87"/>
      <c r="BD58" s="87"/>
      <c r="BE58" s="87"/>
      <c r="BF58" s="87"/>
      <c r="BG58" s="87"/>
      <c r="BH58" s="89"/>
      <c r="BI58" s="87"/>
      <c r="BJ58" s="88"/>
      <c r="BK58" s="87"/>
      <c r="BL58" s="87"/>
      <c r="BM58" s="87"/>
      <c r="BN58" s="87"/>
      <c r="BO58" s="87"/>
      <c r="BP58" s="87"/>
      <c r="BQ58" s="87"/>
      <c r="BR58" s="89"/>
      <c r="BS58" s="26"/>
      <c r="BT58" s="26"/>
    </row>
    <row r="59" spans="1:72" s="23" customFormat="1" ht="9" customHeight="1" x14ac:dyDescent="0.25">
      <c r="B59" s="88"/>
      <c r="C59" s="87"/>
      <c r="D59" s="87"/>
      <c r="E59" s="87"/>
      <c r="F59" s="87"/>
      <c r="G59" s="87"/>
      <c r="H59" s="87"/>
      <c r="I59" s="87"/>
      <c r="J59" s="89"/>
      <c r="K59" s="87"/>
      <c r="L59" s="240"/>
      <c r="M59" s="241"/>
      <c r="N59" s="241"/>
      <c r="O59" s="241"/>
      <c r="P59" s="241"/>
      <c r="Q59" s="96"/>
      <c r="R59" s="96"/>
      <c r="S59" s="96"/>
      <c r="T59" s="96"/>
      <c r="U59" s="239"/>
      <c r="V59" s="96"/>
      <c r="W59" s="96"/>
      <c r="X59" s="96"/>
      <c r="Y59" s="96"/>
      <c r="Z59" s="96"/>
      <c r="AA59" s="96"/>
      <c r="AB59" s="96"/>
      <c r="AC59" s="96"/>
      <c r="AD59" s="97"/>
      <c r="AE59" s="87"/>
      <c r="AF59" s="104"/>
      <c r="AG59" s="87"/>
      <c r="AH59" s="87"/>
      <c r="AI59" s="87"/>
      <c r="AJ59" s="87"/>
      <c r="AK59" s="87"/>
      <c r="AL59" s="87"/>
      <c r="AM59" s="87"/>
      <c r="AN59" s="105"/>
      <c r="AO59" s="87"/>
      <c r="AP59" s="88"/>
      <c r="AQ59" s="87"/>
      <c r="AR59" s="87"/>
      <c r="AS59" s="87"/>
      <c r="AT59" s="87"/>
      <c r="AU59" s="87"/>
      <c r="AV59" s="87"/>
      <c r="AW59" s="87"/>
      <c r="AX59" s="89"/>
      <c r="AY59" s="87"/>
      <c r="AZ59" s="88"/>
      <c r="BA59" s="87"/>
      <c r="BB59" s="87"/>
      <c r="BC59" s="87"/>
      <c r="BD59" s="87"/>
      <c r="BE59" s="87"/>
      <c r="BF59" s="87"/>
      <c r="BG59" s="87"/>
      <c r="BH59" s="89"/>
      <c r="BI59" s="87"/>
      <c r="BJ59" s="88"/>
      <c r="BK59" s="87"/>
      <c r="BL59" s="87"/>
      <c r="BM59" s="87"/>
      <c r="BN59" s="87"/>
      <c r="BO59" s="87"/>
      <c r="BP59" s="87"/>
      <c r="BQ59" s="87"/>
      <c r="BR59" s="89"/>
      <c r="BS59" s="26"/>
      <c r="BT59" s="26"/>
    </row>
    <row r="60" spans="1:72" s="39" customFormat="1" ht="9" customHeight="1" x14ac:dyDescent="0.25">
      <c r="B60" s="107"/>
      <c r="C60" s="106"/>
      <c r="D60" s="106"/>
      <c r="E60" s="106"/>
      <c r="F60" s="106"/>
      <c r="G60" s="106"/>
      <c r="H60" s="106"/>
      <c r="I60" s="106"/>
      <c r="J60" s="108"/>
      <c r="K60" s="106"/>
      <c r="L60" s="107"/>
      <c r="M60" s="106"/>
      <c r="N60" s="106"/>
      <c r="O60" s="106"/>
      <c r="P60" s="106"/>
      <c r="Q60" s="96"/>
      <c r="R60" s="96"/>
      <c r="S60" s="96"/>
      <c r="T60" s="96"/>
      <c r="U60" s="239"/>
      <c r="V60" s="96"/>
      <c r="W60" s="96"/>
      <c r="X60" s="96"/>
      <c r="Y60" s="96"/>
      <c r="Z60" s="96"/>
      <c r="AA60" s="96"/>
      <c r="AB60" s="96"/>
      <c r="AC60" s="96"/>
      <c r="AD60" s="97"/>
      <c r="AE60" s="106"/>
      <c r="AF60" s="110"/>
      <c r="AG60" s="106"/>
      <c r="AH60" s="106"/>
      <c r="AI60" s="106"/>
      <c r="AJ60" s="106"/>
      <c r="AK60" s="106"/>
      <c r="AL60" s="106"/>
      <c r="AM60" s="106"/>
      <c r="AN60" s="111"/>
      <c r="AO60" s="106"/>
      <c r="AP60" s="107"/>
      <c r="AQ60" s="106"/>
      <c r="AR60" s="106"/>
      <c r="AS60" s="106"/>
      <c r="AT60" s="106"/>
      <c r="AU60" s="106"/>
      <c r="AV60" s="106"/>
      <c r="AW60" s="106"/>
      <c r="AX60" s="108"/>
      <c r="AY60" s="106"/>
      <c r="AZ60" s="107"/>
      <c r="BA60" s="106"/>
      <c r="BB60" s="106"/>
      <c r="BC60" s="106"/>
      <c r="BD60" s="106"/>
      <c r="BE60" s="106"/>
      <c r="BF60" s="106"/>
      <c r="BG60" s="106"/>
      <c r="BH60" s="108"/>
      <c r="BI60" s="106"/>
      <c r="BJ60" s="107"/>
      <c r="BK60" s="106"/>
      <c r="BL60" s="106"/>
      <c r="BM60" s="106"/>
      <c r="BN60" s="106"/>
      <c r="BO60" s="106"/>
      <c r="BP60" s="106"/>
      <c r="BQ60" s="106"/>
      <c r="BR60" s="108"/>
      <c r="BS60" s="38"/>
      <c r="BT60" s="38"/>
    </row>
    <row r="61" spans="1:72" s="39" customFormat="1" ht="9" customHeight="1" x14ac:dyDescent="0.25">
      <c r="B61" s="107"/>
      <c r="C61" s="106"/>
      <c r="D61" s="106"/>
      <c r="E61" s="106"/>
      <c r="F61" s="106"/>
      <c r="G61" s="106"/>
      <c r="H61" s="106"/>
      <c r="I61" s="106"/>
      <c r="J61" s="108"/>
      <c r="K61" s="106"/>
      <c r="L61" s="107"/>
      <c r="M61" s="106"/>
      <c r="N61" s="106"/>
      <c r="O61" s="106"/>
      <c r="P61" s="106"/>
      <c r="Q61" s="96"/>
      <c r="R61" s="96"/>
      <c r="S61" s="96"/>
      <c r="T61" s="96"/>
      <c r="U61" s="239"/>
      <c r="V61" s="96"/>
      <c r="W61" s="96"/>
      <c r="X61" s="96"/>
      <c r="Y61" s="96"/>
      <c r="Z61" s="96"/>
      <c r="AA61" s="96"/>
      <c r="AB61" s="96"/>
      <c r="AC61" s="96"/>
      <c r="AD61" s="97"/>
      <c r="AE61" s="106"/>
      <c r="AF61" s="110"/>
      <c r="AG61" s="106"/>
      <c r="AH61" s="106"/>
      <c r="AI61" s="106"/>
      <c r="AJ61" s="106"/>
      <c r="AK61" s="106"/>
      <c r="AL61" s="106"/>
      <c r="AM61" s="106"/>
      <c r="AN61" s="111"/>
      <c r="AO61" s="106"/>
      <c r="AP61" s="107"/>
      <c r="AQ61" s="106"/>
      <c r="AR61" s="106"/>
      <c r="AS61" s="106"/>
      <c r="AT61" s="106"/>
      <c r="AU61" s="106"/>
      <c r="AV61" s="106"/>
      <c r="AW61" s="106"/>
      <c r="AX61" s="108"/>
      <c r="AY61" s="106"/>
      <c r="AZ61" s="107"/>
      <c r="BA61" s="106"/>
      <c r="BB61" s="106"/>
      <c r="BC61" s="106"/>
      <c r="BD61" s="106"/>
      <c r="BE61" s="106"/>
      <c r="BF61" s="106"/>
      <c r="BG61" s="106"/>
      <c r="BH61" s="108"/>
      <c r="BI61" s="106"/>
      <c r="BJ61" s="107"/>
      <c r="BK61" s="106"/>
      <c r="BL61" s="106"/>
      <c r="BM61" s="106"/>
      <c r="BN61" s="106"/>
      <c r="BO61" s="106"/>
      <c r="BP61" s="106"/>
      <c r="BQ61" s="106"/>
      <c r="BR61" s="108"/>
      <c r="BS61" s="38"/>
      <c r="BT61" s="38"/>
    </row>
    <row r="62" spans="1:72" s="39" customFormat="1" ht="9" customHeight="1" x14ac:dyDescent="0.25">
      <c r="B62" s="107"/>
      <c r="C62" s="106"/>
      <c r="D62" s="106"/>
      <c r="E62" s="106"/>
      <c r="F62" s="106"/>
      <c r="G62" s="106"/>
      <c r="H62" s="106"/>
      <c r="I62" s="106"/>
      <c r="J62" s="108"/>
      <c r="K62" s="106"/>
      <c r="L62" s="107"/>
      <c r="M62" s="106"/>
      <c r="N62" s="106"/>
      <c r="O62" s="106"/>
      <c r="P62" s="106"/>
      <c r="Q62" s="96"/>
      <c r="R62" s="96"/>
      <c r="S62" s="96"/>
      <c r="T62" s="96"/>
      <c r="U62" s="239"/>
      <c r="V62" s="96"/>
      <c r="W62" s="96"/>
      <c r="X62" s="96"/>
      <c r="Y62" s="96"/>
      <c r="Z62" s="96"/>
      <c r="AA62" s="96"/>
      <c r="AB62" s="96"/>
      <c r="AC62" s="96"/>
      <c r="AD62" s="97"/>
      <c r="AE62" s="106"/>
      <c r="AF62" s="110"/>
      <c r="AG62" s="106"/>
      <c r="AH62" s="106"/>
      <c r="AI62" s="106"/>
      <c r="AJ62" s="106"/>
      <c r="AK62" s="106"/>
      <c r="AL62" s="106"/>
      <c r="AM62" s="106"/>
      <c r="AN62" s="111"/>
      <c r="AO62" s="106"/>
      <c r="AP62" s="107"/>
      <c r="AQ62" s="106"/>
      <c r="AR62" s="106"/>
      <c r="AS62" s="106"/>
      <c r="AT62" s="106"/>
      <c r="AU62" s="106"/>
      <c r="AV62" s="106"/>
      <c r="AW62" s="106"/>
      <c r="AX62" s="108"/>
      <c r="AY62" s="106"/>
      <c r="AZ62" s="107"/>
      <c r="BA62" s="106"/>
      <c r="BB62" s="106"/>
      <c r="BC62" s="106"/>
      <c r="BD62" s="106"/>
      <c r="BE62" s="106"/>
      <c r="BF62" s="106"/>
      <c r="BG62" s="106"/>
      <c r="BH62" s="108"/>
      <c r="BI62" s="106"/>
      <c r="BJ62" s="107"/>
      <c r="BK62" s="106"/>
      <c r="BL62" s="106"/>
      <c r="BM62" s="106"/>
      <c r="BN62" s="106"/>
      <c r="BO62" s="106"/>
      <c r="BP62" s="106"/>
      <c r="BQ62" s="106"/>
      <c r="BR62" s="108"/>
      <c r="BS62" s="38"/>
      <c r="BT62" s="38"/>
    </row>
    <row r="63" spans="1:72" s="39" customFormat="1" ht="9" customHeight="1" x14ac:dyDescent="0.25">
      <c r="A63" s="38"/>
      <c r="B63" s="107"/>
      <c r="C63" s="106"/>
      <c r="D63" s="106"/>
      <c r="E63" s="106"/>
      <c r="F63" s="106"/>
      <c r="G63" s="106"/>
      <c r="H63" s="106"/>
      <c r="I63" s="106"/>
      <c r="J63" s="108"/>
      <c r="K63" s="106"/>
      <c r="L63" s="107" t="s">
        <v>815</v>
      </c>
      <c r="M63" s="106"/>
      <c r="N63" s="106"/>
      <c r="O63" s="106"/>
      <c r="P63" s="106"/>
      <c r="Q63" s="96"/>
      <c r="R63" s="96"/>
      <c r="S63" s="96"/>
      <c r="T63" s="96"/>
      <c r="U63" s="239"/>
      <c r="V63" s="96"/>
      <c r="W63" s="96"/>
      <c r="X63" s="96"/>
      <c r="Y63" s="96"/>
      <c r="Z63" s="96"/>
      <c r="AA63" s="96"/>
      <c r="AB63" s="96"/>
      <c r="AC63" s="96"/>
      <c r="AD63" s="97"/>
      <c r="AE63" s="106"/>
      <c r="AF63" s="110"/>
      <c r="AG63" s="106"/>
      <c r="AH63" s="106"/>
      <c r="AI63" s="106"/>
      <c r="AJ63" s="106"/>
      <c r="AK63" s="106"/>
      <c r="AL63" s="106"/>
      <c r="AM63" s="106"/>
      <c r="AN63" s="111"/>
      <c r="AO63" s="106"/>
      <c r="AP63" s="107"/>
      <c r="AQ63" s="106"/>
      <c r="AR63" s="106"/>
      <c r="AS63" s="106"/>
      <c r="AT63" s="106"/>
      <c r="AU63" s="106"/>
      <c r="AV63" s="106"/>
      <c r="AW63" s="106"/>
      <c r="AX63" s="108"/>
      <c r="AY63" s="106"/>
      <c r="AZ63" s="107"/>
      <c r="BA63" s="106"/>
      <c r="BB63" s="106"/>
      <c r="BC63" s="106"/>
      <c r="BD63" s="106"/>
      <c r="BE63" s="106"/>
      <c r="BF63" s="106"/>
      <c r="BG63" s="106"/>
      <c r="BH63" s="108"/>
      <c r="BI63" s="106"/>
      <c r="BJ63" s="107"/>
      <c r="BK63" s="106"/>
      <c r="BL63" s="106"/>
      <c r="BM63" s="106"/>
      <c r="BN63" s="106"/>
      <c r="BO63" s="106"/>
      <c r="BP63" s="106"/>
      <c r="BQ63" s="106"/>
      <c r="BR63" s="108"/>
      <c r="BS63" s="38"/>
      <c r="BT63" s="38"/>
    </row>
    <row r="64" spans="1:72" s="23" customFormat="1" ht="9" customHeight="1" x14ac:dyDescent="0.25">
      <c r="A64" s="26"/>
      <c r="B64" s="492" t="s">
        <v>282</v>
      </c>
      <c r="C64" s="492"/>
      <c r="D64" s="492"/>
      <c r="E64" s="492"/>
      <c r="F64" s="492"/>
      <c r="G64" s="493">
        <f>CEILING(2319*A5,1)</f>
        <v>3247</v>
      </c>
      <c r="H64" s="493"/>
      <c r="I64" s="493"/>
      <c r="J64" s="493"/>
      <c r="K64" s="182"/>
      <c r="L64" s="193"/>
      <c r="M64" s="185"/>
      <c r="N64" s="185"/>
      <c r="O64" s="185"/>
      <c r="P64" s="185"/>
      <c r="Q64" s="235"/>
      <c r="R64" s="235"/>
      <c r="S64" s="235"/>
      <c r="T64" s="235"/>
      <c r="U64" s="239"/>
      <c r="V64" s="245"/>
      <c r="W64" s="235"/>
      <c r="X64" s="235"/>
      <c r="Y64" s="235"/>
      <c r="Z64" s="235"/>
      <c r="AA64" s="235"/>
      <c r="AB64" s="235"/>
      <c r="AC64" s="235"/>
      <c r="AD64" s="236"/>
      <c r="AE64" s="182"/>
      <c r="AF64" s="492" t="s">
        <v>283</v>
      </c>
      <c r="AG64" s="492"/>
      <c r="AH64" s="492"/>
      <c r="AI64" s="492"/>
      <c r="AJ64" s="492"/>
      <c r="AK64" s="493">
        <f>CEILING(1327*A5,1)</f>
        <v>1858</v>
      </c>
      <c r="AL64" s="493"/>
      <c r="AM64" s="493"/>
      <c r="AN64" s="493"/>
      <c r="AO64" s="223"/>
      <c r="AP64" s="492" t="s">
        <v>283</v>
      </c>
      <c r="AQ64" s="492"/>
      <c r="AR64" s="492"/>
      <c r="AS64" s="492"/>
      <c r="AT64" s="492"/>
      <c r="AU64" s="493">
        <f>CEILING(1763*A5,1)</f>
        <v>2469</v>
      </c>
      <c r="AV64" s="493"/>
      <c r="AW64" s="493"/>
      <c r="AX64" s="493"/>
      <c r="AY64" s="182"/>
      <c r="AZ64" s="194"/>
      <c r="BA64" s="182"/>
      <c r="BB64" s="182"/>
      <c r="BC64" s="182"/>
      <c r="BD64" s="182"/>
      <c r="BE64" s="182"/>
      <c r="BF64" s="182"/>
      <c r="BG64" s="182"/>
      <c r="BH64" s="181"/>
      <c r="BI64" s="182"/>
      <c r="BJ64" s="194"/>
      <c r="BK64" s="182"/>
      <c r="BL64" s="182"/>
      <c r="BM64" s="182"/>
      <c r="BN64" s="182"/>
      <c r="BO64" s="182"/>
      <c r="BP64" s="182"/>
      <c r="BQ64" s="182"/>
      <c r="BR64" s="181"/>
      <c r="BS64" s="26"/>
      <c r="BT64" s="26"/>
    </row>
    <row r="65" spans="1:72" s="23" customFormat="1" ht="9" customHeight="1" x14ac:dyDescent="0.25">
      <c r="A65" s="26"/>
      <c r="B65" s="492" t="s">
        <v>284</v>
      </c>
      <c r="C65" s="492"/>
      <c r="D65" s="492"/>
      <c r="E65" s="492"/>
      <c r="F65" s="492"/>
      <c r="G65" s="493">
        <f>CEILING(2506*A5,1)</f>
        <v>3509</v>
      </c>
      <c r="H65" s="493"/>
      <c r="I65" s="493"/>
      <c r="J65" s="493"/>
      <c r="K65" s="222"/>
      <c r="L65" s="527" t="s">
        <v>816</v>
      </c>
      <c r="M65" s="528"/>
      <c r="N65" s="528"/>
      <c r="O65" s="528"/>
      <c r="P65" s="528"/>
      <c r="Q65" s="493">
        <f>CEILING(2372*A5,1)</f>
        <v>3321</v>
      </c>
      <c r="R65" s="493"/>
      <c r="S65" s="493"/>
      <c r="T65" s="493"/>
      <c r="U65" s="239"/>
      <c r="V65" s="524"/>
      <c r="W65" s="525"/>
      <c r="X65" s="525"/>
      <c r="Y65" s="525"/>
      <c r="Z65" s="525"/>
      <c r="AA65" s="525"/>
      <c r="AB65" s="525"/>
      <c r="AC65" s="525"/>
      <c r="AD65" s="526"/>
      <c r="AE65" s="223"/>
      <c r="AF65" s="492" t="s">
        <v>285</v>
      </c>
      <c r="AG65" s="492"/>
      <c r="AH65" s="492"/>
      <c r="AI65" s="492"/>
      <c r="AJ65" s="492"/>
      <c r="AK65" s="493">
        <f>CEILING(1597*A5,1)</f>
        <v>2236</v>
      </c>
      <c r="AL65" s="493"/>
      <c r="AM65" s="493"/>
      <c r="AN65" s="493"/>
      <c r="AO65" s="223"/>
      <c r="AP65" s="492" t="s">
        <v>285</v>
      </c>
      <c r="AQ65" s="492"/>
      <c r="AR65" s="492"/>
      <c r="AS65" s="492"/>
      <c r="AT65" s="492"/>
      <c r="AU65" s="493">
        <f>CEILING(1941*A5,1)</f>
        <v>2718</v>
      </c>
      <c r="AV65" s="493"/>
      <c r="AW65" s="493"/>
      <c r="AX65" s="493"/>
      <c r="AY65" s="182"/>
      <c r="AZ65" s="193"/>
      <c r="BA65" s="185"/>
      <c r="BB65" s="185"/>
      <c r="BC65" s="185"/>
      <c r="BD65" s="185"/>
      <c r="BE65" s="185"/>
      <c r="BF65" s="185"/>
      <c r="BG65" s="185"/>
      <c r="BH65" s="186"/>
      <c r="BI65" s="182"/>
      <c r="BJ65" s="193"/>
      <c r="BK65" s="185"/>
      <c r="BL65" s="185"/>
      <c r="BM65" s="185"/>
      <c r="BN65" s="185"/>
      <c r="BO65" s="185"/>
      <c r="BP65" s="185"/>
      <c r="BQ65" s="185"/>
      <c r="BR65" s="186"/>
      <c r="BS65" s="26"/>
      <c r="BT65" s="26"/>
    </row>
    <row r="66" spans="1:72" s="23" customFormat="1" ht="9" customHeight="1" x14ac:dyDescent="0.25">
      <c r="A66" s="26"/>
      <c r="B66" s="492" t="s">
        <v>286</v>
      </c>
      <c r="C66" s="492"/>
      <c r="D66" s="492"/>
      <c r="E66" s="492"/>
      <c r="F66" s="492"/>
      <c r="G66" s="493">
        <f>CEILING(2625*A5,1)</f>
        <v>3675</v>
      </c>
      <c r="H66" s="493"/>
      <c r="I66" s="493"/>
      <c r="J66" s="493"/>
      <c r="K66" s="223"/>
      <c r="L66" s="527" t="s">
        <v>817</v>
      </c>
      <c r="M66" s="528"/>
      <c r="N66" s="528"/>
      <c r="O66" s="528"/>
      <c r="P66" s="528"/>
      <c r="Q66" s="493">
        <f>CEILING(2627*A5,1)</f>
        <v>3678</v>
      </c>
      <c r="R66" s="493"/>
      <c r="S66" s="493"/>
      <c r="T66" s="493"/>
      <c r="U66" s="223"/>
      <c r="V66" s="524"/>
      <c r="W66" s="525"/>
      <c r="X66" s="525"/>
      <c r="Y66" s="525"/>
      <c r="Z66" s="525"/>
      <c r="AA66" s="525"/>
      <c r="AB66" s="525"/>
      <c r="AC66" s="525"/>
      <c r="AD66" s="526"/>
      <c r="AE66" s="223"/>
      <c r="AF66" s="492" t="s">
        <v>85</v>
      </c>
      <c r="AG66" s="492"/>
      <c r="AH66" s="492"/>
      <c r="AI66" s="492"/>
      <c r="AJ66" s="492"/>
      <c r="AK66" s="493">
        <f>CEILING(1904*A5,1)</f>
        <v>2666</v>
      </c>
      <c r="AL66" s="493"/>
      <c r="AM66" s="493"/>
      <c r="AN66" s="493"/>
      <c r="AO66" s="223"/>
      <c r="AP66" s="492" t="s">
        <v>85</v>
      </c>
      <c r="AQ66" s="492"/>
      <c r="AR66" s="492"/>
      <c r="AS66" s="492"/>
      <c r="AT66" s="492"/>
      <c r="AU66" s="493">
        <f>CEILING(2128*A5,1)</f>
        <v>2980</v>
      </c>
      <c r="AV66" s="493"/>
      <c r="AW66" s="493"/>
      <c r="AX66" s="493"/>
      <c r="AY66" s="188"/>
      <c r="AZ66" s="493" t="s">
        <v>287</v>
      </c>
      <c r="BA66" s="493"/>
      <c r="BB66" s="493"/>
      <c r="BC66" s="493"/>
      <c r="BD66" s="493"/>
      <c r="BE66" s="493">
        <f>CEILING(2045*A5,1)</f>
        <v>2863</v>
      </c>
      <c r="BF66" s="493"/>
      <c r="BG66" s="493"/>
      <c r="BH66" s="493"/>
      <c r="BI66" s="223"/>
      <c r="BJ66" s="493" t="s">
        <v>288</v>
      </c>
      <c r="BK66" s="493"/>
      <c r="BL66" s="493"/>
      <c r="BM66" s="493"/>
      <c r="BN66" s="493"/>
      <c r="BO66" s="493">
        <f>CEILING(1466*A5,1)</f>
        <v>2053</v>
      </c>
      <c r="BP66" s="493"/>
      <c r="BQ66" s="493"/>
      <c r="BR66" s="493"/>
      <c r="BS66" s="26"/>
      <c r="BT66" s="26"/>
    </row>
    <row r="67" spans="1:72" s="23" customFormat="1" ht="1.5" customHeight="1" x14ac:dyDescent="0.25">
      <c r="A67" s="26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26"/>
      <c r="BT67" s="26"/>
    </row>
    <row r="68" spans="1:72" s="23" customFormat="1" ht="9" customHeight="1" x14ac:dyDescent="0.25">
      <c r="A68" s="26"/>
      <c r="B68" s="474" t="s">
        <v>289</v>
      </c>
      <c r="C68" s="475"/>
      <c r="D68" s="476"/>
      <c r="E68" s="505" t="s">
        <v>270</v>
      </c>
      <c r="F68" s="505"/>
      <c r="G68" s="505"/>
      <c r="H68" s="505"/>
      <c r="I68" s="505"/>
      <c r="J68" s="506"/>
      <c r="K68" s="87"/>
      <c r="L68" s="474" t="s">
        <v>290</v>
      </c>
      <c r="M68" s="475"/>
      <c r="N68" s="476"/>
      <c r="O68" s="505" t="s">
        <v>270</v>
      </c>
      <c r="P68" s="505"/>
      <c r="Q68" s="505"/>
      <c r="R68" s="505"/>
      <c r="S68" s="505"/>
      <c r="T68" s="506"/>
      <c r="U68" s="87"/>
      <c r="V68" s="474" t="s">
        <v>291</v>
      </c>
      <c r="W68" s="475"/>
      <c r="X68" s="476"/>
      <c r="Y68" s="505" t="s">
        <v>270</v>
      </c>
      <c r="Z68" s="505"/>
      <c r="AA68" s="505"/>
      <c r="AB68" s="505"/>
      <c r="AC68" s="505"/>
      <c r="AD68" s="506"/>
      <c r="AE68" s="87"/>
      <c r="AF68" s="474" t="s">
        <v>292</v>
      </c>
      <c r="AG68" s="475"/>
      <c r="AH68" s="476"/>
      <c r="AI68" s="505" t="s">
        <v>270</v>
      </c>
      <c r="AJ68" s="505"/>
      <c r="AK68" s="505"/>
      <c r="AL68" s="505"/>
      <c r="AM68" s="505"/>
      <c r="AN68" s="506"/>
      <c r="AO68" s="87"/>
      <c r="AP68" s="474" t="s">
        <v>293</v>
      </c>
      <c r="AQ68" s="475"/>
      <c r="AR68" s="476"/>
      <c r="AS68" s="505" t="s">
        <v>270</v>
      </c>
      <c r="AT68" s="505"/>
      <c r="AU68" s="505"/>
      <c r="AV68" s="505"/>
      <c r="AW68" s="505"/>
      <c r="AX68" s="506"/>
      <c r="AY68" s="87"/>
      <c r="AZ68" s="474" t="s">
        <v>294</v>
      </c>
      <c r="BA68" s="475"/>
      <c r="BB68" s="476"/>
      <c r="BC68" s="478" t="s">
        <v>295</v>
      </c>
      <c r="BD68" s="478"/>
      <c r="BE68" s="478"/>
      <c r="BF68" s="478"/>
      <c r="BG68" s="478"/>
      <c r="BH68" s="479"/>
      <c r="BI68" s="106"/>
      <c r="BJ68" s="474" t="s">
        <v>296</v>
      </c>
      <c r="BK68" s="475"/>
      <c r="BL68" s="476"/>
      <c r="BM68" s="478" t="s">
        <v>297</v>
      </c>
      <c r="BN68" s="478"/>
      <c r="BO68" s="478"/>
      <c r="BP68" s="478"/>
      <c r="BQ68" s="478"/>
      <c r="BR68" s="479"/>
      <c r="BS68" s="26"/>
      <c r="BT68" s="26"/>
    </row>
    <row r="69" spans="1:72" s="23" customFormat="1" ht="9" customHeight="1" x14ac:dyDescent="0.25">
      <c r="A69" s="26"/>
      <c r="B69" s="489" t="s">
        <v>597</v>
      </c>
      <c r="C69" s="490"/>
      <c r="D69" s="490"/>
      <c r="E69" s="490"/>
      <c r="F69" s="490"/>
      <c r="G69" s="490"/>
      <c r="H69" s="490"/>
      <c r="I69" s="490"/>
      <c r="J69" s="491"/>
      <c r="K69" s="90"/>
      <c r="L69" s="489" t="s">
        <v>597</v>
      </c>
      <c r="M69" s="490"/>
      <c r="N69" s="490"/>
      <c r="O69" s="490"/>
      <c r="P69" s="490"/>
      <c r="Q69" s="490"/>
      <c r="R69" s="490"/>
      <c r="S69" s="490"/>
      <c r="T69" s="491"/>
      <c r="U69" s="90"/>
      <c r="V69" s="489" t="s">
        <v>597</v>
      </c>
      <c r="W69" s="490"/>
      <c r="X69" s="490"/>
      <c r="Y69" s="490"/>
      <c r="Z69" s="490"/>
      <c r="AA69" s="490"/>
      <c r="AB69" s="490"/>
      <c r="AC69" s="490"/>
      <c r="AD69" s="491"/>
      <c r="AE69" s="90"/>
      <c r="AF69" s="489" t="s">
        <v>597</v>
      </c>
      <c r="AG69" s="490"/>
      <c r="AH69" s="490"/>
      <c r="AI69" s="490"/>
      <c r="AJ69" s="490"/>
      <c r="AK69" s="490"/>
      <c r="AL69" s="490"/>
      <c r="AM69" s="490"/>
      <c r="AN69" s="491"/>
      <c r="AO69" s="90"/>
      <c r="AP69" s="489" t="s">
        <v>597</v>
      </c>
      <c r="AQ69" s="490"/>
      <c r="AR69" s="490"/>
      <c r="AS69" s="490"/>
      <c r="AT69" s="490"/>
      <c r="AU69" s="490"/>
      <c r="AV69" s="490"/>
      <c r="AW69" s="490"/>
      <c r="AX69" s="491"/>
      <c r="AY69" s="87"/>
      <c r="AZ69" s="116"/>
      <c r="BA69" s="96"/>
      <c r="BB69" s="96"/>
      <c r="BC69" s="96"/>
      <c r="BD69" s="96"/>
      <c r="BE69" s="96"/>
      <c r="BF69" s="96"/>
      <c r="BG69" s="96"/>
      <c r="BH69" s="97"/>
      <c r="BI69" s="106"/>
      <c r="BJ69" s="116"/>
      <c r="BK69" s="96"/>
      <c r="BL69" s="96"/>
      <c r="BM69" s="96"/>
      <c r="BN69" s="96"/>
      <c r="BO69" s="96"/>
      <c r="BP69" s="96"/>
      <c r="BQ69" s="96"/>
      <c r="BR69" s="97"/>
      <c r="BS69" s="26"/>
      <c r="BT69" s="26"/>
    </row>
    <row r="70" spans="1:72" s="23" customFormat="1" ht="9" customHeight="1" x14ac:dyDescent="0.25">
      <c r="A70" s="26"/>
      <c r="B70" s="489" t="s">
        <v>298</v>
      </c>
      <c r="C70" s="490"/>
      <c r="D70" s="490"/>
      <c r="E70" s="490"/>
      <c r="F70" s="490"/>
      <c r="G70" s="490"/>
      <c r="H70" s="490"/>
      <c r="I70" s="490"/>
      <c r="J70" s="491"/>
      <c r="K70" s="90"/>
      <c r="L70" s="489" t="s">
        <v>299</v>
      </c>
      <c r="M70" s="490"/>
      <c r="N70" s="490"/>
      <c r="O70" s="490"/>
      <c r="P70" s="490"/>
      <c r="Q70" s="490"/>
      <c r="R70" s="490"/>
      <c r="S70" s="490"/>
      <c r="T70" s="491"/>
      <c r="U70" s="90"/>
      <c r="V70" s="489" t="s">
        <v>598</v>
      </c>
      <c r="W70" s="490"/>
      <c r="X70" s="490"/>
      <c r="Y70" s="490"/>
      <c r="Z70" s="490"/>
      <c r="AA70" s="490"/>
      <c r="AB70" s="490"/>
      <c r="AC70" s="490"/>
      <c r="AD70" s="491"/>
      <c r="AE70" s="90"/>
      <c r="AF70" s="489" t="s">
        <v>598</v>
      </c>
      <c r="AG70" s="490"/>
      <c r="AH70" s="490"/>
      <c r="AI70" s="490"/>
      <c r="AJ70" s="490"/>
      <c r="AK70" s="490"/>
      <c r="AL70" s="490"/>
      <c r="AM70" s="490"/>
      <c r="AN70" s="491"/>
      <c r="AO70" s="90"/>
      <c r="AP70" s="489" t="s">
        <v>601</v>
      </c>
      <c r="AQ70" s="490"/>
      <c r="AR70" s="490"/>
      <c r="AS70" s="490"/>
      <c r="AT70" s="490"/>
      <c r="AU70" s="490"/>
      <c r="AV70" s="490"/>
      <c r="AW70" s="490"/>
      <c r="AX70" s="491"/>
      <c r="AY70" s="87"/>
      <c r="AZ70" s="116"/>
      <c r="BA70" s="96"/>
      <c r="BB70" s="96"/>
      <c r="BC70" s="90"/>
      <c r="BD70" s="90"/>
      <c r="BE70" s="90"/>
      <c r="BF70" s="90"/>
      <c r="BG70" s="90"/>
      <c r="BH70" s="91"/>
      <c r="BI70" s="106"/>
      <c r="BJ70" s="116"/>
      <c r="BK70" s="96"/>
      <c r="BL70" s="96"/>
      <c r="BM70" s="90"/>
      <c r="BN70" s="90"/>
      <c r="BO70" s="90"/>
      <c r="BP70" s="90"/>
      <c r="BQ70" s="90"/>
      <c r="BR70" s="91"/>
      <c r="BS70" s="26"/>
      <c r="BT70" s="26"/>
    </row>
    <row r="71" spans="1:72" s="23" customFormat="1" ht="9" customHeight="1" x14ac:dyDescent="0.25">
      <c r="A71" s="26"/>
      <c r="B71" s="103"/>
      <c r="C71" s="90"/>
      <c r="D71" s="90"/>
      <c r="E71" s="90"/>
      <c r="F71" s="90"/>
      <c r="G71" s="90"/>
      <c r="H71" s="90"/>
      <c r="I71" s="90"/>
      <c r="J71" s="91"/>
      <c r="K71" s="90"/>
      <c r="L71" s="103"/>
      <c r="M71" s="90"/>
      <c r="N71" s="90"/>
      <c r="O71" s="90"/>
      <c r="P71" s="90"/>
      <c r="Q71" s="90"/>
      <c r="R71" s="90"/>
      <c r="S71" s="90"/>
      <c r="T71" s="91"/>
      <c r="U71" s="90"/>
      <c r="V71" s="489" t="s">
        <v>599</v>
      </c>
      <c r="W71" s="490"/>
      <c r="X71" s="490"/>
      <c r="Y71" s="490"/>
      <c r="Z71" s="490"/>
      <c r="AA71" s="490"/>
      <c r="AB71" s="490"/>
      <c r="AC71" s="490"/>
      <c r="AD71" s="491"/>
      <c r="AE71" s="90"/>
      <c r="AF71" s="489" t="s">
        <v>600</v>
      </c>
      <c r="AG71" s="490"/>
      <c r="AH71" s="490"/>
      <c r="AI71" s="490"/>
      <c r="AJ71" s="490"/>
      <c r="AK71" s="490"/>
      <c r="AL71" s="490"/>
      <c r="AM71" s="490"/>
      <c r="AN71" s="491"/>
      <c r="AO71" s="90"/>
      <c r="AP71" s="489" t="s">
        <v>602</v>
      </c>
      <c r="AQ71" s="490"/>
      <c r="AR71" s="490"/>
      <c r="AS71" s="490"/>
      <c r="AT71" s="490"/>
      <c r="AU71" s="490"/>
      <c r="AV71" s="490"/>
      <c r="AW71" s="490"/>
      <c r="AX71" s="491"/>
      <c r="AY71" s="87"/>
      <c r="AZ71" s="116"/>
      <c r="BA71" s="96"/>
      <c r="BB71" s="96"/>
      <c r="BC71" s="96"/>
      <c r="BD71" s="96"/>
      <c r="BE71" s="96"/>
      <c r="BF71" s="96"/>
      <c r="BG71" s="96"/>
      <c r="BH71" s="97"/>
      <c r="BI71" s="106"/>
      <c r="BJ71" s="103"/>
      <c r="BK71" s="90"/>
      <c r="BL71" s="90"/>
      <c r="BM71" s="90"/>
      <c r="BN71" s="90"/>
      <c r="BO71" s="90"/>
      <c r="BP71" s="90"/>
      <c r="BQ71" s="90"/>
      <c r="BR71" s="91"/>
      <c r="BS71" s="26"/>
      <c r="BT71" s="26"/>
    </row>
    <row r="72" spans="1:72" s="23" customFormat="1" ht="9" customHeight="1" x14ac:dyDescent="0.25">
      <c r="A72" s="26"/>
      <c r="B72" s="88"/>
      <c r="C72" s="87"/>
      <c r="D72" s="87"/>
      <c r="E72" s="87"/>
      <c r="F72" s="87"/>
      <c r="G72" s="87"/>
      <c r="H72" s="87"/>
      <c r="I72" s="87"/>
      <c r="J72" s="89"/>
      <c r="K72" s="87"/>
      <c r="L72" s="88"/>
      <c r="M72" s="87"/>
      <c r="N72" s="87"/>
      <c r="O72" s="87"/>
      <c r="P72" s="87"/>
      <c r="Q72" s="87"/>
      <c r="R72" s="87"/>
      <c r="S72" s="87"/>
      <c r="T72" s="89"/>
      <c r="U72" s="87"/>
      <c r="V72" s="88"/>
      <c r="W72" s="87"/>
      <c r="X72" s="87"/>
      <c r="Y72" s="87"/>
      <c r="Z72" s="87"/>
      <c r="AA72" s="87"/>
      <c r="AB72" s="87"/>
      <c r="AC72" s="87"/>
      <c r="AD72" s="89"/>
      <c r="AE72" s="87"/>
      <c r="AF72" s="88"/>
      <c r="AG72" s="87"/>
      <c r="AH72" s="87"/>
      <c r="AI72" s="87"/>
      <c r="AJ72" s="87"/>
      <c r="AK72" s="87"/>
      <c r="AL72" s="87"/>
      <c r="AM72" s="87"/>
      <c r="AN72" s="89"/>
      <c r="AO72" s="87"/>
      <c r="AP72" s="88"/>
      <c r="AQ72" s="87"/>
      <c r="AR72" s="87"/>
      <c r="AS72" s="87"/>
      <c r="AT72" s="87"/>
      <c r="AU72" s="87"/>
      <c r="AV72" s="87"/>
      <c r="AW72" s="87"/>
      <c r="AX72" s="89"/>
      <c r="AY72" s="87"/>
      <c r="AZ72" s="116"/>
      <c r="BA72" s="96"/>
      <c r="BB72" s="96"/>
      <c r="BC72" s="96"/>
      <c r="BD72" s="96"/>
      <c r="BE72" s="96"/>
      <c r="BF72" s="96"/>
      <c r="BG72" s="96"/>
      <c r="BH72" s="97"/>
      <c r="BI72" s="106"/>
      <c r="BJ72" s="116"/>
      <c r="BK72" s="96"/>
      <c r="BL72" s="96"/>
      <c r="BM72" s="96"/>
      <c r="BN72" s="96"/>
      <c r="BO72" s="96"/>
      <c r="BP72" s="96"/>
      <c r="BQ72" s="96"/>
      <c r="BR72" s="97"/>
      <c r="BS72" s="26"/>
      <c r="BT72" s="26"/>
    </row>
    <row r="73" spans="1:72" s="23" customFormat="1" ht="9" customHeight="1" x14ac:dyDescent="0.25">
      <c r="A73" s="26"/>
      <c r="B73" s="88"/>
      <c r="C73" s="87"/>
      <c r="D73" s="87"/>
      <c r="E73" s="87"/>
      <c r="F73" s="87"/>
      <c r="G73" s="87"/>
      <c r="H73" s="87"/>
      <c r="I73" s="87"/>
      <c r="J73" s="89"/>
      <c r="K73" s="87"/>
      <c r="L73" s="88"/>
      <c r="M73" s="87"/>
      <c r="N73" s="87"/>
      <c r="O73" s="87"/>
      <c r="P73" s="87"/>
      <c r="Q73" s="87"/>
      <c r="R73" s="87"/>
      <c r="S73" s="87"/>
      <c r="T73" s="89"/>
      <c r="U73" s="87"/>
      <c r="V73" s="88"/>
      <c r="W73" s="87"/>
      <c r="X73" s="87"/>
      <c r="Y73" s="87"/>
      <c r="Z73" s="87"/>
      <c r="AA73" s="87"/>
      <c r="AB73" s="87"/>
      <c r="AC73" s="87"/>
      <c r="AD73" s="89"/>
      <c r="AE73" s="87"/>
      <c r="AF73" s="88"/>
      <c r="AG73" s="87"/>
      <c r="AH73" s="87"/>
      <c r="AI73" s="87"/>
      <c r="AJ73" s="87"/>
      <c r="AK73" s="87"/>
      <c r="AL73" s="87"/>
      <c r="AM73" s="87"/>
      <c r="AN73" s="89"/>
      <c r="AO73" s="87"/>
      <c r="AP73" s="88"/>
      <c r="AQ73" s="87"/>
      <c r="AR73" s="87"/>
      <c r="AS73" s="87"/>
      <c r="AT73" s="87"/>
      <c r="AU73" s="87"/>
      <c r="AV73" s="87"/>
      <c r="AW73" s="87"/>
      <c r="AX73" s="89"/>
      <c r="AY73" s="87"/>
      <c r="AZ73" s="116"/>
      <c r="BA73" s="96"/>
      <c r="BB73" s="96"/>
      <c r="BC73" s="96"/>
      <c r="BD73" s="96"/>
      <c r="BE73" s="96"/>
      <c r="BF73" s="96"/>
      <c r="BG73" s="96"/>
      <c r="BH73" s="97"/>
      <c r="BI73" s="106"/>
      <c r="BJ73" s="116"/>
      <c r="BK73" s="96"/>
      <c r="BL73" s="96"/>
      <c r="BM73" s="96"/>
      <c r="BN73" s="96"/>
      <c r="BO73" s="96"/>
      <c r="BP73" s="96"/>
      <c r="BQ73" s="96"/>
      <c r="BR73" s="97"/>
      <c r="BS73" s="26"/>
      <c r="BT73" s="26"/>
    </row>
    <row r="74" spans="1:72" s="23" customFormat="1" ht="9" customHeight="1" x14ac:dyDescent="0.25">
      <c r="A74" s="26"/>
      <c r="B74" s="88"/>
      <c r="C74" s="87"/>
      <c r="D74" s="87"/>
      <c r="E74" s="87"/>
      <c r="F74" s="87"/>
      <c r="G74" s="87"/>
      <c r="H74" s="87"/>
      <c r="I74" s="87"/>
      <c r="J74" s="89"/>
      <c r="K74" s="87"/>
      <c r="L74" s="88"/>
      <c r="M74" s="87"/>
      <c r="N74" s="87"/>
      <c r="O74" s="87"/>
      <c r="P74" s="87"/>
      <c r="Q74" s="87"/>
      <c r="R74" s="87"/>
      <c r="S74" s="87"/>
      <c r="T74" s="89"/>
      <c r="U74" s="87"/>
      <c r="V74" s="88"/>
      <c r="W74" s="87"/>
      <c r="X74" s="87"/>
      <c r="Y74" s="87"/>
      <c r="Z74" s="87"/>
      <c r="AA74" s="87"/>
      <c r="AB74" s="87"/>
      <c r="AC74" s="87"/>
      <c r="AD74" s="89"/>
      <c r="AE74" s="87"/>
      <c r="AF74" s="88"/>
      <c r="AG74" s="87"/>
      <c r="AH74" s="87"/>
      <c r="AI74" s="87"/>
      <c r="AJ74" s="87"/>
      <c r="AK74" s="87"/>
      <c r="AL74" s="87"/>
      <c r="AM74" s="87"/>
      <c r="AN74" s="89"/>
      <c r="AO74" s="87"/>
      <c r="AP74" s="88"/>
      <c r="AQ74" s="87"/>
      <c r="AR74" s="87"/>
      <c r="AS74" s="87"/>
      <c r="AT74" s="87"/>
      <c r="AU74" s="87"/>
      <c r="AV74" s="87"/>
      <c r="AW74" s="87"/>
      <c r="AX74" s="89"/>
      <c r="AY74" s="87"/>
      <c r="AZ74" s="116"/>
      <c r="BA74" s="96"/>
      <c r="BB74" s="96"/>
      <c r="BC74" s="96"/>
      <c r="BD74" s="96"/>
      <c r="BE74" s="96"/>
      <c r="BF74" s="96"/>
      <c r="BG74" s="96"/>
      <c r="BH74" s="97"/>
      <c r="BI74" s="106"/>
      <c r="BJ74" s="116"/>
      <c r="BK74" s="96"/>
      <c r="BL74" s="96"/>
      <c r="BM74" s="96"/>
      <c r="BN74" s="96"/>
      <c r="BO74" s="96"/>
      <c r="BP74" s="96"/>
      <c r="BQ74" s="96"/>
      <c r="BR74" s="97"/>
      <c r="BS74" s="26"/>
      <c r="BT74" s="26"/>
    </row>
    <row r="75" spans="1:72" s="23" customFormat="1" ht="9" customHeight="1" x14ac:dyDescent="0.25">
      <c r="A75" s="26"/>
      <c r="B75" s="88"/>
      <c r="C75" s="87"/>
      <c r="D75" s="87"/>
      <c r="E75" s="87"/>
      <c r="F75" s="87"/>
      <c r="G75" s="87"/>
      <c r="H75" s="87"/>
      <c r="I75" s="87"/>
      <c r="J75" s="89"/>
      <c r="K75" s="87"/>
      <c r="L75" s="88"/>
      <c r="M75" s="87"/>
      <c r="N75" s="87"/>
      <c r="O75" s="87"/>
      <c r="P75" s="87"/>
      <c r="Q75" s="87"/>
      <c r="R75" s="87"/>
      <c r="S75" s="87"/>
      <c r="T75" s="89"/>
      <c r="U75" s="87"/>
      <c r="V75" s="88"/>
      <c r="W75" s="87"/>
      <c r="X75" s="87"/>
      <c r="Y75" s="87"/>
      <c r="Z75" s="87"/>
      <c r="AA75" s="87"/>
      <c r="AB75" s="87"/>
      <c r="AC75" s="87"/>
      <c r="AD75" s="89"/>
      <c r="AE75" s="87"/>
      <c r="AF75" s="88"/>
      <c r="AG75" s="87"/>
      <c r="AH75" s="87"/>
      <c r="AI75" s="87"/>
      <c r="AJ75" s="87"/>
      <c r="AK75" s="87"/>
      <c r="AL75" s="87"/>
      <c r="AM75" s="87"/>
      <c r="AN75" s="89"/>
      <c r="AO75" s="87"/>
      <c r="AP75" s="88"/>
      <c r="AQ75" s="87"/>
      <c r="AR75" s="87"/>
      <c r="AS75" s="87"/>
      <c r="AT75" s="87"/>
      <c r="AU75" s="87"/>
      <c r="AV75" s="87"/>
      <c r="AW75" s="87"/>
      <c r="AX75" s="89"/>
      <c r="AY75" s="87"/>
      <c r="AZ75" s="116"/>
      <c r="BA75" s="96"/>
      <c r="BB75" s="96"/>
      <c r="BC75" s="96"/>
      <c r="BD75" s="96"/>
      <c r="BE75" s="96"/>
      <c r="BF75" s="96"/>
      <c r="BG75" s="96"/>
      <c r="BH75" s="97"/>
      <c r="BI75" s="106"/>
      <c r="BJ75" s="116"/>
      <c r="BK75" s="96"/>
      <c r="BL75" s="96"/>
      <c r="BM75" s="96"/>
      <c r="BN75" s="96"/>
      <c r="BO75" s="96"/>
      <c r="BP75" s="96"/>
      <c r="BQ75" s="96"/>
      <c r="BR75" s="97"/>
      <c r="BS75" s="26"/>
      <c r="BT75" s="26"/>
    </row>
    <row r="76" spans="1:72" s="23" customFormat="1" ht="9" customHeight="1" x14ac:dyDescent="0.25">
      <c r="A76" s="26"/>
      <c r="B76" s="88"/>
      <c r="C76" s="87"/>
      <c r="D76" s="87"/>
      <c r="E76" s="87"/>
      <c r="F76" s="87"/>
      <c r="G76" s="87"/>
      <c r="H76" s="87"/>
      <c r="I76" s="87"/>
      <c r="J76" s="89"/>
      <c r="K76" s="87"/>
      <c r="L76" s="88"/>
      <c r="M76" s="87"/>
      <c r="N76" s="87"/>
      <c r="O76" s="87"/>
      <c r="P76" s="87"/>
      <c r="Q76" s="87"/>
      <c r="R76" s="87"/>
      <c r="S76" s="87"/>
      <c r="T76" s="89"/>
      <c r="U76" s="87"/>
      <c r="V76" s="88"/>
      <c r="W76" s="87"/>
      <c r="X76" s="87"/>
      <c r="Y76" s="87"/>
      <c r="Z76" s="87"/>
      <c r="AA76" s="87"/>
      <c r="AB76" s="87"/>
      <c r="AC76" s="87"/>
      <c r="AD76" s="89"/>
      <c r="AE76" s="87"/>
      <c r="AF76" s="88"/>
      <c r="AG76" s="87"/>
      <c r="AH76" s="87"/>
      <c r="AI76" s="87"/>
      <c r="AJ76" s="87"/>
      <c r="AK76" s="87"/>
      <c r="AL76" s="87"/>
      <c r="AM76" s="87"/>
      <c r="AN76" s="89"/>
      <c r="AO76" s="87"/>
      <c r="AP76" s="88"/>
      <c r="AQ76" s="87"/>
      <c r="AR76" s="87"/>
      <c r="AS76" s="87"/>
      <c r="AT76" s="87"/>
      <c r="AU76" s="87"/>
      <c r="AV76" s="87"/>
      <c r="AW76" s="87"/>
      <c r="AX76" s="89"/>
      <c r="AY76" s="87"/>
      <c r="AZ76" s="116"/>
      <c r="BA76" s="96"/>
      <c r="BB76" s="96"/>
      <c r="BC76" s="96"/>
      <c r="BD76" s="96"/>
      <c r="BE76" s="96"/>
      <c r="BF76" s="96"/>
      <c r="BG76" s="96"/>
      <c r="BH76" s="97"/>
      <c r="BI76" s="106"/>
      <c r="BJ76" s="116"/>
      <c r="BK76" s="96"/>
      <c r="BL76" s="96"/>
      <c r="BM76" s="96"/>
      <c r="BN76" s="96"/>
      <c r="BO76" s="96"/>
      <c r="BP76" s="96"/>
      <c r="BQ76" s="96"/>
      <c r="BR76" s="97"/>
      <c r="BS76" s="26"/>
      <c r="BT76" s="26"/>
    </row>
    <row r="77" spans="1:72" s="23" customFormat="1" ht="9" customHeight="1" x14ac:dyDescent="0.25">
      <c r="A77" s="26"/>
      <c r="B77" s="88"/>
      <c r="C77" s="87"/>
      <c r="D77" s="87"/>
      <c r="E77" s="87"/>
      <c r="F77" s="87"/>
      <c r="G77" s="87"/>
      <c r="H77" s="87"/>
      <c r="I77" s="87"/>
      <c r="J77" s="89"/>
      <c r="K77" s="87"/>
      <c r="L77" s="88"/>
      <c r="M77" s="87"/>
      <c r="N77" s="87"/>
      <c r="O77" s="87"/>
      <c r="P77" s="87"/>
      <c r="Q77" s="87"/>
      <c r="R77" s="87"/>
      <c r="S77" s="87"/>
      <c r="T77" s="89"/>
      <c r="U77" s="87"/>
      <c r="V77" s="88"/>
      <c r="W77" s="87"/>
      <c r="X77" s="87"/>
      <c r="Y77" s="87"/>
      <c r="Z77" s="87"/>
      <c r="AA77" s="87"/>
      <c r="AB77" s="87"/>
      <c r="AC77" s="87"/>
      <c r="AD77" s="89"/>
      <c r="AE77" s="87"/>
      <c r="AF77" s="88"/>
      <c r="AG77" s="87"/>
      <c r="AH77" s="87"/>
      <c r="AI77" s="87"/>
      <c r="AJ77" s="87"/>
      <c r="AK77" s="87"/>
      <c r="AL77" s="87"/>
      <c r="AM77" s="87"/>
      <c r="AN77" s="89"/>
      <c r="AO77" s="87"/>
      <c r="AP77" s="88"/>
      <c r="AQ77" s="87"/>
      <c r="AR77" s="87"/>
      <c r="AS77" s="87"/>
      <c r="AT77" s="87"/>
      <c r="AU77" s="87"/>
      <c r="AV77" s="87"/>
      <c r="AW77" s="87"/>
      <c r="AX77" s="89"/>
      <c r="AY77" s="87"/>
      <c r="AZ77" s="116"/>
      <c r="BA77" s="96"/>
      <c r="BB77" s="96"/>
      <c r="BC77" s="96"/>
      <c r="BD77" s="96"/>
      <c r="BE77" s="96"/>
      <c r="BF77" s="96"/>
      <c r="BG77" s="96"/>
      <c r="BH77" s="97"/>
      <c r="BI77" s="106"/>
      <c r="BJ77" s="116"/>
      <c r="BK77" s="96"/>
      <c r="BL77" s="96"/>
      <c r="BM77" s="96"/>
      <c r="BN77" s="96"/>
      <c r="BO77" s="96"/>
      <c r="BP77" s="96"/>
      <c r="BQ77" s="96"/>
      <c r="BR77" s="97"/>
      <c r="BS77" s="26"/>
      <c r="BT77" s="26"/>
    </row>
    <row r="78" spans="1:72" s="39" customFormat="1" ht="9" customHeight="1" x14ac:dyDescent="0.25">
      <c r="A78" s="38"/>
      <c r="B78" s="107"/>
      <c r="C78" s="106"/>
      <c r="D78" s="106"/>
      <c r="E78" s="106"/>
      <c r="F78" s="106"/>
      <c r="G78" s="106"/>
      <c r="H78" s="106"/>
      <c r="I78" s="106"/>
      <c r="J78" s="108"/>
      <c r="K78" s="106"/>
      <c r="L78" s="107"/>
      <c r="M78" s="106"/>
      <c r="N78" s="106"/>
      <c r="O78" s="106"/>
      <c r="P78" s="106"/>
      <c r="Q78" s="106"/>
      <c r="R78" s="106"/>
      <c r="S78" s="106"/>
      <c r="T78" s="108"/>
      <c r="U78" s="106"/>
      <c r="V78" s="107"/>
      <c r="W78" s="106"/>
      <c r="X78" s="106"/>
      <c r="Y78" s="106"/>
      <c r="Z78" s="106"/>
      <c r="AA78" s="106"/>
      <c r="AB78" s="106"/>
      <c r="AC78" s="106"/>
      <c r="AD78" s="108"/>
      <c r="AE78" s="106"/>
      <c r="AF78" s="107"/>
      <c r="AG78" s="106"/>
      <c r="AH78" s="106"/>
      <c r="AI78" s="106"/>
      <c r="AJ78" s="106"/>
      <c r="AK78" s="106"/>
      <c r="AL78" s="106"/>
      <c r="AM78" s="106"/>
      <c r="AN78" s="108"/>
      <c r="AO78" s="106"/>
      <c r="AP78" s="107"/>
      <c r="AQ78" s="106"/>
      <c r="AR78" s="106"/>
      <c r="AS78" s="106"/>
      <c r="AT78" s="106"/>
      <c r="AU78" s="106"/>
      <c r="AV78" s="106"/>
      <c r="AW78" s="106"/>
      <c r="AX78" s="108"/>
      <c r="AY78" s="106"/>
      <c r="AZ78" s="116"/>
      <c r="BA78" s="96"/>
      <c r="BB78" s="96"/>
      <c r="BC78" s="96"/>
      <c r="BD78" s="96"/>
      <c r="BE78" s="96"/>
      <c r="BF78" s="96"/>
      <c r="BG78" s="96"/>
      <c r="BH78" s="97"/>
      <c r="BI78" s="87"/>
      <c r="BJ78" s="116"/>
      <c r="BK78" s="96"/>
      <c r="BL78" s="96"/>
      <c r="BM78" s="96"/>
      <c r="BN78" s="96"/>
      <c r="BO78" s="96"/>
      <c r="BP78" s="96"/>
      <c r="BQ78" s="96"/>
      <c r="BR78" s="97"/>
      <c r="BS78" s="38"/>
      <c r="BT78" s="38"/>
    </row>
    <row r="79" spans="1:72" s="23" customFormat="1" ht="8.25" customHeight="1" x14ac:dyDescent="0.25">
      <c r="A79" s="26"/>
      <c r="B79" s="492" t="s">
        <v>300</v>
      </c>
      <c r="C79" s="492"/>
      <c r="D79" s="492"/>
      <c r="E79" s="492"/>
      <c r="F79" s="492"/>
      <c r="G79" s="493">
        <f>CEILING(2058*A5,1)</f>
        <v>2882</v>
      </c>
      <c r="H79" s="493"/>
      <c r="I79" s="493"/>
      <c r="J79" s="493"/>
      <c r="K79" s="182"/>
      <c r="L79" s="194"/>
      <c r="M79" s="199"/>
      <c r="N79" s="199"/>
      <c r="O79" s="199"/>
      <c r="P79" s="199"/>
      <c r="Q79" s="199"/>
      <c r="R79" s="199"/>
      <c r="S79" s="199"/>
      <c r="T79" s="200"/>
      <c r="U79" s="182"/>
      <c r="V79" s="194"/>
      <c r="W79" s="199"/>
      <c r="X79" s="199"/>
      <c r="Y79" s="199"/>
      <c r="Z79" s="199"/>
      <c r="AA79" s="199"/>
      <c r="AB79" s="199"/>
      <c r="AC79" s="199"/>
      <c r="AD79" s="200"/>
      <c r="AE79" s="182"/>
      <c r="AF79" s="194"/>
      <c r="AG79" s="199"/>
      <c r="AH79" s="199"/>
      <c r="AI79" s="199"/>
      <c r="AJ79" s="199"/>
      <c r="AK79" s="199"/>
      <c r="AL79" s="199"/>
      <c r="AM79" s="199"/>
      <c r="AN79" s="200"/>
      <c r="AO79" s="182"/>
      <c r="AP79" s="194"/>
      <c r="AQ79" s="199"/>
      <c r="AR79" s="199"/>
      <c r="AS79" s="199"/>
      <c r="AT79" s="199"/>
      <c r="AU79" s="199"/>
      <c r="AV79" s="199"/>
      <c r="AW79" s="199"/>
      <c r="AX79" s="200"/>
      <c r="AY79" s="182"/>
      <c r="AZ79" s="193"/>
      <c r="BA79" s="185"/>
      <c r="BB79" s="185"/>
      <c r="BC79" s="185"/>
      <c r="BD79" s="185"/>
      <c r="BE79" s="185"/>
      <c r="BF79" s="185"/>
      <c r="BG79" s="185"/>
      <c r="BH79" s="186"/>
      <c r="BI79" s="189"/>
      <c r="BJ79" s="492" t="s">
        <v>301</v>
      </c>
      <c r="BK79" s="492"/>
      <c r="BL79" s="492"/>
      <c r="BM79" s="492"/>
      <c r="BN79" s="492"/>
      <c r="BO79" s="493">
        <f>CEILING(381*A5,1)</f>
        <v>534</v>
      </c>
      <c r="BP79" s="493"/>
      <c r="BQ79" s="493"/>
      <c r="BR79" s="493"/>
      <c r="BS79" s="26"/>
      <c r="BT79" s="26"/>
    </row>
    <row r="80" spans="1:72" s="23" customFormat="1" ht="9" customHeight="1" x14ac:dyDescent="0.25">
      <c r="A80" s="26"/>
      <c r="B80" s="492" t="s">
        <v>238</v>
      </c>
      <c r="C80" s="492"/>
      <c r="D80" s="492"/>
      <c r="E80" s="492"/>
      <c r="F80" s="492"/>
      <c r="G80" s="493">
        <f>CEILING(2189*A5,1)</f>
        <v>3065</v>
      </c>
      <c r="H80" s="493"/>
      <c r="I80" s="493"/>
      <c r="J80" s="493"/>
      <c r="K80" s="223"/>
      <c r="L80" s="492" t="s">
        <v>238</v>
      </c>
      <c r="M80" s="492"/>
      <c r="N80" s="492"/>
      <c r="O80" s="492"/>
      <c r="P80" s="492"/>
      <c r="Q80" s="493">
        <f>CEILING(2943*A5,1)</f>
        <v>4121</v>
      </c>
      <c r="R80" s="493"/>
      <c r="S80" s="493"/>
      <c r="T80" s="493"/>
      <c r="U80" s="223"/>
      <c r="V80" s="492" t="s">
        <v>238</v>
      </c>
      <c r="W80" s="492"/>
      <c r="X80" s="492"/>
      <c r="Y80" s="492"/>
      <c r="Z80" s="492"/>
      <c r="AA80" s="493">
        <f>CEILING(3239*A5,1)</f>
        <v>4535</v>
      </c>
      <c r="AB80" s="493"/>
      <c r="AC80" s="493"/>
      <c r="AD80" s="493"/>
      <c r="AE80" s="223"/>
      <c r="AF80" s="492" t="s">
        <v>238</v>
      </c>
      <c r="AG80" s="492"/>
      <c r="AH80" s="492"/>
      <c r="AI80" s="492"/>
      <c r="AJ80" s="492"/>
      <c r="AK80" s="493">
        <f>CEILING(3925*A5,1)</f>
        <v>5495</v>
      </c>
      <c r="AL80" s="493"/>
      <c r="AM80" s="493"/>
      <c r="AN80" s="493"/>
      <c r="AO80" s="223"/>
      <c r="AP80" s="492" t="s">
        <v>238</v>
      </c>
      <c r="AQ80" s="492"/>
      <c r="AR80" s="492"/>
      <c r="AS80" s="492"/>
      <c r="AT80" s="492"/>
      <c r="AU80" s="493">
        <f>CEILING(4137*A5,1)</f>
        <v>5792</v>
      </c>
      <c r="AV80" s="493"/>
      <c r="AW80" s="493"/>
      <c r="AX80" s="493"/>
      <c r="AY80" s="223"/>
      <c r="AZ80" s="492" t="s">
        <v>302</v>
      </c>
      <c r="BA80" s="492"/>
      <c r="BB80" s="492"/>
      <c r="BC80" s="492"/>
      <c r="BD80" s="492"/>
      <c r="BE80" s="493">
        <f>CEILING(494*A5,1)</f>
        <v>692</v>
      </c>
      <c r="BF80" s="493"/>
      <c r="BG80" s="493"/>
      <c r="BH80" s="493"/>
      <c r="BI80" s="223"/>
      <c r="BJ80" s="492" t="s">
        <v>823</v>
      </c>
      <c r="BK80" s="492"/>
      <c r="BL80" s="492"/>
      <c r="BM80" s="492"/>
      <c r="BN80" s="492"/>
      <c r="BO80" s="493">
        <f>CEILING(747*A5,1)</f>
        <v>1046</v>
      </c>
      <c r="BP80" s="493"/>
      <c r="BQ80" s="493"/>
      <c r="BR80" s="493"/>
      <c r="BS80" s="26"/>
      <c r="BT80" s="26"/>
    </row>
    <row r="81" spans="1:80" s="23" customFormat="1" ht="9" customHeight="1" x14ac:dyDescent="0.25">
      <c r="A81" s="26"/>
      <c r="B81" s="492" t="s">
        <v>239</v>
      </c>
      <c r="C81" s="492"/>
      <c r="D81" s="492"/>
      <c r="E81" s="492"/>
      <c r="F81" s="492"/>
      <c r="G81" s="493">
        <f>CEILING(2366*A5,1)</f>
        <v>3313</v>
      </c>
      <c r="H81" s="493"/>
      <c r="I81" s="493"/>
      <c r="J81" s="493"/>
      <c r="K81" s="223"/>
      <c r="L81" s="492" t="s">
        <v>239</v>
      </c>
      <c r="M81" s="492"/>
      <c r="N81" s="492"/>
      <c r="O81" s="492"/>
      <c r="P81" s="492"/>
      <c r="Q81" s="493">
        <f>CEILING(3169*A5,1)</f>
        <v>4437</v>
      </c>
      <c r="R81" s="493"/>
      <c r="S81" s="493"/>
      <c r="T81" s="493"/>
      <c r="U81" s="223"/>
      <c r="V81" s="492" t="s">
        <v>239</v>
      </c>
      <c r="W81" s="492"/>
      <c r="X81" s="492"/>
      <c r="Y81" s="492"/>
      <c r="Z81" s="492"/>
      <c r="AA81" s="493">
        <f>CEILING(3535*A5,1)</f>
        <v>4949</v>
      </c>
      <c r="AB81" s="493"/>
      <c r="AC81" s="493"/>
      <c r="AD81" s="493"/>
      <c r="AE81" s="223"/>
      <c r="AF81" s="492" t="s">
        <v>239</v>
      </c>
      <c r="AG81" s="492"/>
      <c r="AH81" s="492"/>
      <c r="AI81" s="492"/>
      <c r="AJ81" s="492"/>
      <c r="AK81" s="493">
        <f>CEILING(4290*A5,1)</f>
        <v>6006</v>
      </c>
      <c r="AL81" s="493"/>
      <c r="AM81" s="493"/>
      <c r="AN81" s="493"/>
      <c r="AO81" s="223"/>
      <c r="AP81" s="492" t="s">
        <v>239</v>
      </c>
      <c r="AQ81" s="492"/>
      <c r="AR81" s="492"/>
      <c r="AS81" s="492"/>
      <c r="AT81" s="492"/>
      <c r="AU81" s="493">
        <f>CEILING(4359*A5,1)</f>
        <v>6103</v>
      </c>
      <c r="AV81" s="493"/>
      <c r="AW81" s="493"/>
      <c r="AX81" s="493"/>
      <c r="AY81" s="223"/>
      <c r="AZ81" s="492" t="s">
        <v>303</v>
      </c>
      <c r="BA81" s="492"/>
      <c r="BB81" s="492"/>
      <c r="BC81" s="492"/>
      <c r="BD81" s="492"/>
      <c r="BE81" s="529">
        <f>1.4*532</f>
        <v>744.8</v>
      </c>
      <c r="BF81" s="529"/>
      <c r="BG81" s="529"/>
      <c r="BH81" s="529"/>
      <c r="BI81" s="223"/>
      <c r="BJ81" s="492" t="s">
        <v>303</v>
      </c>
      <c r="BK81" s="492"/>
      <c r="BL81" s="492"/>
      <c r="BM81" s="492"/>
      <c r="BN81" s="492"/>
      <c r="BO81" s="529">
        <f>1.4*532</f>
        <v>744.8</v>
      </c>
      <c r="BP81" s="529"/>
      <c r="BQ81" s="529"/>
      <c r="BR81" s="529"/>
      <c r="BS81" s="26"/>
      <c r="BT81" s="26"/>
    </row>
    <row r="82" spans="1:80" s="23" customFormat="1" ht="1.5" customHeight="1" x14ac:dyDescent="0.25">
      <c r="A82" s="26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202"/>
      <c r="BO82" s="202"/>
      <c r="BP82" s="202"/>
      <c r="BQ82" s="202"/>
      <c r="BR82" s="202"/>
      <c r="BS82" s="26"/>
      <c r="BT82" s="26"/>
    </row>
    <row r="83" spans="1:80" s="23" customFormat="1" ht="9" customHeight="1" x14ac:dyDescent="0.25">
      <c r="A83" s="26"/>
      <c r="B83" s="474" t="s">
        <v>304</v>
      </c>
      <c r="C83" s="475"/>
      <c r="D83" s="476"/>
      <c r="E83" s="478" t="s">
        <v>59</v>
      </c>
      <c r="F83" s="478"/>
      <c r="G83" s="478"/>
      <c r="H83" s="478"/>
      <c r="I83" s="478"/>
      <c r="J83" s="479"/>
      <c r="K83" s="87"/>
      <c r="L83" s="474" t="s">
        <v>305</v>
      </c>
      <c r="M83" s="475"/>
      <c r="N83" s="476"/>
      <c r="O83" s="505" t="s">
        <v>603</v>
      </c>
      <c r="P83" s="505"/>
      <c r="Q83" s="505"/>
      <c r="R83" s="505"/>
      <c r="S83" s="505"/>
      <c r="T83" s="506"/>
      <c r="U83" s="87"/>
      <c r="V83" s="474" t="s">
        <v>306</v>
      </c>
      <c r="W83" s="475"/>
      <c r="X83" s="476"/>
      <c r="Y83" s="505" t="s">
        <v>603</v>
      </c>
      <c r="Z83" s="505"/>
      <c r="AA83" s="505"/>
      <c r="AB83" s="505"/>
      <c r="AC83" s="505"/>
      <c r="AD83" s="506"/>
      <c r="AE83" s="87"/>
      <c r="AF83" s="474" t="s">
        <v>307</v>
      </c>
      <c r="AG83" s="475"/>
      <c r="AH83" s="476"/>
      <c r="AI83" s="505" t="s">
        <v>603</v>
      </c>
      <c r="AJ83" s="505"/>
      <c r="AK83" s="505"/>
      <c r="AL83" s="505"/>
      <c r="AM83" s="505"/>
      <c r="AN83" s="506"/>
      <c r="AO83" s="87"/>
      <c r="AP83" s="474" t="s">
        <v>308</v>
      </c>
      <c r="AQ83" s="475"/>
      <c r="AR83" s="476"/>
      <c r="AS83" s="505" t="s">
        <v>603</v>
      </c>
      <c r="AT83" s="505"/>
      <c r="AU83" s="505"/>
      <c r="AV83" s="505"/>
      <c r="AW83" s="505"/>
      <c r="AX83" s="506"/>
      <c r="AY83" s="87"/>
      <c r="AZ83" s="474" t="s">
        <v>309</v>
      </c>
      <c r="BA83" s="475"/>
      <c r="BB83" s="476"/>
      <c r="BC83" s="505" t="s">
        <v>310</v>
      </c>
      <c r="BD83" s="505"/>
      <c r="BE83" s="505"/>
      <c r="BF83" s="505"/>
      <c r="BG83" s="505"/>
      <c r="BH83" s="506"/>
      <c r="BI83" s="106"/>
      <c r="BJ83" s="474" t="s">
        <v>311</v>
      </c>
      <c r="BK83" s="475"/>
      <c r="BL83" s="476"/>
      <c r="BM83" s="504" t="s">
        <v>312</v>
      </c>
      <c r="BN83" s="505"/>
      <c r="BO83" s="505"/>
      <c r="BP83" s="505"/>
      <c r="BQ83" s="505"/>
      <c r="BR83" s="506"/>
      <c r="BS83" s="26"/>
      <c r="BT83" s="530"/>
      <c r="BU83" s="530"/>
      <c r="BV83" s="530"/>
      <c r="BW83" s="530"/>
      <c r="BX83" s="530"/>
      <c r="BY83" s="530"/>
      <c r="BZ83" s="530"/>
      <c r="CA83" s="530"/>
      <c r="CB83" s="530"/>
    </row>
    <row r="84" spans="1:80" s="23" customFormat="1" ht="9" customHeight="1" x14ac:dyDescent="0.25">
      <c r="A84" s="26"/>
      <c r="B84" s="489" t="s">
        <v>59</v>
      </c>
      <c r="C84" s="490"/>
      <c r="D84" s="490"/>
      <c r="E84" s="490"/>
      <c r="F84" s="490"/>
      <c r="G84" s="490"/>
      <c r="H84" s="490"/>
      <c r="I84" s="490"/>
      <c r="J84" s="491"/>
      <c r="K84" s="87"/>
      <c r="L84" s="489" t="s">
        <v>604</v>
      </c>
      <c r="M84" s="490"/>
      <c r="N84" s="490"/>
      <c r="O84" s="490"/>
      <c r="P84" s="490"/>
      <c r="Q84" s="490"/>
      <c r="R84" s="490"/>
      <c r="S84" s="490"/>
      <c r="T84" s="491"/>
      <c r="U84" s="87"/>
      <c r="V84" s="489" t="s">
        <v>604</v>
      </c>
      <c r="W84" s="490"/>
      <c r="X84" s="490"/>
      <c r="Y84" s="490"/>
      <c r="Z84" s="490"/>
      <c r="AA84" s="490"/>
      <c r="AB84" s="490"/>
      <c r="AC84" s="490"/>
      <c r="AD84" s="491"/>
      <c r="AE84" s="87"/>
      <c r="AF84" s="489" t="s">
        <v>604</v>
      </c>
      <c r="AG84" s="490"/>
      <c r="AH84" s="490"/>
      <c r="AI84" s="490"/>
      <c r="AJ84" s="490"/>
      <c r="AK84" s="490"/>
      <c r="AL84" s="490"/>
      <c r="AM84" s="490"/>
      <c r="AN84" s="491"/>
      <c r="AO84" s="87"/>
      <c r="AP84" s="489" t="s">
        <v>604</v>
      </c>
      <c r="AQ84" s="490"/>
      <c r="AR84" s="490"/>
      <c r="AS84" s="490"/>
      <c r="AT84" s="490"/>
      <c r="AU84" s="490"/>
      <c r="AV84" s="490"/>
      <c r="AW84" s="490"/>
      <c r="AX84" s="491"/>
      <c r="AY84" s="87"/>
      <c r="AZ84" s="489" t="s">
        <v>314</v>
      </c>
      <c r="BA84" s="490"/>
      <c r="BB84" s="490"/>
      <c r="BC84" s="490"/>
      <c r="BD84" s="490"/>
      <c r="BE84" s="490"/>
      <c r="BF84" s="490"/>
      <c r="BG84" s="490"/>
      <c r="BH84" s="491"/>
      <c r="BI84" s="108"/>
      <c r="BJ84" s="490" t="s">
        <v>315</v>
      </c>
      <c r="BK84" s="490"/>
      <c r="BL84" s="490"/>
      <c r="BM84" s="490"/>
      <c r="BN84" s="490"/>
      <c r="BO84" s="490"/>
      <c r="BP84" s="490"/>
      <c r="BQ84" s="490"/>
      <c r="BR84" s="491"/>
      <c r="BS84" s="26"/>
      <c r="BT84" s="33"/>
      <c r="BU84" s="33"/>
      <c r="BV84" s="33"/>
      <c r="BW84" s="33"/>
      <c r="BX84" s="33"/>
      <c r="BY84" s="33"/>
      <c r="BZ84" s="33"/>
      <c r="CA84" s="33"/>
      <c r="CB84" s="33"/>
    </row>
    <row r="85" spans="1:80" s="23" customFormat="1" ht="9" customHeight="1" x14ac:dyDescent="0.25">
      <c r="A85" s="26"/>
      <c r="B85" s="489" t="s">
        <v>313</v>
      </c>
      <c r="C85" s="490"/>
      <c r="D85" s="490"/>
      <c r="E85" s="490"/>
      <c r="F85" s="490"/>
      <c r="G85" s="490"/>
      <c r="H85" s="490"/>
      <c r="I85" s="490"/>
      <c r="J85" s="491"/>
      <c r="K85" s="87"/>
      <c r="L85" s="88"/>
      <c r="M85" s="87"/>
      <c r="N85" s="87"/>
      <c r="O85" s="87"/>
      <c r="P85" s="87"/>
      <c r="Q85" s="87"/>
      <c r="R85" s="87"/>
      <c r="S85" s="87"/>
      <c r="T85" s="89"/>
      <c r="U85" s="87"/>
      <c r="V85" s="88"/>
      <c r="W85" s="87"/>
      <c r="X85" s="87"/>
      <c r="Y85" s="87"/>
      <c r="Z85" s="87"/>
      <c r="AA85" s="87"/>
      <c r="AB85" s="87"/>
      <c r="AC85" s="87"/>
      <c r="AD85" s="89"/>
      <c r="AE85" s="87"/>
      <c r="AF85" s="88"/>
      <c r="AG85" s="87"/>
      <c r="AH85" s="87"/>
      <c r="AI85" s="87"/>
      <c r="AJ85" s="87"/>
      <c r="AK85" s="87"/>
      <c r="AL85" s="87"/>
      <c r="AM85" s="87"/>
      <c r="AN85" s="89"/>
      <c r="AO85" s="87"/>
      <c r="AP85" s="88"/>
      <c r="AQ85" s="87"/>
      <c r="AR85" s="87"/>
      <c r="AS85" s="87"/>
      <c r="AT85" s="87"/>
      <c r="AU85" s="87"/>
      <c r="AV85" s="87"/>
      <c r="AW85" s="87"/>
      <c r="AX85" s="89"/>
      <c r="AY85" s="87"/>
      <c r="AZ85" s="116"/>
      <c r="BA85" s="96"/>
      <c r="BB85" s="96"/>
      <c r="BC85" s="90"/>
      <c r="BD85" s="90"/>
      <c r="BE85" s="90"/>
      <c r="BF85" s="90"/>
      <c r="BG85" s="90"/>
      <c r="BH85" s="91"/>
      <c r="BI85" s="108"/>
      <c r="BJ85" s="96"/>
      <c r="BK85" s="96"/>
      <c r="BL85" s="96"/>
      <c r="BM85" s="90"/>
      <c r="BN85" s="90"/>
      <c r="BO85" s="90"/>
      <c r="BP85" s="90"/>
      <c r="BQ85" s="90"/>
      <c r="BR85" s="91"/>
      <c r="BS85" s="26"/>
      <c r="BT85" s="33"/>
      <c r="BU85" s="33"/>
      <c r="BV85" s="33"/>
      <c r="BW85" s="34"/>
      <c r="BX85" s="34"/>
      <c r="BY85" s="34"/>
      <c r="BZ85" s="34"/>
      <c r="CA85" s="34"/>
      <c r="CB85" s="34"/>
    </row>
    <row r="86" spans="1:80" s="23" customFormat="1" ht="9" customHeight="1" x14ac:dyDescent="0.25">
      <c r="A86" s="26"/>
      <c r="B86" s="88"/>
      <c r="C86" s="87"/>
      <c r="D86" s="87"/>
      <c r="E86" s="87"/>
      <c r="F86" s="87"/>
      <c r="G86" s="87"/>
      <c r="H86" s="87"/>
      <c r="I86" s="87"/>
      <c r="J86" s="89"/>
      <c r="K86" s="87"/>
      <c r="L86" s="88"/>
      <c r="M86" s="87"/>
      <c r="N86" s="87"/>
      <c r="O86" s="87"/>
      <c r="P86" s="87"/>
      <c r="Q86" s="87"/>
      <c r="R86" s="87"/>
      <c r="S86" s="87"/>
      <c r="T86" s="89"/>
      <c r="U86" s="87"/>
      <c r="V86" s="88"/>
      <c r="W86" s="87"/>
      <c r="X86" s="87"/>
      <c r="Y86" s="87"/>
      <c r="Z86" s="87"/>
      <c r="AA86" s="87"/>
      <c r="AB86" s="87"/>
      <c r="AC86" s="87"/>
      <c r="AD86" s="89"/>
      <c r="AE86" s="87"/>
      <c r="AF86" s="88"/>
      <c r="AG86" s="87"/>
      <c r="AH86" s="87"/>
      <c r="AI86" s="87"/>
      <c r="AJ86" s="87"/>
      <c r="AK86" s="87"/>
      <c r="AL86" s="87"/>
      <c r="AM86" s="87"/>
      <c r="AN86" s="89"/>
      <c r="AO86" s="87"/>
      <c r="AP86" s="88"/>
      <c r="AQ86" s="87"/>
      <c r="AR86" s="87"/>
      <c r="AS86" s="87"/>
      <c r="AT86" s="87"/>
      <c r="AU86" s="87"/>
      <c r="AV86" s="87"/>
      <c r="AW86" s="87"/>
      <c r="AX86" s="89"/>
      <c r="AY86" s="87"/>
      <c r="AZ86" s="116"/>
      <c r="BA86" s="96"/>
      <c r="BB86" s="96"/>
      <c r="BC86" s="90"/>
      <c r="BD86" s="90"/>
      <c r="BE86" s="90"/>
      <c r="BF86" s="90"/>
      <c r="BG86" s="90"/>
      <c r="BH86" s="91"/>
      <c r="BI86" s="108"/>
      <c r="BJ86" s="96"/>
      <c r="BK86" s="96"/>
      <c r="BL86" s="96"/>
      <c r="BM86" s="90"/>
      <c r="BN86" s="90"/>
      <c r="BO86" s="90"/>
      <c r="BP86" s="90"/>
      <c r="BQ86" s="90"/>
      <c r="BR86" s="91"/>
      <c r="BS86" s="26"/>
      <c r="BT86" s="33"/>
      <c r="BU86" s="33"/>
      <c r="BV86" s="33"/>
      <c r="BW86" s="34"/>
      <c r="BX86" s="34"/>
      <c r="BY86" s="34"/>
      <c r="BZ86" s="34"/>
      <c r="CA86" s="34"/>
      <c r="CB86" s="34"/>
    </row>
    <row r="87" spans="1:80" s="23" customFormat="1" ht="9" customHeight="1" x14ac:dyDescent="0.25">
      <c r="A87" s="26"/>
      <c r="B87" s="88"/>
      <c r="C87" s="87"/>
      <c r="D87" s="87"/>
      <c r="E87" s="87"/>
      <c r="F87" s="87"/>
      <c r="G87" s="87"/>
      <c r="H87" s="87"/>
      <c r="I87" s="87"/>
      <c r="J87" s="89"/>
      <c r="K87" s="87"/>
      <c r="L87" s="88"/>
      <c r="M87" s="87"/>
      <c r="N87" s="87"/>
      <c r="O87" s="87"/>
      <c r="P87" s="87"/>
      <c r="Q87" s="87"/>
      <c r="R87" s="87"/>
      <c r="S87" s="87"/>
      <c r="T87" s="89"/>
      <c r="U87" s="87"/>
      <c r="V87" s="88"/>
      <c r="W87" s="87"/>
      <c r="X87" s="87"/>
      <c r="Y87" s="87"/>
      <c r="Z87" s="87"/>
      <c r="AA87" s="87"/>
      <c r="AB87" s="87"/>
      <c r="AC87" s="87"/>
      <c r="AD87" s="89"/>
      <c r="AE87" s="87"/>
      <c r="AF87" s="88"/>
      <c r="AG87" s="87"/>
      <c r="AH87" s="87"/>
      <c r="AI87" s="87"/>
      <c r="AJ87" s="87"/>
      <c r="AK87" s="87"/>
      <c r="AL87" s="87"/>
      <c r="AM87" s="87"/>
      <c r="AN87" s="89"/>
      <c r="AO87" s="87"/>
      <c r="AP87" s="88"/>
      <c r="AQ87" s="87"/>
      <c r="AR87" s="87"/>
      <c r="AS87" s="87"/>
      <c r="AT87" s="87"/>
      <c r="AU87" s="87"/>
      <c r="AV87" s="87"/>
      <c r="AW87" s="87"/>
      <c r="AX87" s="89"/>
      <c r="AY87" s="87"/>
      <c r="AZ87" s="116"/>
      <c r="BA87" s="96"/>
      <c r="BB87" s="96"/>
      <c r="BC87" s="90"/>
      <c r="BD87" s="90"/>
      <c r="BE87" s="90"/>
      <c r="BF87" s="90"/>
      <c r="BG87" s="90"/>
      <c r="BH87" s="91"/>
      <c r="BI87" s="108"/>
      <c r="BJ87" s="96"/>
      <c r="BK87" s="96"/>
      <c r="BL87" s="96"/>
      <c r="BM87" s="90"/>
      <c r="BN87" s="90"/>
      <c r="BO87" s="90"/>
      <c r="BP87" s="90"/>
      <c r="BQ87" s="90"/>
      <c r="BR87" s="91"/>
      <c r="BS87" s="26"/>
      <c r="BT87" s="33"/>
      <c r="BU87" s="33"/>
      <c r="BV87" s="33"/>
      <c r="BW87" s="34"/>
      <c r="BX87" s="34"/>
      <c r="BY87" s="34"/>
      <c r="BZ87" s="34"/>
      <c r="CA87" s="34"/>
      <c r="CB87" s="34"/>
    </row>
    <row r="88" spans="1:80" s="23" customFormat="1" ht="9" customHeight="1" x14ac:dyDescent="0.25">
      <c r="A88" s="26"/>
      <c r="B88" s="88"/>
      <c r="C88" s="87"/>
      <c r="D88" s="87"/>
      <c r="E88" s="87"/>
      <c r="F88" s="87"/>
      <c r="G88" s="87"/>
      <c r="H88" s="87"/>
      <c r="I88" s="87"/>
      <c r="J88" s="89"/>
      <c r="K88" s="87"/>
      <c r="L88" s="88"/>
      <c r="M88" s="87"/>
      <c r="N88" s="87"/>
      <c r="O88" s="87"/>
      <c r="P88" s="87"/>
      <c r="Q88" s="87"/>
      <c r="R88" s="87"/>
      <c r="S88" s="87"/>
      <c r="T88" s="89"/>
      <c r="U88" s="87"/>
      <c r="V88" s="88"/>
      <c r="W88" s="87"/>
      <c r="X88" s="87"/>
      <c r="Y88" s="87"/>
      <c r="Z88" s="87"/>
      <c r="AA88" s="87"/>
      <c r="AB88" s="87"/>
      <c r="AC88" s="87"/>
      <c r="AD88" s="89"/>
      <c r="AE88" s="87"/>
      <c r="AF88" s="88"/>
      <c r="AG88" s="87"/>
      <c r="AH88" s="87"/>
      <c r="AI88" s="87"/>
      <c r="AJ88" s="87"/>
      <c r="AK88" s="87"/>
      <c r="AL88" s="87"/>
      <c r="AM88" s="87"/>
      <c r="AN88" s="89"/>
      <c r="AO88" s="87"/>
      <c r="AP88" s="88"/>
      <c r="AQ88" s="87"/>
      <c r="AR88" s="87"/>
      <c r="AS88" s="87"/>
      <c r="AT88" s="87"/>
      <c r="AU88" s="87"/>
      <c r="AV88" s="87"/>
      <c r="AW88" s="87"/>
      <c r="AX88" s="89"/>
      <c r="AY88" s="87"/>
      <c r="AZ88" s="103"/>
      <c r="BA88" s="90"/>
      <c r="BB88" s="90"/>
      <c r="BC88" s="90"/>
      <c r="BD88" s="90"/>
      <c r="BE88" s="90"/>
      <c r="BF88" s="90"/>
      <c r="BG88" s="90"/>
      <c r="BH88" s="91"/>
      <c r="BI88" s="108"/>
      <c r="BJ88" s="96"/>
      <c r="BK88" s="96"/>
      <c r="BL88" s="96"/>
      <c r="BM88" s="96"/>
      <c r="BN88" s="96"/>
      <c r="BO88" s="96"/>
      <c r="BP88" s="96"/>
      <c r="BQ88" s="96"/>
      <c r="BR88" s="97"/>
      <c r="BS88" s="26"/>
      <c r="BT88" s="33"/>
      <c r="BU88" s="33"/>
      <c r="BV88" s="33"/>
      <c r="BW88" s="33"/>
      <c r="BX88" s="33"/>
      <c r="BY88" s="33"/>
      <c r="BZ88" s="33"/>
      <c r="CA88" s="33"/>
      <c r="CB88" s="33"/>
    </row>
    <row r="89" spans="1:80" s="23" customFormat="1" ht="9" customHeight="1" x14ac:dyDescent="0.25">
      <c r="A89" s="26"/>
      <c r="B89" s="88"/>
      <c r="C89" s="87"/>
      <c r="D89" s="87"/>
      <c r="E89" s="87"/>
      <c r="F89" s="87"/>
      <c r="G89" s="87"/>
      <c r="H89" s="87"/>
      <c r="I89" s="87"/>
      <c r="J89" s="89"/>
      <c r="K89" s="87"/>
      <c r="L89" s="88"/>
      <c r="M89" s="87"/>
      <c r="N89" s="87"/>
      <c r="O89" s="87"/>
      <c r="P89" s="87"/>
      <c r="Q89" s="87"/>
      <c r="R89" s="87"/>
      <c r="S89" s="87"/>
      <c r="T89" s="89"/>
      <c r="U89" s="87"/>
      <c r="V89" s="88"/>
      <c r="W89" s="87"/>
      <c r="X89" s="87"/>
      <c r="Y89" s="87"/>
      <c r="Z89" s="87"/>
      <c r="AA89" s="87"/>
      <c r="AB89" s="87"/>
      <c r="AC89" s="87"/>
      <c r="AD89" s="89"/>
      <c r="AE89" s="87"/>
      <c r="AF89" s="88"/>
      <c r="AG89" s="87"/>
      <c r="AH89" s="87"/>
      <c r="AI89" s="87"/>
      <c r="AJ89" s="87"/>
      <c r="AK89" s="87"/>
      <c r="AL89" s="87"/>
      <c r="AM89" s="87"/>
      <c r="AN89" s="89"/>
      <c r="AO89" s="87"/>
      <c r="AP89" s="88"/>
      <c r="AQ89" s="87"/>
      <c r="AR89" s="87"/>
      <c r="AS89" s="87"/>
      <c r="AT89" s="87"/>
      <c r="AU89" s="87"/>
      <c r="AV89" s="87"/>
      <c r="AW89" s="87"/>
      <c r="AX89" s="89"/>
      <c r="AY89" s="87"/>
      <c r="AZ89" s="116"/>
      <c r="BA89" s="96"/>
      <c r="BB89" s="96"/>
      <c r="BC89" s="96"/>
      <c r="BD89" s="96"/>
      <c r="BE89" s="96"/>
      <c r="BF89" s="96"/>
      <c r="BG89" s="96"/>
      <c r="BH89" s="97"/>
      <c r="BI89" s="108"/>
      <c r="BJ89" s="531" t="s">
        <v>736</v>
      </c>
      <c r="BK89" s="532"/>
      <c r="BL89" s="532"/>
      <c r="BM89" s="532"/>
      <c r="BN89" s="532"/>
      <c r="BO89" s="493">
        <f>CEILING(463*A5,1)</f>
        <v>649</v>
      </c>
      <c r="BP89" s="493"/>
      <c r="BQ89" s="493"/>
      <c r="BR89" s="493"/>
      <c r="BS89" s="26"/>
      <c r="BT89" s="533"/>
      <c r="BU89" s="533"/>
      <c r="BV89" s="533"/>
      <c r="BW89" s="533"/>
      <c r="BX89" s="533"/>
      <c r="BY89" s="530"/>
      <c r="BZ89" s="530"/>
      <c r="CA89" s="530"/>
      <c r="CB89" s="530"/>
    </row>
    <row r="90" spans="1:80" s="23" customFormat="1" ht="9" customHeight="1" x14ac:dyDescent="0.25">
      <c r="A90" s="26"/>
      <c r="B90" s="88"/>
      <c r="C90" s="87"/>
      <c r="D90" s="87"/>
      <c r="E90" s="87"/>
      <c r="F90" s="87"/>
      <c r="G90" s="87"/>
      <c r="H90" s="87"/>
      <c r="I90" s="87"/>
      <c r="J90" s="89"/>
      <c r="K90" s="87"/>
      <c r="L90" s="88"/>
      <c r="M90" s="87"/>
      <c r="N90" s="87"/>
      <c r="O90" s="87"/>
      <c r="P90" s="87"/>
      <c r="Q90" s="87"/>
      <c r="R90" s="87"/>
      <c r="S90" s="87"/>
      <c r="T90" s="89"/>
      <c r="U90" s="87"/>
      <c r="V90" s="88"/>
      <c r="W90" s="87"/>
      <c r="X90" s="87"/>
      <c r="Y90" s="87"/>
      <c r="Z90" s="87"/>
      <c r="AA90" s="87"/>
      <c r="AB90" s="87"/>
      <c r="AC90" s="87"/>
      <c r="AD90" s="89"/>
      <c r="AE90" s="87"/>
      <c r="AF90" s="88"/>
      <c r="AG90" s="87"/>
      <c r="AH90" s="87"/>
      <c r="AI90" s="87"/>
      <c r="AJ90" s="87"/>
      <c r="AK90" s="87"/>
      <c r="AL90" s="87"/>
      <c r="AM90" s="87"/>
      <c r="AN90" s="89"/>
      <c r="AO90" s="87"/>
      <c r="AP90" s="88"/>
      <c r="AQ90" s="87"/>
      <c r="AR90" s="87"/>
      <c r="AS90" s="87"/>
      <c r="AT90" s="87"/>
      <c r="AU90" s="87"/>
      <c r="AV90" s="87"/>
      <c r="AW90" s="87"/>
      <c r="AX90" s="89"/>
      <c r="AY90" s="87"/>
      <c r="AZ90" s="116"/>
      <c r="BA90" s="96"/>
      <c r="BB90" s="96"/>
      <c r="BC90" s="96"/>
      <c r="BD90" s="96"/>
      <c r="BE90" s="96"/>
      <c r="BF90" s="96"/>
      <c r="BG90" s="96"/>
      <c r="BH90" s="97"/>
      <c r="BI90" s="106"/>
      <c r="BJ90" s="534" t="s">
        <v>316</v>
      </c>
      <c r="BK90" s="535"/>
      <c r="BL90" s="536"/>
      <c r="BM90" s="490" t="s">
        <v>310</v>
      </c>
      <c r="BN90" s="490"/>
      <c r="BO90" s="490"/>
      <c r="BP90" s="490"/>
      <c r="BQ90" s="490"/>
      <c r="BR90" s="491"/>
      <c r="BS90" s="26"/>
      <c r="BT90" s="530"/>
      <c r="BU90" s="530"/>
      <c r="BV90" s="530"/>
      <c r="BW90" s="530"/>
      <c r="BX90" s="530"/>
      <c r="BY90" s="530"/>
      <c r="BZ90" s="530"/>
      <c r="CA90" s="530"/>
      <c r="CB90" s="530"/>
    </row>
    <row r="91" spans="1:80" s="23" customFormat="1" ht="9" customHeight="1" x14ac:dyDescent="0.25">
      <c r="A91" s="26"/>
      <c r="B91" s="88"/>
      <c r="C91" s="87"/>
      <c r="D91" s="87"/>
      <c r="E91" s="87"/>
      <c r="F91" s="87"/>
      <c r="G91" s="87"/>
      <c r="H91" s="87"/>
      <c r="I91" s="87"/>
      <c r="J91" s="89"/>
      <c r="K91" s="87"/>
      <c r="L91" s="88"/>
      <c r="M91" s="87"/>
      <c r="N91" s="87"/>
      <c r="O91" s="87"/>
      <c r="P91" s="87"/>
      <c r="Q91" s="87"/>
      <c r="R91" s="87"/>
      <c r="S91" s="87"/>
      <c r="T91" s="89"/>
      <c r="U91" s="87"/>
      <c r="V91" s="88"/>
      <c r="W91" s="87"/>
      <c r="X91" s="87"/>
      <c r="Y91" s="87"/>
      <c r="Z91" s="87"/>
      <c r="AA91" s="87"/>
      <c r="AB91" s="87"/>
      <c r="AC91" s="87"/>
      <c r="AD91" s="89"/>
      <c r="AE91" s="87"/>
      <c r="AF91" s="88"/>
      <c r="AG91" s="87"/>
      <c r="AH91" s="87"/>
      <c r="AI91" s="87"/>
      <c r="AJ91" s="87"/>
      <c r="AK91" s="87"/>
      <c r="AL91" s="87"/>
      <c r="AM91" s="87"/>
      <c r="AN91" s="89"/>
      <c r="AO91" s="87"/>
      <c r="AP91" s="88"/>
      <c r="AQ91" s="87"/>
      <c r="AR91" s="87"/>
      <c r="AS91" s="87"/>
      <c r="AT91" s="87"/>
      <c r="AU91" s="87"/>
      <c r="AV91" s="87"/>
      <c r="AW91" s="87"/>
      <c r="AX91" s="89"/>
      <c r="AY91" s="87"/>
      <c r="AZ91" s="116"/>
      <c r="BA91" s="96"/>
      <c r="BB91" s="96"/>
      <c r="BC91" s="96"/>
      <c r="BD91" s="96"/>
      <c r="BE91" s="96"/>
      <c r="BF91" s="96"/>
      <c r="BG91" s="96"/>
      <c r="BH91" s="97"/>
      <c r="BI91" s="89"/>
      <c r="BJ91" s="490" t="s">
        <v>317</v>
      </c>
      <c r="BK91" s="490"/>
      <c r="BL91" s="490"/>
      <c r="BM91" s="490"/>
      <c r="BN91" s="490"/>
      <c r="BO91" s="490"/>
      <c r="BP91" s="490"/>
      <c r="BQ91" s="490"/>
      <c r="BR91" s="491"/>
      <c r="BS91" s="26"/>
      <c r="BT91" s="33"/>
      <c r="BU91" s="33"/>
      <c r="BV91" s="33"/>
      <c r="BW91" s="33"/>
      <c r="BX91" s="33"/>
      <c r="BY91" s="33"/>
      <c r="BZ91" s="33"/>
      <c r="CA91" s="33"/>
      <c r="CB91" s="33"/>
    </row>
    <row r="92" spans="1:80" s="23" customFormat="1" ht="9" customHeight="1" x14ac:dyDescent="0.25">
      <c r="A92" s="26"/>
      <c r="B92" s="88"/>
      <c r="C92" s="87"/>
      <c r="D92" s="87"/>
      <c r="E92" s="87"/>
      <c r="F92" s="87"/>
      <c r="G92" s="87"/>
      <c r="H92" s="87"/>
      <c r="I92" s="87"/>
      <c r="J92" s="89"/>
      <c r="K92" s="87"/>
      <c r="L92" s="88"/>
      <c r="M92" s="87"/>
      <c r="N92" s="87"/>
      <c r="O92" s="87"/>
      <c r="P92" s="87"/>
      <c r="Q92" s="87"/>
      <c r="R92" s="87"/>
      <c r="S92" s="87"/>
      <c r="T92" s="89"/>
      <c r="U92" s="87"/>
      <c r="V92" s="88"/>
      <c r="W92" s="87"/>
      <c r="X92" s="87"/>
      <c r="Y92" s="87"/>
      <c r="Z92" s="87"/>
      <c r="AA92" s="87"/>
      <c r="AB92" s="87"/>
      <c r="AC92" s="87"/>
      <c r="AD92" s="89"/>
      <c r="AE92" s="87"/>
      <c r="AF92" s="88"/>
      <c r="AG92" s="87"/>
      <c r="AH92" s="87"/>
      <c r="AI92" s="87"/>
      <c r="AJ92" s="87"/>
      <c r="AK92" s="87"/>
      <c r="AL92" s="87"/>
      <c r="AM92" s="87"/>
      <c r="AN92" s="89"/>
      <c r="AO92" s="87"/>
      <c r="AP92" s="88"/>
      <c r="AQ92" s="87"/>
      <c r="AR92" s="87"/>
      <c r="AS92" s="87"/>
      <c r="AT92" s="87"/>
      <c r="AU92" s="87"/>
      <c r="AV92" s="87"/>
      <c r="AW92" s="87"/>
      <c r="AX92" s="89"/>
      <c r="AY92" s="87"/>
      <c r="AZ92" s="116"/>
      <c r="BA92" s="96"/>
      <c r="BB92" s="96"/>
      <c r="BC92" s="96"/>
      <c r="BD92" s="96"/>
      <c r="BE92" s="96"/>
      <c r="BF92" s="96"/>
      <c r="BG92" s="96"/>
      <c r="BH92" s="97"/>
      <c r="BI92" s="89"/>
      <c r="BJ92" s="90"/>
      <c r="BK92" s="90"/>
      <c r="BL92" s="90"/>
      <c r="BM92" s="90"/>
      <c r="BN92" s="90"/>
      <c r="BO92" s="90"/>
      <c r="BP92" s="90"/>
      <c r="BQ92" s="90"/>
      <c r="BR92" s="91"/>
      <c r="BS92" s="26"/>
      <c r="BT92" s="33"/>
      <c r="BU92" s="33"/>
      <c r="BV92" s="33"/>
      <c r="BW92" s="33"/>
      <c r="BX92" s="33"/>
      <c r="BY92" s="33"/>
      <c r="BZ92" s="33"/>
      <c r="CA92" s="33"/>
      <c r="CB92" s="33"/>
    </row>
    <row r="93" spans="1:80" s="23" customFormat="1" ht="9" customHeight="1" x14ac:dyDescent="0.25">
      <c r="A93" s="26"/>
      <c r="B93" s="88"/>
      <c r="C93" s="87"/>
      <c r="D93" s="87"/>
      <c r="E93" s="87"/>
      <c r="F93" s="87"/>
      <c r="G93" s="87"/>
      <c r="H93" s="87"/>
      <c r="I93" s="87"/>
      <c r="J93" s="89"/>
      <c r="K93" s="87"/>
      <c r="L93" s="88"/>
      <c r="M93" s="87"/>
      <c r="N93" s="87"/>
      <c r="O93" s="87"/>
      <c r="P93" s="87"/>
      <c r="Q93" s="87"/>
      <c r="R93" s="87"/>
      <c r="S93" s="87"/>
      <c r="T93" s="89"/>
      <c r="U93" s="87"/>
      <c r="V93" s="88"/>
      <c r="W93" s="87"/>
      <c r="X93" s="87"/>
      <c r="Y93" s="87"/>
      <c r="Z93" s="87"/>
      <c r="AA93" s="87"/>
      <c r="AB93" s="87"/>
      <c r="AC93" s="87"/>
      <c r="AD93" s="89"/>
      <c r="AE93" s="87"/>
      <c r="AF93" s="88"/>
      <c r="AG93" s="87"/>
      <c r="AH93" s="87"/>
      <c r="AI93" s="87"/>
      <c r="AJ93" s="87"/>
      <c r="AK93" s="87"/>
      <c r="AL93" s="87"/>
      <c r="AM93" s="87"/>
      <c r="AN93" s="89"/>
      <c r="AO93" s="87"/>
      <c r="AP93" s="88"/>
      <c r="AQ93" s="87"/>
      <c r="AR93" s="87"/>
      <c r="AS93" s="87"/>
      <c r="AT93" s="87"/>
      <c r="AU93" s="87"/>
      <c r="AV93" s="87"/>
      <c r="AW93" s="87"/>
      <c r="AX93" s="89"/>
      <c r="AY93" s="87"/>
      <c r="AZ93" s="116"/>
      <c r="BA93" s="96"/>
      <c r="BB93" s="96"/>
      <c r="BC93" s="96"/>
      <c r="BD93" s="96"/>
      <c r="BE93" s="96"/>
      <c r="BF93" s="96"/>
      <c r="BG93" s="96"/>
      <c r="BH93" s="97"/>
      <c r="BI93" s="89"/>
      <c r="BJ93" s="90"/>
      <c r="BK93" s="90"/>
      <c r="BL93" s="90"/>
      <c r="BM93" s="90"/>
      <c r="BN93" s="90"/>
      <c r="BO93" s="90"/>
      <c r="BP93" s="90"/>
      <c r="BQ93" s="90"/>
      <c r="BR93" s="91"/>
      <c r="BS93" s="26"/>
      <c r="BT93" s="33"/>
      <c r="BU93" s="33"/>
      <c r="BV93" s="33"/>
      <c r="BW93" s="33"/>
      <c r="BX93" s="33"/>
      <c r="BY93" s="33"/>
      <c r="BZ93" s="33"/>
      <c r="CA93" s="33"/>
      <c r="CB93" s="33"/>
    </row>
    <row r="94" spans="1:80" s="23" customFormat="1" ht="9" customHeight="1" x14ac:dyDescent="0.25">
      <c r="A94" s="26"/>
      <c r="B94" s="88"/>
      <c r="C94" s="202"/>
      <c r="D94" s="202"/>
      <c r="E94" s="202"/>
      <c r="F94" s="202"/>
      <c r="G94" s="202"/>
      <c r="H94" s="202"/>
      <c r="I94" s="202"/>
      <c r="J94" s="203"/>
      <c r="K94" s="87"/>
      <c r="L94" s="88"/>
      <c r="M94" s="202"/>
      <c r="N94" s="202"/>
      <c r="O94" s="202"/>
      <c r="P94" s="202"/>
      <c r="Q94" s="202"/>
      <c r="R94" s="202"/>
      <c r="S94" s="202"/>
      <c r="T94" s="203"/>
      <c r="U94" s="87"/>
      <c r="V94" s="88"/>
      <c r="W94" s="202"/>
      <c r="X94" s="202"/>
      <c r="Y94" s="202"/>
      <c r="Z94" s="202"/>
      <c r="AA94" s="202"/>
      <c r="AB94" s="202"/>
      <c r="AC94" s="202"/>
      <c r="AD94" s="203"/>
      <c r="AE94" s="87"/>
      <c r="AF94" s="88"/>
      <c r="AG94" s="202"/>
      <c r="AH94" s="202"/>
      <c r="AI94" s="202"/>
      <c r="AJ94" s="202"/>
      <c r="AK94" s="202"/>
      <c r="AL94" s="202"/>
      <c r="AM94" s="202"/>
      <c r="AN94" s="203"/>
      <c r="AO94" s="87"/>
      <c r="AP94" s="88"/>
      <c r="AQ94" s="202"/>
      <c r="AR94" s="202"/>
      <c r="AS94" s="202"/>
      <c r="AT94" s="202"/>
      <c r="AU94" s="202"/>
      <c r="AV94" s="202"/>
      <c r="AW94" s="202"/>
      <c r="AX94" s="203"/>
      <c r="AY94" s="87"/>
      <c r="AZ94" s="116"/>
      <c r="BA94" s="96"/>
      <c r="BB94" s="96"/>
      <c r="BC94" s="96"/>
      <c r="BD94" s="96"/>
      <c r="BE94" s="96"/>
      <c r="BF94" s="96"/>
      <c r="BG94" s="96"/>
      <c r="BH94" s="97"/>
      <c r="BI94" s="89"/>
      <c r="BJ94" s="96"/>
      <c r="BK94" s="96"/>
      <c r="BL94" s="96"/>
      <c r="BM94" s="96"/>
      <c r="BN94" s="96"/>
      <c r="BO94" s="96"/>
      <c r="BP94" s="96"/>
      <c r="BQ94" s="96"/>
      <c r="BR94" s="97"/>
      <c r="BS94" s="26"/>
      <c r="BT94" s="33"/>
      <c r="BU94" s="33"/>
      <c r="BV94" s="33"/>
      <c r="BW94" s="33"/>
      <c r="BX94" s="33"/>
      <c r="BY94" s="33"/>
      <c r="BZ94" s="33"/>
      <c r="CA94" s="33"/>
      <c r="CB94" s="33"/>
    </row>
    <row r="95" spans="1:80" s="23" customFormat="1" ht="9" customHeight="1" x14ac:dyDescent="0.25">
      <c r="A95" s="26"/>
      <c r="B95" s="492" t="s">
        <v>240</v>
      </c>
      <c r="C95" s="492"/>
      <c r="D95" s="492"/>
      <c r="E95" s="492"/>
      <c r="F95" s="492"/>
      <c r="G95" s="493">
        <f>CEILING(4738*A5,1)</f>
        <v>6634</v>
      </c>
      <c r="H95" s="493"/>
      <c r="I95" s="493"/>
      <c r="J95" s="493"/>
      <c r="K95" s="223"/>
      <c r="L95" s="492" t="s">
        <v>318</v>
      </c>
      <c r="M95" s="492"/>
      <c r="N95" s="492"/>
      <c r="O95" s="492"/>
      <c r="P95" s="492"/>
      <c r="Q95" s="493">
        <f>CEILING(1065*A5,1)</f>
        <v>1491</v>
      </c>
      <c r="R95" s="493"/>
      <c r="S95" s="493"/>
      <c r="T95" s="493"/>
      <c r="U95" s="223"/>
      <c r="V95" s="492" t="s">
        <v>318</v>
      </c>
      <c r="W95" s="492"/>
      <c r="X95" s="492"/>
      <c r="Y95" s="492"/>
      <c r="Z95" s="492"/>
      <c r="AA95" s="493">
        <f>CEILING(1880*A5,1)</f>
        <v>2632</v>
      </c>
      <c r="AB95" s="493"/>
      <c r="AC95" s="493"/>
      <c r="AD95" s="493"/>
      <c r="AE95" s="223"/>
      <c r="AF95" s="492" t="s">
        <v>319</v>
      </c>
      <c r="AG95" s="492"/>
      <c r="AH95" s="492"/>
      <c r="AI95" s="492"/>
      <c r="AJ95" s="492"/>
      <c r="AK95" s="493">
        <f>CEILING(1172*A5,1)</f>
        <v>1641</v>
      </c>
      <c r="AL95" s="493"/>
      <c r="AM95" s="493"/>
      <c r="AN95" s="493"/>
      <c r="AO95" s="223"/>
      <c r="AP95" s="492" t="s">
        <v>319</v>
      </c>
      <c r="AQ95" s="492"/>
      <c r="AR95" s="492"/>
      <c r="AS95" s="492"/>
      <c r="AT95" s="492"/>
      <c r="AU95" s="493">
        <f>CEILING(1465*A5,1)</f>
        <v>2051</v>
      </c>
      <c r="AV95" s="493"/>
      <c r="AW95" s="493"/>
      <c r="AX95" s="493"/>
      <c r="AY95" s="182"/>
      <c r="AZ95" s="193"/>
      <c r="BA95" s="185"/>
      <c r="BB95" s="185"/>
      <c r="BC95" s="185"/>
      <c r="BD95" s="185"/>
      <c r="BE95" s="185"/>
      <c r="BF95" s="185"/>
      <c r="BG95" s="185"/>
      <c r="BH95" s="186"/>
      <c r="BI95" s="181"/>
      <c r="BJ95" s="185"/>
      <c r="BK95" s="185"/>
      <c r="BL95" s="185"/>
      <c r="BM95" s="185"/>
      <c r="BN95" s="185"/>
      <c r="BO95" s="185"/>
      <c r="BP95" s="185"/>
      <c r="BQ95" s="185"/>
      <c r="BR95" s="186"/>
      <c r="BS95" s="26"/>
      <c r="BT95" s="33"/>
      <c r="BU95" s="33"/>
      <c r="BV95" s="33"/>
      <c r="BW95" s="33"/>
      <c r="BX95" s="33"/>
      <c r="BY95" s="33"/>
      <c r="BZ95" s="33"/>
      <c r="CA95" s="33"/>
      <c r="CB95" s="33"/>
    </row>
    <row r="96" spans="1:80" s="23" customFormat="1" ht="9" customHeight="1" x14ac:dyDescent="0.25">
      <c r="A96" s="26"/>
      <c r="B96" s="492" t="s">
        <v>254</v>
      </c>
      <c r="C96" s="492"/>
      <c r="D96" s="492"/>
      <c r="E96" s="492"/>
      <c r="F96" s="492"/>
      <c r="G96" s="493">
        <f>CEILING(5058*A5,1)</f>
        <v>7082</v>
      </c>
      <c r="H96" s="493"/>
      <c r="I96" s="493"/>
      <c r="J96" s="493"/>
      <c r="K96" s="223"/>
      <c r="L96" s="492" t="s">
        <v>320</v>
      </c>
      <c r="M96" s="492"/>
      <c r="N96" s="492"/>
      <c r="O96" s="492"/>
      <c r="P96" s="492"/>
      <c r="Q96" s="493">
        <f>CEILING(1278*A5,1)</f>
        <v>1790</v>
      </c>
      <c r="R96" s="493"/>
      <c r="S96" s="493"/>
      <c r="T96" s="493"/>
      <c r="U96" s="223"/>
      <c r="V96" s="492" t="s">
        <v>320</v>
      </c>
      <c r="W96" s="492"/>
      <c r="X96" s="492"/>
      <c r="Y96" s="492"/>
      <c r="Z96" s="492"/>
      <c r="AA96" s="493">
        <f>CEILING(2141*A5,1)</f>
        <v>2998</v>
      </c>
      <c r="AB96" s="493"/>
      <c r="AC96" s="493"/>
      <c r="AD96" s="493"/>
      <c r="AE96" s="223"/>
      <c r="AF96" s="492" t="s">
        <v>321</v>
      </c>
      <c r="AG96" s="492"/>
      <c r="AH96" s="492"/>
      <c r="AI96" s="492"/>
      <c r="AJ96" s="492"/>
      <c r="AK96" s="493">
        <f>CEILING(1374*A5,1)</f>
        <v>1924</v>
      </c>
      <c r="AL96" s="493"/>
      <c r="AM96" s="493"/>
      <c r="AN96" s="493"/>
      <c r="AO96" s="223"/>
      <c r="AP96" s="492" t="s">
        <v>321</v>
      </c>
      <c r="AQ96" s="492"/>
      <c r="AR96" s="492"/>
      <c r="AS96" s="492"/>
      <c r="AT96" s="492"/>
      <c r="AU96" s="493">
        <f>CEILING(1563*A5,1)</f>
        <v>2189</v>
      </c>
      <c r="AV96" s="493"/>
      <c r="AW96" s="493"/>
      <c r="AX96" s="493"/>
      <c r="AY96" s="188"/>
      <c r="AZ96" s="492" t="s">
        <v>322</v>
      </c>
      <c r="BA96" s="492"/>
      <c r="BB96" s="492"/>
      <c r="BC96" s="492"/>
      <c r="BD96" s="492"/>
      <c r="BE96" s="493">
        <f>CEILING(239*A5,1)</f>
        <v>335</v>
      </c>
      <c r="BF96" s="493"/>
      <c r="BG96" s="493"/>
      <c r="BH96" s="493"/>
      <c r="BI96" s="222"/>
      <c r="BJ96" s="492" t="s">
        <v>323</v>
      </c>
      <c r="BK96" s="492"/>
      <c r="BL96" s="492"/>
      <c r="BM96" s="492"/>
      <c r="BN96" s="492"/>
      <c r="BO96" s="493">
        <f>CEILING(298*A5,1)</f>
        <v>418</v>
      </c>
      <c r="BP96" s="493"/>
      <c r="BQ96" s="493"/>
      <c r="BR96" s="493"/>
      <c r="BS96" s="26"/>
      <c r="BT96" s="533"/>
      <c r="BU96" s="533"/>
      <c r="BV96" s="533"/>
      <c r="BW96" s="533"/>
      <c r="BX96" s="533"/>
      <c r="BY96" s="530"/>
      <c r="BZ96" s="530"/>
      <c r="CA96" s="530"/>
      <c r="CB96" s="530"/>
    </row>
    <row r="97" spans="1:71" x14ac:dyDescent="0.2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</row>
    <row r="98" spans="1:71" x14ac:dyDescent="0.2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</row>
    <row r="99" spans="1:71" x14ac:dyDescent="0.2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</row>
    <row r="100" spans="1:71" x14ac:dyDescent="0.2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</row>
    <row r="101" spans="1:71" x14ac:dyDescent="0.2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</row>
    <row r="102" spans="1:71" x14ac:dyDescent="0.2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</row>
    <row r="103" spans="1:71" x14ac:dyDescent="0.2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</row>
    <row r="104" spans="1:71" x14ac:dyDescent="0.2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</row>
    <row r="105" spans="1:71" x14ac:dyDescent="0.2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</row>
    <row r="106" spans="1:71" x14ac:dyDescent="0.2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</row>
    <row r="107" spans="1:71" x14ac:dyDescent="0.2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</row>
    <row r="108" spans="1:71" x14ac:dyDescent="0.2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</row>
    <row r="109" spans="1:71" x14ac:dyDescent="0.2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</row>
    <row r="110" spans="1:71" x14ac:dyDescent="0.2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</row>
    <row r="111" spans="1:71" x14ac:dyDescent="0.2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</row>
    <row r="112" spans="1:71" x14ac:dyDescent="0.2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</row>
    <row r="113" spans="1:71" x14ac:dyDescent="0.2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</row>
    <row r="114" spans="1:71" x14ac:dyDescent="0.2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</row>
    <row r="115" spans="1:71" x14ac:dyDescent="0.2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</row>
    <row r="116" spans="1:71" x14ac:dyDescent="0.2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</row>
    <row r="117" spans="1:71" x14ac:dyDescent="0.2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</row>
    <row r="118" spans="1:71" x14ac:dyDescent="0.2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</row>
    <row r="119" spans="1:71" x14ac:dyDescent="0.2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</row>
    <row r="120" spans="1:71" x14ac:dyDescent="0.2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</row>
    <row r="121" spans="1:71" x14ac:dyDescent="0.2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</row>
    <row r="122" spans="1:71" x14ac:dyDescent="0.2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</row>
    <row r="123" spans="1:71" x14ac:dyDescent="0.2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</row>
    <row r="124" spans="1:71" x14ac:dyDescent="0.2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</row>
    <row r="125" spans="1:71" x14ac:dyDescent="0.2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</row>
    <row r="126" spans="1:71" x14ac:dyDescent="0.2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</row>
    <row r="127" spans="1:71" x14ac:dyDescent="0.2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</row>
    <row r="128" spans="1:71" x14ac:dyDescent="0.2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</row>
    <row r="129" spans="1:71" x14ac:dyDescent="0.2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</row>
    <row r="130" spans="1:71" x14ac:dyDescent="0.2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</row>
    <row r="131" spans="1:71" x14ac:dyDescent="0.2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</row>
    <row r="132" spans="1:71" x14ac:dyDescent="0.2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</row>
    <row r="133" spans="1:71" x14ac:dyDescent="0.2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</row>
    <row r="134" spans="1:71" x14ac:dyDescent="0.2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</row>
    <row r="135" spans="1:71" x14ac:dyDescent="0.2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</row>
    <row r="136" spans="1:71" x14ac:dyDescent="0.2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</row>
    <row r="137" spans="1:71" x14ac:dyDescent="0.2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</row>
    <row r="138" spans="1:71" x14ac:dyDescent="0.2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</row>
    <row r="139" spans="1:71" x14ac:dyDescent="0.2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</row>
    <row r="140" spans="1:71" x14ac:dyDescent="0.2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</row>
    <row r="141" spans="1:71" x14ac:dyDescent="0.2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</row>
    <row r="142" spans="1:7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</row>
    <row r="143" spans="1:71" x14ac:dyDescent="0.2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</row>
    <row r="144" spans="1:71" x14ac:dyDescent="0.2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</row>
    <row r="145" spans="1:71" x14ac:dyDescent="0.2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</row>
    <row r="146" spans="1:71" x14ac:dyDescent="0.2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</row>
    <row r="147" spans="1:71" x14ac:dyDescent="0.2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</row>
    <row r="148" spans="1:71" x14ac:dyDescent="0.2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</row>
    <row r="149" spans="1:71" x14ac:dyDescent="0.2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</row>
    <row r="150" spans="1:71" x14ac:dyDescent="0.2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</row>
    <row r="151" spans="1:71" x14ac:dyDescent="0.2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</row>
    <row r="152" spans="1:71" x14ac:dyDescent="0.2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</row>
    <row r="153" spans="1:71" x14ac:dyDescent="0.2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</row>
    <row r="154" spans="1:71" x14ac:dyDescent="0.2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</row>
    <row r="155" spans="1:71" x14ac:dyDescent="0.2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</row>
    <row r="156" spans="1:71" x14ac:dyDescent="0.2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</row>
    <row r="157" spans="1:71" x14ac:dyDescent="0.2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</row>
    <row r="158" spans="1:71" x14ac:dyDescent="0.2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</row>
    <row r="159" spans="1:71" x14ac:dyDescent="0.2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</row>
    <row r="160" spans="1:71" x14ac:dyDescent="0.2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</row>
    <row r="161" spans="1:71" x14ac:dyDescent="0.2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</row>
    <row r="162" spans="1:71" x14ac:dyDescent="0.2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</row>
    <row r="163" spans="1:71" x14ac:dyDescent="0.2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</row>
    <row r="164" spans="1:71" x14ac:dyDescent="0.2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</row>
    <row r="165" spans="1:71" x14ac:dyDescent="0.2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</row>
    <row r="166" spans="1:71" x14ac:dyDescent="0.2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</row>
    <row r="167" spans="1:71" x14ac:dyDescent="0.2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</row>
    <row r="168" spans="1:71" x14ac:dyDescent="0.2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</row>
    <row r="169" spans="1:71" x14ac:dyDescent="0.2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</row>
    <row r="170" spans="1:71" x14ac:dyDescent="0.2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</row>
    <row r="171" spans="1:71" x14ac:dyDescent="0.2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</row>
    <row r="172" spans="1:71" x14ac:dyDescent="0.2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</row>
    <row r="173" spans="1:71" x14ac:dyDescent="0.2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</row>
    <row r="174" spans="1:71" x14ac:dyDescent="0.2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</row>
    <row r="175" spans="1:71" x14ac:dyDescent="0.2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</row>
    <row r="176" spans="1:71" x14ac:dyDescent="0.2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</row>
    <row r="177" spans="1:71" x14ac:dyDescent="0.2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</row>
    <row r="178" spans="1:71" x14ac:dyDescent="0.2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</row>
    <row r="179" spans="1:71" x14ac:dyDescent="0.2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</row>
    <row r="180" spans="1:71" x14ac:dyDescent="0.2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</row>
    <row r="181" spans="1:71" x14ac:dyDescent="0.2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</row>
    <row r="182" spans="1:71" x14ac:dyDescent="0.2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</row>
    <row r="183" spans="1:71" x14ac:dyDescent="0.2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</row>
    <row r="184" spans="1:71" x14ac:dyDescent="0.2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</row>
    <row r="185" spans="1:71" x14ac:dyDescent="0.2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</row>
    <row r="186" spans="1:71" x14ac:dyDescent="0.2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</row>
    <row r="187" spans="1:71" x14ac:dyDescent="0.2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</row>
    <row r="188" spans="1:71" x14ac:dyDescent="0.2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</row>
    <row r="189" spans="1:71" x14ac:dyDescent="0.2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</row>
    <row r="190" spans="1:71" x14ac:dyDescent="0.2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</row>
    <row r="191" spans="1:71" x14ac:dyDescent="0.2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</row>
    <row r="192" spans="1:71" x14ac:dyDescent="0.2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</row>
    <row r="193" spans="1:71" x14ac:dyDescent="0.2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</row>
    <row r="194" spans="1:71" x14ac:dyDescent="0.2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</row>
    <row r="195" spans="1:71" x14ac:dyDescent="0.2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</row>
    <row r="196" spans="1:71" x14ac:dyDescent="0.2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</row>
    <row r="197" spans="1:71" x14ac:dyDescent="0.2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</row>
    <row r="198" spans="1:71" x14ac:dyDescent="0.2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</row>
    <row r="199" spans="1:71" x14ac:dyDescent="0.2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</row>
    <row r="200" spans="1:71" x14ac:dyDescent="0.2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</row>
    <row r="201" spans="1:71" x14ac:dyDescent="0.2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</row>
    <row r="202" spans="1:71" x14ac:dyDescent="0.2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</row>
    <row r="203" spans="1:71" x14ac:dyDescent="0.2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</row>
    <row r="204" spans="1:71" x14ac:dyDescent="0.2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</row>
    <row r="205" spans="1:71" x14ac:dyDescent="0.2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</row>
    <row r="206" spans="1:71" x14ac:dyDescent="0.2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</row>
    <row r="207" spans="1:71" x14ac:dyDescent="0.2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</row>
    <row r="208" spans="1:71" x14ac:dyDescent="0.2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</row>
    <row r="209" spans="1:71" x14ac:dyDescent="0.2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</row>
    <row r="210" spans="1:71" x14ac:dyDescent="0.2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</row>
    <row r="211" spans="1:71" x14ac:dyDescent="0.2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</row>
    <row r="212" spans="1:71" x14ac:dyDescent="0.2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</row>
    <row r="213" spans="1:71" x14ac:dyDescent="0.2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</row>
    <row r="214" spans="1:71" x14ac:dyDescent="0.2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</row>
    <row r="215" spans="1:71" x14ac:dyDescent="0.2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</row>
    <row r="216" spans="1:71" x14ac:dyDescent="0.2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</row>
    <row r="217" spans="1:71" x14ac:dyDescent="0.2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</row>
    <row r="218" spans="1:71" x14ac:dyDescent="0.2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</row>
    <row r="219" spans="1:71" x14ac:dyDescent="0.2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</row>
    <row r="220" spans="1:71" x14ac:dyDescent="0.2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</row>
    <row r="221" spans="1:71" x14ac:dyDescent="0.2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</row>
    <row r="222" spans="1:7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</row>
    <row r="223" spans="1:7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</row>
    <row r="224" spans="1:71" x14ac:dyDescent="0.2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</row>
    <row r="225" spans="1:71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</row>
    <row r="226" spans="1:71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</row>
    <row r="227" spans="1:71" x14ac:dyDescent="0.2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</row>
    <row r="228" spans="1:71" x14ac:dyDescent="0.2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</row>
    <row r="229" spans="1:71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</row>
    <row r="230" spans="1:71" x14ac:dyDescent="0.2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</row>
    <row r="231" spans="1:71" x14ac:dyDescent="0.2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</row>
    <row r="232" spans="1:71" x14ac:dyDescent="0.2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</row>
    <row r="233" spans="1:71" x14ac:dyDescent="0.2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</row>
    <row r="234" spans="1:71" x14ac:dyDescent="0.2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</row>
    <row r="235" spans="1:71" x14ac:dyDescent="0.2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</row>
    <row r="236" spans="1:71" x14ac:dyDescent="0.2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</row>
    <row r="237" spans="1:71" x14ac:dyDescent="0.2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</row>
    <row r="238" spans="1:71" x14ac:dyDescent="0.2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</row>
    <row r="239" spans="1:71" x14ac:dyDescent="0.2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</row>
    <row r="240" spans="1:71" x14ac:dyDescent="0.2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</row>
    <row r="241" spans="1:71" x14ac:dyDescent="0.2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</row>
    <row r="242" spans="1:71" x14ac:dyDescent="0.2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</row>
    <row r="243" spans="1:71" x14ac:dyDescent="0.2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</row>
    <row r="244" spans="1:71" x14ac:dyDescent="0.2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</row>
    <row r="245" spans="1:71" x14ac:dyDescent="0.2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</row>
    <row r="246" spans="1:71" x14ac:dyDescent="0.2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</row>
    <row r="247" spans="1:71" x14ac:dyDescent="0.2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</row>
    <row r="248" spans="1:71" x14ac:dyDescent="0.2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</row>
    <row r="249" spans="1:71" x14ac:dyDescent="0.2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</row>
    <row r="250" spans="1:71" x14ac:dyDescent="0.2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</row>
    <row r="251" spans="1:71" x14ac:dyDescent="0.2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</row>
    <row r="252" spans="1:71" x14ac:dyDescent="0.2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</row>
    <row r="253" spans="1:71" x14ac:dyDescent="0.2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</row>
    <row r="254" spans="1:71" x14ac:dyDescent="0.2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</row>
    <row r="255" spans="1:71" x14ac:dyDescent="0.2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</row>
    <row r="256" spans="1:71" x14ac:dyDescent="0.2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</row>
    <row r="257" spans="1:71" x14ac:dyDescent="0.2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</row>
    <row r="258" spans="1:71" x14ac:dyDescent="0.2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</row>
    <row r="259" spans="1:71" x14ac:dyDescent="0.2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</row>
    <row r="260" spans="1:71" x14ac:dyDescent="0.2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</row>
    <row r="261" spans="1:71" x14ac:dyDescent="0.2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</row>
    <row r="262" spans="1:71" x14ac:dyDescent="0.2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</row>
    <row r="263" spans="1:71" x14ac:dyDescent="0.2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</row>
    <row r="264" spans="1:71" x14ac:dyDescent="0.2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</row>
    <row r="265" spans="1:71" x14ac:dyDescent="0.2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</row>
    <row r="266" spans="1:71" x14ac:dyDescent="0.2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</row>
    <row r="267" spans="1:71" x14ac:dyDescent="0.2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</row>
    <row r="268" spans="1:71" x14ac:dyDescent="0.2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</row>
    <row r="269" spans="1:71" x14ac:dyDescent="0.2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</row>
    <row r="270" spans="1:71" x14ac:dyDescent="0.2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</row>
    <row r="271" spans="1:71" x14ac:dyDescent="0.2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</row>
    <row r="272" spans="1:71" x14ac:dyDescent="0.2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</row>
    <row r="273" spans="1:71" x14ac:dyDescent="0.2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</row>
    <row r="274" spans="1:71" x14ac:dyDescent="0.2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</row>
    <row r="275" spans="1:71" x14ac:dyDescent="0.2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</row>
    <row r="276" spans="1:71" x14ac:dyDescent="0.2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</row>
    <row r="277" spans="1:71" x14ac:dyDescent="0.2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</row>
    <row r="278" spans="1:71" x14ac:dyDescent="0.2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</row>
    <row r="279" spans="1:71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</row>
    <row r="280" spans="1:71" x14ac:dyDescent="0.2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</row>
    <row r="281" spans="1:71" x14ac:dyDescent="0.2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</row>
    <row r="282" spans="1:71" x14ac:dyDescent="0.2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</row>
    <row r="283" spans="1:71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</row>
    <row r="284" spans="1:71" x14ac:dyDescent="0.2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</row>
    <row r="285" spans="1:71" x14ac:dyDescent="0.2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</row>
    <row r="286" spans="1:71" x14ac:dyDescent="0.2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</row>
    <row r="287" spans="1:71" x14ac:dyDescent="0.2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</row>
    <row r="288" spans="1:71" x14ac:dyDescent="0.2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</row>
    <row r="289" spans="1:71" x14ac:dyDescent="0.2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</row>
    <row r="290" spans="1:71" x14ac:dyDescent="0.2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</row>
    <row r="291" spans="1:71" x14ac:dyDescent="0.2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</row>
    <row r="292" spans="1:71" x14ac:dyDescent="0.2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</row>
    <row r="293" spans="1:71" x14ac:dyDescent="0.2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</row>
    <row r="294" spans="1:71" x14ac:dyDescent="0.2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</row>
    <row r="295" spans="1:71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</row>
    <row r="296" spans="1:71" x14ac:dyDescent="0.2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</row>
    <row r="297" spans="1:71" x14ac:dyDescent="0.2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</row>
    <row r="298" spans="1:71" x14ac:dyDescent="0.2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</row>
    <row r="299" spans="1:71" x14ac:dyDescent="0.2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</row>
    <row r="300" spans="1:71" x14ac:dyDescent="0.2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</row>
    <row r="301" spans="1:71" x14ac:dyDescent="0.2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</row>
    <row r="302" spans="1:71" x14ac:dyDescent="0.2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</row>
    <row r="303" spans="1:71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</row>
    <row r="304" spans="1:71" x14ac:dyDescent="0.2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</row>
    <row r="305" spans="1:71" x14ac:dyDescent="0.2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</row>
    <row r="306" spans="1:71" x14ac:dyDescent="0.2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</row>
    <row r="307" spans="1:71" x14ac:dyDescent="0.2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</row>
    <row r="308" spans="1:71" x14ac:dyDescent="0.2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</row>
    <row r="309" spans="1:71" x14ac:dyDescent="0.2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</row>
    <row r="310" spans="1:71" x14ac:dyDescent="0.2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</row>
    <row r="311" spans="1:71" x14ac:dyDescent="0.2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</row>
    <row r="312" spans="1:71" x14ac:dyDescent="0.2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</row>
    <row r="313" spans="1:71" x14ac:dyDescent="0.2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</row>
    <row r="314" spans="1:71" x14ac:dyDescent="0.2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</row>
    <row r="315" spans="1:71" x14ac:dyDescent="0.2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</row>
    <row r="316" spans="1:71" x14ac:dyDescent="0.2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</row>
    <row r="317" spans="1:71" x14ac:dyDescent="0.2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</row>
    <row r="318" spans="1:71" x14ac:dyDescent="0.2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</row>
    <row r="319" spans="1:71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</row>
    <row r="320" spans="1:71" x14ac:dyDescent="0.2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</row>
    <row r="321" spans="1:71" x14ac:dyDescent="0.2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</row>
    <row r="322" spans="1:71" x14ac:dyDescent="0.2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</row>
    <row r="323" spans="1:71" x14ac:dyDescent="0.2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</row>
    <row r="324" spans="1:71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</row>
    <row r="325" spans="1:71" x14ac:dyDescent="0.2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</row>
    <row r="326" spans="1:71" x14ac:dyDescent="0.2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</row>
    <row r="327" spans="1:71" x14ac:dyDescent="0.2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</row>
    <row r="328" spans="1:71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</row>
    <row r="329" spans="1:71" x14ac:dyDescent="0.2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</row>
    <row r="330" spans="1:71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</row>
    <row r="331" spans="1:71" x14ac:dyDescent="0.2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</row>
    <row r="332" spans="1:71" x14ac:dyDescent="0.2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</row>
    <row r="333" spans="1:71" x14ac:dyDescent="0.2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</row>
    <row r="334" spans="1:71" x14ac:dyDescent="0.2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</row>
    <row r="335" spans="1:71" x14ac:dyDescent="0.2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</row>
    <row r="336" spans="1:71" x14ac:dyDescent="0.2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</row>
    <row r="337" spans="1:71" x14ac:dyDescent="0.2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</row>
    <row r="338" spans="1:71" x14ac:dyDescent="0.2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</row>
    <row r="339" spans="1:71" x14ac:dyDescent="0.2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</row>
    <row r="340" spans="1:71" x14ac:dyDescent="0.2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</row>
    <row r="341" spans="1:71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</row>
    <row r="342" spans="1:71" x14ac:dyDescent="0.2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</row>
    <row r="343" spans="1:71" x14ac:dyDescent="0.2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</row>
    <row r="344" spans="1:71" x14ac:dyDescent="0.2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</row>
    <row r="345" spans="1:71" x14ac:dyDescent="0.2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</row>
    <row r="346" spans="1:71" x14ac:dyDescent="0.2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</row>
  </sheetData>
  <mergeCells count="351">
    <mergeCell ref="B40:J40"/>
    <mergeCell ref="L40:T40"/>
    <mergeCell ref="V40:AD40"/>
    <mergeCell ref="AF40:AN40"/>
    <mergeCell ref="AP40:AX40"/>
    <mergeCell ref="AZ40:BH40"/>
    <mergeCell ref="BJ40:BR40"/>
    <mergeCell ref="AP51:AT51"/>
    <mergeCell ref="AU51:AX51"/>
    <mergeCell ref="AZ51:BD51"/>
    <mergeCell ref="BE51:BH51"/>
    <mergeCell ref="BJ51:BN51"/>
    <mergeCell ref="BO51:BR51"/>
    <mergeCell ref="BJ50:BN50"/>
    <mergeCell ref="BO50:BR50"/>
    <mergeCell ref="AP50:AT50"/>
    <mergeCell ref="AU50:AX50"/>
    <mergeCell ref="AZ50:BD50"/>
    <mergeCell ref="BE50:BH50"/>
    <mergeCell ref="B51:F51"/>
    <mergeCell ref="G51:J51"/>
    <mergeCell ref="L51:P51"/>
    <mergeCell ref="Q51:T51"/>
    <mergeCell ref="V51:Z51"/>
    <mergeCell ref="BY96:CB96"/>
    <mergeCell ref="AA96:AD96"/>
    <mergeCell ref="AF96:AJ96"/>
    <mergeCell ref="AK96:AN96"/>
    <mergeCell ref="AP96:AT96"/>
    <mergeCell ref="AU96:AX96"/>
    <mergeCell ref="AZ96:BD96"/>
    <mergeCell ref="B96:F96"/>
    <mergeCell ref="G96:J96"/>
    <mergeCell ref="L96:P96"/>
    <mergeCell ref="Q96:T96"/>
    <mergeCell ref="V96:Z96"/>
    <mergeCell ref="BE96:BH96"/>
    <mergeCell ref="BJ96:BN96"/>
    <mergeCell ref="BO96:BR96"/>
    <mergeCell ref="BT96:BX96"/>
    <mergeCell ref="BJ90:BL90"/>
    <mergeCell ref="BM90:BR90"/>
    <mergeCell ref="BT90:BV90"/>
    <mergeCell ref="BW90:CB90"/>
    <mergeCell ref="BJ91:BR91"/>
    <mergeCell ref="B95:F95"/>
    <mergeCell ref="G95:J95"/>
    <mergeCell ref="L95:P95"/>
    <mergeCell ref="Q95:T95"/>
    <mergeCell ref="V95:Z95"/>
    <mergeCell ref="AA95:AD95"/>
    <mergeCell ref="AF95:AJ95"/>
    <mergeCell ref="AK95:AN95"/>
    <mergeCell ref="AP95:AT95"/>
    <mergeCell ref="AU95:AX95"/>
    <mergeCell ref="BT83:BV83"/>
    <mergeCell ref="BW83:CB83"/>
    <mergeCell ref="B84:J84"/>
    <mergeCell ref="AZ84:BH84"/>
    <mergeCell ref="BJ84:BR84"/>
    <mergeCell ref="BJ89:BN89"/>
    <mergeCell ref="BO89:BR89"/>
    <mergeCell ref="BT89:BX89"/>
    <mergeCell ref="BY89:CB89"/>
    <mergeCell ref="AP83:AR83"/>
    <mergeCell ref="AS83:AX83"/>
    <mergeCell ref="AZ83:BB83"/>
    <mergeCell ref="BC83:BH83"/>
    <mergeCell ref="BJ83:BL83"/>
    <mergeCell ref="BM83:BR83"/>
    <mergeCell ref="B85:J85"/>
    <mergeCell ref="L84:T84"/>
    <mergeCell ref="V84:AD84"/>
    <mergeCell ref="AF84:AN84"/>
    <mergeCell ref="AP84:AX84"/>
    <mergeCell ref="BJ81:BN81"/>
    <mergeCell ref="BO81:BR81"/>
    <mergeCell ref="B83:D83"/>
    <mergeCell ref="E83:J83"/>
    <mergeCell ref="L83:N83"/>
    <mergeCell ref="O83:T83"/>
    <mergeCell ref="V83:X83"/>
    <mergeCell ref="Y83:AD83"/>
    <mergeCell ref="AF83:AH83"/>
    <mergeCell ref="AI83:AN83"/>
    <mergeCell ref="AF81:AJ81"/>
    <mergeCell ref="AK81:AN81"/>
    <mergeCell ref="AP81:AT81"/>
    <mergeCell ref="AU81:AX81"/>
    <mergeCell ref="AZ81:BD81"/>
    <mergeCell ref="BE81:BH81"/>
    <mergeCell ref="B81:F81"/>
    <mergeCell ref="G81:J81"/>
    <mergeCell ref="L81:P81"/>
    <mergeCell ref="Q81:T81"/>
    <mergeCell ref="V81:Z81"/>
    <mergeCell ref="AA81:AD81"/>
    <mergeCell ref="AP80:AT80"/>
    <mergeCell ref="AU80:AX80"/>
    <mergeCell ref="AZ80:BD80"/>
    <mergeCell ref="BE80:BH80"/>
    <mergeCell ref="BJ80:BN80"/>
    <mergeCell ref="BO80:BR80"/>
    <mergeCell ref="BJ79:BN79"/>
    <mergeCell ref="BO79:BR79"/>
    <mergeCell ref="B80:F80"/>
    <mergeCell ref="G80:J80"/>
    <mergeCell ref="L80:P80"/>
    <mergeCell ref="Q80:T80"/>
    <mergeCell ref="V80:Z80"/>
    <mergeCell ref="AA80:AD80"/>
    <mergeCell ref="AF80:AJ80"/>
    <mergeCell ref="AK80:AN80"/>
    <mergeCell ref="B69:J69"/>
    <mergeCell ref="L69:T69"/>
    <mergeCell ref="V69:AD69"/>
    <mergeCell ref="AF69:AN69"/>
    <mergeCell ref="AP69:AX69"/>
    <mergeCell ref="B79:F79"/>
    <mergeCell ref="G79:J79"/>
    <mergeCell ref="AP68:AR68"/>
    <mergeCell ref="AS68:AX68"/>
    <mergeCell ref="B70:J70"/>
    <mergeCell ref="L70:T70"/>
    <mergeCell ref="V70:AD70"/>
    <mergeCell ref="AF70:AN70"/>
    <mergeCell ref="AP70:AX70"/>
    <mergeCell ref="V71:AD71"/>
    <mergeCell ref="AF71:AN71"/>
    <mergeCell ref="AP71:AX71"/>
    <mergeCell ref="AZ68:BB68"/>
    <mergeCell ref="BC68:BH68"/>
    <mergeCell ref="BJ68:BL68"/>
    <mergeCell ref="BM68:BR68"/>
    <mergeCell ref="BJ66:BN66"/>
    <mergeCell ref="BO66:BR66"/>
    <mergeCell ref="B68:D68"/>
    <mergeCell ref="E68:J68"/>
    <mergeCell ref="L68:N68"/>
    <mergeCell ref="O68:T68"/>
    <mergeCell ref="V68:X68"/>
    <mergeCell ref="Y68:AD68"/>
    <mergeCell ref="AF68:AH68"/>
    <mergeCell ref="AI68:AN68"/>
    <mergeCell ref="AF66:AJ66"/>
    <mergeCell ref="AK66:AN66"/>
    <mergeCell ref="AP66:AT66"/>
    <mergeCell ref="AU66:AX66"/>
    <mergeCell ref="AZ66:BD66"/>
    <mergeCell ref="BE66:BH66"/>
    <mergeCell ref="V66:AD66"/>
    <mergeCell ref="AF65:AJ65"/>
    <mergeCell ref="AK65:AN65"/>
    <mergeCell ref="AP65:AT65"/>
    <mergeCell ref="AU65:AX65"/>
    <mergeCell ref="B66:F66"/>
    <mergeCell ref="G66:J66"/>
    <mergeCell ref="B65:F65"/>
    <mergeCell ref="G65:J65"/>
    <mergeCell ref="V65:AD65"/>
    <mergeCell ref="Q65:T65"/>
    <mergeCell ref="Q66:T66"/>
    <mergeCell ref="L65:P65"/>
    <mergeCell ref="L66:P66"/>
    <mergeCell ref="B64:F64"/>
    <mergeCell ref="G64:J64"/>
    <mergeCell ref="AF64:AJ64"/>
    <mergeCell ref="AK64:AN64"/>
    <mergeCell ref="AP64:AT64"/>
    <mergeCell ref="AU64:AX64"/>
    <mergeCell ref="BJ53:BL53"/>
    <mergeCell ref="BM53:BR53"/>
    <mergeCell ref="B54:J54"/>
    <mergeCell ref="AP54:AX54"/>
    <mergeCell ref="AZ54:BH54"/>
    <mergeCell ref="AF53:AH53"/>
    <mergeCell ref="AI53:AN53"/>
    <mergeCell ref="AP53:AR53"/>
    <mergeCell ref="AS53:AX53"/>
    <mergeCell ref="AZ53:BB53"/>
    <mergeCell ref="BC53:BH53"/>
    <mergeCell ref="B53:D53"/>
    <mergeCell ref="E53:J53"/>
    <mergeCell ref="L54:T54"/>
    <mergeCell ref="V54:AD54"/>
    <mergeCell ref="AA51:AD51"/>
    <mergeCell ref="AF51:AJ51"/>
    <mergeCell ref="AK51:AN51"/>
    <mergeCell ref="AF50:AJ50"/>
    <mergeCell ref="AK50:AN50"/>
    <mergeCell ref="B50:F50"/>
    <mergeCell ref="G50:J50"/>
    <mergeCell ref="L50:P50"/>
    <mergeCell ref="Q50:T50"/>
    <mergeCell ref="V50:Z50"/>
    <mergeCell ref="AA50:AD50"/>
    <mergeCell ref="AF49:AJ49"/>
    <mergeCell ref="AK49:AN49"/>
    <mergeCell ref="AP49:AT49"/>
    <mergeCell ref="AU49:AX49"/>
    <mergeCell ref="AZ49:BD49"/>
    <mergeCell ref="BE49:BH49"/>
    <mergeCell ref="B49:F49"/>
    <mergeCell ref="G49:J49"/>
    <mergeCell ref="L49:P49"/>
    <mergeCell ref="Q49:T49"/>
    <mergeCell ref="V49:Z49"/>
    <mergeCell ref="AA49:AD49"/>
    <mergeCell ref="BJ38:BL38"/>
    <mergeCell ref="BM38:BR38"/>
    <mergeCell ref="B39:J39"/>
    <mergeCell ref="L39:T39"/>
    <mergeCell ref="V39:AD39"/>
    <mergeCell ref="AF39:AN39"/>
    <mergeCell ref="AP39:AX39"/>
    <mergeCell ref="AZ39:BH39"/>
    <mergeCell ref="BJ39:BR39"/>
    <mergeCell ref="AF38:AH38"/>
    <mergeCell ref="AI38:AN38"/>
    <mergeCell ref="AP38:AR38"/>
    <mergeCell ref="AS38:AX38"/>
    <mergeCell ref="AZ38:BB38"/>
    <mergeCell ref="BC38:BH38"/>
    <mergeCell ref="B38:D38"/>
    <mergeCell ref="E38:J38"/>
    <mergeCell ref="L38:N38"/>
    <mergeCell ref="O38:T38"/>
    <mergeCell ref="V38:X38"/>
    <mergeCell ref="Y38:AD38"/>
    <mergeCell ref="AP36:AT36"/>
    <mergeCell ref="AU36:AX36"/>
    <mergeCell ref="AZ36:BD36"/>
    <mergeCell ref="BE36:BH36"/>
    <mergeCell ref="BJ36:BN36"/>
    <mergeCell ref="BO36:BR36"/>
    <mergeCell ref="BJ35:BN35"/>
    <mergeCell ref="BO35:BR35"/>
    <mergeCell ref="B36:F36"/>
    <mergeCell ref="G36:J36"/>
    <mergeCell ref="L36:P36"/>
    <mergeCell ref="Q36:T36"/>
    <mergeCell ref="V36:Z36"/>
    <mergeCell ref="AA36:AD36"/>
    <mergeCell ref="AF36:AJ36"/>
    <mergeCell ref="AK36:AN36"/>
    <mergeCell ref="AF35:AJ35"/>
    <mergeCell ref="AK35:AN35"/>
    <mergeCell ref="AP35:AT35"/>
    <mergeCell ref="AU35:AX35"/>
    <mergeCell ref="AZ35:BD35"/>
    <mergeCell ref="BE35:BH35"/>
    <mergeCell ref="B35:F35"/>
    <mergeCell ref="G35:J35"/>
    <mergeCell ref="L35:P35"/>
    <mergeCell ref="Q35:T35"/>
    <mergeCell ref="V35:Z35"/>
    <mergeCell ref="AA35:AD35"/>
    <mergeCell ref="BJ24:BR24"/>
    <mergeCell ref="B34:F34"/>
    <mergeCell ref="G34:J34"/>
    <mergeCell ref="Q34:T34"/>
    <mergeCell ref="AK34:AN34"/>
    <mergeCell ref="BJ34:BN34"/>
    <mergeCell ref="BO34:BR34"/>
    <mergeCell ref="B24:J24"/>
    <mergeCell ref="L24:T24"/>
    <mergeCell ref="V24:AD24"/>
    <mergeCell ref="AF24:AN24"/>
    <mergeCell ref="AP24:AX24"/>
    <mergeCell ref="AZ24:BH24"/>
    <mergeCell ref="B25:J25"/>
    <mergeCell ref="L25:T25"/>
    <mergeCell ref="V25:AD25"/>
    <mergeCell ref="AF25:AN25"/>
    <mergeCell ref="AP25:AX25"/>
    <mergeCell ref="AZ25:BH25"/>
    <mergeCell ref="BJ25:BR25"/>
    <mergeCell ref="AP23:AR23"/>
    <mergeCell ref="AS23:AX23"/>
    <mergeCell ref="AZ23:BB23"/>
    <mergeCell ref="BC23:BH23"/>
    <mergeCell ref="BJ23:BL23"/>
    <mergeCell ref="BM23:BR23"/>
    <mergeCell ref="BJ21:BN21"/>
    <mergeCell ref="BO21:BR21"/>
    <mergeCell ref="B23:D23"/>
    <mergeCell ref="E23:J23"/>
    <mergeCell ref="L23:N23"/>
    <mergeCell ref="O23:T23"/>
    <mergeCell ref="V23:X23"/>
    <mergeCell ref="Y23:AD23"/>
    <mergeCell ref="AF23:AH23"/>
    <mergeCell ref="AI23:AN23"/>
    <mergeCell ref="AF21:AJ21"/>
    <mergeCell ref="AK21:AN21"/>
    <mergeCell ref="AP21:AT21"/>
    <mergeCell ref="AU21:AX21"/>
    <mergeCell ref="AZ21:BD21"/>
    <mergeCell ref="BE21:BH21"/>
    <mergeCell ref="AZ20:BD20"/>
    <mergeCell ref="BE20:BH20"/>
    <mergeCell ref="BJ20:BN20"/>
    <mergeCell ref="BO20:BR20"/>
    <mergeCell ref="B21:F21"/>
    <mergeCell ref="G21:J21"/>
    <mergeCell ref="L21:P21"/>
    <mergeCell ref="Q21:T21"/>
    <mergeCell ref="V21:Z21"/>
    <mergeCell ref="AA21:AD21"/>
    <mergeCell ref="B20:F20"/>
    <mergeCell ref="G20:J20"/>
    <mergeCell ref="L20:P20"/>
    <mergeCell ref="Q20:T20"/>
    <mergeCell ref="AP20:AT20"/>
    <mergeCell ref="AU20:AX20"/>
    <mergeCell ref="AP19:AT19"/>
    <mergeCell ref="AU19:AX19"/>
    <mergeCell ref="AZ19:BD19"/>
    <mergeCell ref="BE19:BH19"/>
    <mergeCell ref="BJ19:BN19"/>
    <mergeCell ref="BO19:BR19"/>
    <mergeCell ref="B18:F18"/>
    <mergeCell ref="G18:J18"/>
    <mergeCell ref="B19:F19"/>
    <mergeCell ref="G19:J19"/>
    <mergeCell ref="L19:P19"/>
    <mergeCell ref="Q19:T19"/>
    <mergeCell ref="A1:BR4"/>
    <mergeCell ref="B8:J8"/>
    <mergeCell ref="L8:T8"/>
    <mergeCell ref="V8:AD8"/>
    <mergeCell ref="AF8:AN8"/>
    <mergeCell ref="AP8:AX8"/>
    <mergeCell ref="AZ8:BH8"/>
    <mergeCell ref="BJ8:BR8"/>
    <mergeCell ref="Y7:AD7"/>
    <mergeCell ref="AF7:AH7"/>
    <mergeCell ref="AI7:AN7"/>
    <mergeCell ref="AP7:AR7"/>
    <mergeCell ref="AS7:AX7"/>
    <mergeCell ref="AZ7:BB7"/>
    <mergeCell ref="B7:D7"/>
    <mergeCell ref="E7:J7"/>
    <mergeCell ref="L7:N7"/>
    <mergeCell ref="O7:T7"/>
    <mergeCell ref="V7:X7"/>
    <mergeCell ref="BC7:BH7"/>
    <mergeCell ref="BJ7:BL7"/>
    <mergeCell ref="BM7:BR7"/>
    <mergeCell ref="L5:BR5"/>
    <mergeCell ref="A5:J5"/>
  </mergeCells>
  <pageMargins left="0.23622047244094491" right="0.23622047244094491" top="0.35433070866141736" bottom="0.35433070866141736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B344"/>
  <sheetViews>
    <sheetView showGridLines="0" view="pageBreakPreview" zoomScaleSheetLayoutView="100" workbookViewId="0">
      <selection activeCell="L5" sqref="L5:BR5"/>
    </sheetView>
  </sheetViews>
  <sheetFormatPr defaultRowHeight="8.25" x14ac:dyDescent="0.25"/>
  <cols>
    <col min="1" max="1" width="0.28515625" style="5" customWidth="1"/>
    <col min="2" max="10" width="1.7109375" style="5" customWidth="1"/>
    <col min="11" max="11" width="0.28515625" style="5" customWidth="1"/>
    <col min="12" max="20" width="1.7109375" style="5" customWidth="1"/>
    <col min="21" max="21" width="0.28515625" style="5" customWidth="1"/>
    <col min="22" max="30" width="1.7109375" style="5" customWidth="1"/>
    <col min="31" max="31" width="0.28515625" style="5" customWidth="1"/>
    <col min="32" max="40" width="1.7109375" style="5" customWidth="1"/>
    <col min="41" max="41" width="0.28515625" style="5" customWidth="1"/>
    <col min="42" max="50" width="1.7109375" style="5" customWidth="1"/>
    <col min="51" max="51" width="0.28515625" style="5" customWidth="1"/>
    <col min="52" max="60" width="1.7109375" style="5" customWidth="1"/>
    <col min="61" max="61" width="0.28515625" style="5" customWidth="1"/>
    <col min="62" max="69" width="1.7109375" style="5" customWidth="1"/>
    <col min="70" max="70" width="1.42578125" style="5" customWidth="1"/>
    <col min="71" max="71" width="0.28515625" style="5" customWidth="1"/>
    <col min="72" max="80" width="1.7109375" style="5" customWidth="1"/>
    <col min="81" max="256" width="9.140625" style="5"/>
    <col min="257" max="257" width="0.28515625" style="5" customWidth="1"/>
    <col min="258" max="266" width="1.7109375" style="5" customWidth="1"/>
    <col min="267" max="267" width="0.28515625" style="5" customWidth="1"/>
    <col min="268" max="276" width="1.7109375" style="5" customWidth="1"/>
    <col min="277" max="277" width="0.28515625" style="5" customWidth="1"/>
    <col min="278" max="286" width="1.7109375" style="5" customWidth="1"/>
    <col min="287" max="287" width="0.28515625" style="5" customWidth="1"/>
    <col min="288" max="296" width="1.7109375" style="5" customWidth="1"/>
    <col min="297" max="297" width="0.28515625" style="5" customWidth="1"/>
    <col min="298" max="306" width="1.7109375" style="5" customWidth="1"/>
    <col min="307" max="307" width="0.28515625" style="5" customWidth="1"/>
    <col min="308" max="316" width="1.7109375" style="5" customWidth="1"/>
    <col min="317" max="317" width="0.28515625" style="5" customWidth="1"/>
    <col min="318" max="326" width="1.7109375" style="5" customWidth="1"/>
    <col min="327" max="327" width="0.28515625" style="5" customWidth="1"/>
    <col min="328" max="336" width="1.7109375" style="5" customWidth="1"/>
    <col min="337" max="512" width="9.140625" style="5"/>
    <col min="513" max="513" width="0.28515625" style="5" customWidth="1"/>
    <col min="514" max="522" width="1.7109375" style="5" customWidth="1"/>
    <col min="523" max="523" width="0.28515625" style="5" customWidth="1"/>
    <col min="524" max="532" width="1.7109375" style="5" customWidth="1"/>
    <col min="533" max="533" width="0.28515625" style="5" customWidth="1"/>
    <col min="534" max="542" width="1.7109375" style="5" customWidth="1"/>
    <col min="543" max="543" width="0.28515625" style="5" customWidth="1"/>
    <col min="544" max="552" width="1.7109375" style="5" customWidth="1"/>
    <col min="553" max="553" width="0.28515625" style="5" customWidth="1"/>
    <col min="554" max="562" width="1.7109375" style="5" customWidth="1"/>
    <col min="563" max="563" width="0.28515625" style="5" customWidth="1"/>
    <col min="564" max="572" width="1.7109375" style="5" customWidth="1"/>
    <col min="573" max="573" width="0.28515625" style="5" customWidth="1"/>
    <col min="574" max="582" width="1.7109375" style="5" customWidth="1"/>
    <col min="583" max="583" width="0.28515625" style="5" customWidth="1"/>
    <col min="584" max="592" width="1.7109375" style="5" customWidth="1"/>
    <col min="593" max="768" width="9.140625" style="5"/>
    <col min="769" max="769" width="0.28515625" style="5" customWidth="1"/>
    <col min="770" max="778" width="1.7109375" style="5" customWidth="1"/>
    <col min="779" max="779" width="0.28515625" style="5" customWidth="1"/>
    <col min="780" max="788" width="1.7109375" style="5" customWidth="1"/>
    <col min="789" max="789" width="0.28515625" style="5" customWidth="1"/>
    <col min="790" max="798" width="1.7109375" style="5" customWidth="1"/>
    <col min="799" max="799" width="0.28515625" style="5" customWidth="1"/>
    <col min="800" max="808" width="1.7109375" style="5" customWidth="1"/>
    <col min="809" max="809" width="0.28515625" style="5" customWidth="1"/>
    <col min="810" max="818" width="1.7109375" style="5" customWidth="1"/>
    <col min="819" max="819" width="0.28515625" style="5" customWidth="1"/>
    <col min="820" max="828" width="1.7109375" style="5" customWidth="1"/>
    <col min="829" max="829" width="0.28515625" style="5" customWidth="1"/>
    <col min="830" max="838" width="1.7109375" style="5" customWidth="1"/>
    <col min="839" max="839" width="0.28515625" style="5" customWidth="1"/>
    <col min="840" max="848" width="1.7109375" style="5" customWidth="1"/>
    <col min="849" max="1024" width="9.140625" style="5"/>
    <col min="1025" max="1025" width="0.28515625" style="5" customWidth="1"/>
    <col min="1026" max="1034" width="1.7109375" style="5" customWidth="1"/>
    <col min="1035" max="1035" width="0.28515625" style="5" customWidth="1"/>
    <col min="1036" max="1044" width="1.7109375" style="5" customWidth="1"/>
    <col min="1045" max="1045" width="0.28515625" style="5" customWidth="1"/>
    <col min="1046" max="1054" width="1.7109375" style="5" customWidth="1"/>
    <col min="1055" max="1055" width="0.28515625" style="5" customWidth="1"/>
    <col min="1056" max="1064" width="1.7109375" style="5" customWidth="1"/>
    <col min="1065" max="1065" width="0.28515625" style="5" customWidth="1"/>
    <col min="1066" max="1074" width="1.7109375" style="5" customWidth="1"/>
    <col min="1075" max="1075" width="0.28515625" style="5" customWidth="1"/>
    <col min="1076" max="1084" width="1.7109375" style="5" customWidth="1"/>
    <col min="1085" max="1085" width="0.28515625" style="5" customWidth="1"/>
    <col min="1086" max="1094" width="1.7109375" style="5" customWidth="1"/>
    <col min="1095" max="1095" width="0.28515625" style="5" customWidth="1"/>
    <col min="1096" max="1104" width="1.7109375" style="5" customWidth="1"/>
    <col min="1105" max="1280" width="9.140625" style="5"/>
    <col min="1281" max="1281" width="0.28515625" style="5" customWidth="1"/>
    <col min="1282" max="1290" width="1.7109375" style="5" customWidth="1"/>
    <col min="1291" max="1291" width="0.28515625" style="5" customWidth="1"/>
    <col min="1292" max="1300" width="1.7109375" style="5" customWidth="1"/>
    <col min="1301" max="1301" width="0.28515625" style="5" customWidth="1"/>
    <col min="1302" max="1310" width="1.7109375" style="5" customWidth="1"/>
    <col min="1311" max="1311" width="0.28515625" style="5" customWidth="1"/>
    <col min="1312" max="1320" width="1.7109375" style="5" customWidth="1"/>
    <col min="1321" max="1321" width="0.28515625" style="5" customWidth="1"/>
    <col min="1322" max="1330" width="1.7109375" style="5" customWidth="1"/>
    <col min="1331" max="1331" width="0.28515625" style="5" customWidth="1"/>
    <col min="1332" max="1340" width="1.7109375" style="5" customWidth="1"/>
    <col min="1341" max="1341" width="0.28515625" style="5" customWidth="1"/>
    <col min="1342" max="1350" width="1.7109375" style="5" customWidth="1"/>
    <col min="1351" max="1351" width="0.28515625" style="5" customWidth="1"/>
    <col min="1352" max="1360" width="1.7109375" style="5" customWidth="1"/>
    <col min="1361" max="1536" width="9.140625" style="5"/>
    <col min="1537" max="1537" width="0.28515625" style="5" customWidth="1"/>
    <col min="1538" max="1546" width="1.7109375" style="5" customWidth="1"/>
    <col min="1547" max="1547" width="0.28515625" style="5" customWidth="1"/>
    <col min="1548" max="1556" width="1.7109375" style="5" customWidth="1"/>
    <col min="1557" max="1557" width="0.28515625" style="5" customWidth="1"/>
    <col min="1558" max="1566" width="1.7109375" style="5" customWidth="1"/>
    <col min="1567" max="1567" width="0.28515625" style="5" customWidth="1"/>
    <col min="1568" max="1576" width="1.7109375" style="5" customWidth="1"/>
    <col min="1577" max="1577" width="0.28515625" style="5" customWidth="1"/>
    <col min="1578" max="1586" width="1.7109375" style="5" customWidth="1"/>
    <col min="1587" max="1587" width="0.28515625" style="5" customWidth="1"/>
    <col min="1588" max="1596" width="1.7109375" style="5" customWidth="1"/>
    <col min="1597" max="1597" width="0.28515625" style="5" customWidth="1"/>
    <col min="1598" max="1606" width="1.7109375" style="5" customWidth="1"/>
    <col min="1607" max="1607" width="0.28515625" style="5" customWidth="1"/>
    <col min="1608" max="1616" width="1.7109375" style="5" customWidth="1"/>
    <col min="1617" max="1792" width="9.140625" style="5"/>
    <col min="1793" max="1793" width="0.28515625" style="5" customWidth="1"/>
    <col min="1794" max="1802" width="1.7109375" style="5" customWidth="1"/>
    <col min="1803" max="1803" width="0.28515625" style="5" customWidth="1"/>
    <col min="1804" max="1812" width="1.7109375" style="5" customWidth="1"/>
    <col min="1813" max="1813" width="0.28515625" style="5" customWidth="1"/>
    <col min="1814" max="1822" width="1.7109375" style="5" customWidth="1"/>
    <col min="1823" max="1823" width="0.28515625" style="5" customWidth="1"/>
    <col min="1824" max="1832" width="1.7109375" style="5" customWidth="1"/>
    <col min="1833" max="1833" width="0.28515625" style="5" customWidth="1"/>
    <col min="1834" max="1842" width="1.7109375" style="5" customWidth="1"/>
    <col min="1843" max="1843" width="0.28515625" style="5" customWidth="1"/>
    <col min="1844" max="1852" width="1.7109375" style="5" customWidth="1"/>
    <col min="1853" max="1853" width="0.28515625" style="5" customWidth="1"/>
    <col min="1854" max="1862" width="1.7109375" style="5" customWidth="1"/>
    <col min="1863" max="1863" width="0.28515625" style="5" customWidth="1"/>
    <col min="1864" max="1872" width="1.7109375" style="5" customWidth="1"/>
    <col min="1873" max="2048" width="9.140625" style="5"/>
    <col min="2049" max="2049" width="0.28515625" style="5" customWidth="1"/>
    <col min="2050" max="2058" width="1.7109375" style="5" customWidth="1"/>
    <col min="2059" max="2059" width="0.28515625" style="5" customWidth="1"/>
    <col min="2060" max="2068" width="1.7109375" style="5" customWidth="1"/>
    <col min="2069" max="2069" width="0.28515625" style="5" customWidth="1"/>
    <col min="2070" max="2078" width="1.7109375" style="5" customWidth="1"/>
    <col min="2079" max="2079" width="0.28515625" style="5" customWidth="1"/>
    <col min="2080" max="2088" width="1.7109375" style="5" customWidth="1"/>
    <col min="2089" max="2089" width="0.28515625" style="5" customWidth="1"/>
    <col min="2090" max="2098" width="1.7109375" style="5" customWidth="1"/>
    <col min="2099" max="2099" width="0.28515625" style="5" customWidth="1"/>
    <col min="2100" max="2108" width="1.7109375" style="5" customWidth="1"/>
    <col min="2109" max="2109" width="0.28515625" style="5" customWidth="1"/>
    <col min="2110" max="2118" width="1.7109375" style="5" customWidth="1"/>
    <col min="2119" max="2119" width="0.28515625" style="5" customWidth="1"/>
    <col min="2120" max="2128" width="1.7109375" style="5" customWidth="1"/>
    <col min="2129" max="2304" width="9.140625" style="5"/>
    <col min="2305" max="2305" width="0.28515625" style="5" customWidth="1"/>
    <col min="2306" max="2314" width="1.7109375" style="5" customWidth="1"/>
    <col min="2315" max="2315" width="0.28515625" style="5" customWidth="1"/>
    <col min="2316" max="2324" width="1.7109375" style="5" customWidth="1"/>
    <col min="2325" max="2325" width="0.28515625" style="5" customWidth="1"/>
    <col min="2326" max="2334" width="1.7109375" style="5" customWidth="1"/>
    <col min="2335" max="2335" width="0.28515625" style="5" customWidth="1"/>
    <col min="2336" max="2344" width="1.7109375" style="5" customWidth="1"/>
    <col min="2345" max="2345" width="0.28515625" style="5" customWidth="1"/>
    <col min="2346" max="2354" width="1.7109375" style="5" customWidth="1"/>
    <col min="2355" max="2355" width="0.28515625" style="5" customWidth="1"/>
    <col min="2356" max="2364" width="1.7109375" style="5" customWidth="1"/>
    <col min="2365" max="2365" width="0.28515625" style="5" customWidth="1"/>
    <col min="2366" max="2374" width="1.7109375" style="5" customWidth="1"/>
    <col min="2375" max="2375" width="0.28515625" style="5" customWidth="1"/>
    <col min="2376" max="2384" width="1.7109375" style="5" customWidth="1"/>
    <col min="2385" max="2560" width="9.140625" style="5"/>
    <col min="2561" max="2561" width="0.28515625" style="5" customWidth="1"/>
    <col min="2562" max="2570" width="1.7109375" style="5" customWidth="1"/>
    <col min="2571" max="2571" width="0.28515625" style="5" customWidth="1"/>
    <col min="2572" max="2580" width="1.7109375" style="5" customWidth="1"/>
    <col min="2581" max="2581" width="0.28515625" style="5" customWidth="1"/>
    <col min="2582" max="2590" width="1.7109375" style="5" customWidth="1"/>
    <col min="2591" max="2591" width="0.28515625" style="5" customWidth="1"/>
    <col min="2592" max="2600" width="1.7109375" style="5" customWidth="1"/>
    <col min="2601" max="2601" width="0.28515625" style="5" customWidth="1"/>
    <col min="2602" max="2610" width="1.7109375" style="5" customWidth="1"/>
    <col min="2611" max="2611" width="0.28515625" style="5" customWidth="1"/>
    <col min="2612" max="2620" width="1.7109375" style="5" customWidth="1"/>
    <col min="2621" max="2621" width="0.28515625" style="5" customWidth="1"/>
    <col min="2622" max="2630" width="1.7109375" style="5" customWidth="1"/>
    <col min="2631" max="2631" width="0.28515625" style="5" customWidth="1"/>
    <col min="2632" max="2640" width="1.7109375" style="5" customWidth="1"/>
    <col min="2641" max="2816" width="9.140625" style="5"/>
    <col min="2817" max="2817" width="0.28515625" style="5" customWidth="1"/>
    <col min="2818" max="2826" width="1.7109375" style="5" customWidth="1"/>
    <col min="2827" max="2827" width="0.28515625" style="5" customWidth="1"/>
    <col min="2828" max="2836" width="1.7109375" style="5" customWidth="1"/>
    <col min="2837" max="2837" width="0.28515625" style="5" customWidth="1"/>
    <col min="2838" max="2846" width="1.7109375" style="5" customWidth="1"/>
    <col min="2847" max="2847" width="0.28515625" style="5" customWidth="1"/>
    <col min="2848" max="2856" width="1.7109375" style="5" customWidth="1"/>
    <col min="2857" max="2857" width="0.28515625" style="5" customWidth="1"/>
    <col min="2858" max="2866" width="1.7109375" style="5" customWidth="1"/>
    <col min="2867" max="2867" width="0.28515625" style="5" customWidth="1"/>
    <col min="2868" max="2876" width="1.7109375" style="5" customWidth="1"/>
    <col min="2877" max="2877" width="0.28515625" style="5" customWidth="1"/>
    <col min="2878" max="2886" width="1.7109375" style="5" customWidth="1"/>
    <col min="2887" max="2887" width="0.28515625" style="5" customWidth="1"/>
    <col min="2888" max="2896" width="1.7109375" style="5" customWidth="1"/>
    <col min="2897" max="3072" width="9.140625" style="5"/>
    <col min="3073" max="3073" width="0.28515625" style="5" customWidth="1"/>
    <col min="3074" max="3082" width="1.7109375" style="5" customWidth="1"/>
    <col min="3083" max="3083" width="0.28515625" style="5" customWidth="1"/>
    <col min="3084" max="3092" width="1.7109375" style="5" customWidth="1"/>
    <col min="3093" max="3093" width="0.28515625" style="5" customWidth="1"/>
    <col min="3094" max="3102" width="1.7109375" style="5" customWidth="1"/>
    <col min="3103" max="3103" width="0.28515625" style="5" customWidth="1"/>
    <col min="3104" max="3112" width="1.7109375" style="5" customWidth="1"/>
    <col min="3113" max="3113" width="0.28515625" style="5" customWidth="1"/>
    <col min="3114" max="3122" width="1.7109375" style="5" customWidth="1"/>
    <col min="3123" max="3123" width="0.28515625" style="5" customWidth="1"/>
    <col min="3124" max="3132" width="1.7109375" style="5" customWidth="1"/>
    <col min="3133" max="3133" width="0.28515625" style="5" customWidth="1"/>
    <col min="3134" max="3142" width="1.7109375" style="5" customWidth="1"/>
    <col min="3143" max="3143" width="0.28515625" style="5" customWidth="1"/>
    <col min="3144" max="3152" width="1.7109375" style="5" customWidth="1"/>
    <col min="3153" max="3328" width="9.140625" style="5"/>
    <col min="3329" max="3329" width="0.28515625" style="5" customWidth="1"/>
    <col min="3330" max="3338" width="1.7109375" style="5" customWidth="1"/>
    <col min="3339" max="3339" width="0.28515625" style="5" customWidth="1"/>
    <col min="3340" max="3348" width="1.7109375" style="5" customWidth="1"/>
    <col min="3349" max="3349" width="0.28515625" style="5" customWidth="1"/>
    <col min="3350" max="3358" width="1.7109375" style="5" customWidth="1"/>
    <col min="3359" max="3359" width="0.28515625" style="5" customWidth="1"/>
    <col min="3360" max="3368" width="1.7109375" style="5" customWidth="1"/>
    <col min="3369" max="3369" width="0.28515625" style="5" customWidth="1"/>
    <col min="3370" max="3378" width="1.7109375" style="5" customWidth="1"/>
    <col min="3379" max="3379" width="0.28515625" style="5" customWidth="1"/>
    <col min="3380" max="3388" width="1.7109375" style="5" customWidth="1"/>
    <col min="3389" max="3389" width="0.28515625" style="5" customWidth="1"/>
    <col min="3390" max="3398" width="1.7109375" style="5" customWidth="1"/>
    <col min="3399" max="3399" width="0.28515625" style="5" customWidth="1"/>
    <col min="3400" max="3408" width="1.7109375" style="5" customWidth="1"/>
    <col min="3409" max="3584" width="9.140625" style="5"/>
    <col min="3585" max="3585" width="0.28515625" style="5" customWidth="1"/>
    <col min="3586" max="3594" width="1.7109375" style="5" customWidth="1"/>
    <col min="3595" max="3595" width="0.28515625" style="5" customWidth="1"/>
    <col min="3596" max="3604" width="1.7109375" style="5" customWidth="1"/>
    <col min="3605" max="3605" width="0.28515625" style="5" customWidth="1"/>
    <col min="3606" max="3614" width="1.7109375" style="5" customWidth="1"/>
    <col min="3615" max="3615" width="0.28515625" style="5" customWidth="1"/>
    <col min="3616" max="3624" width="1.7109375" style="5" customWidth="1"/>
    <col min="3625" max="3625" width="0.28515625" style="5" customWidth="1"/>
    <col min="3626" max="3634" width="1.7109375" style="5" customWidth="1"/>
    <col min="3635" max="3635" width="0.28515625" style="5" customWidth="1"/>
    <col min="3636" max="3644" width="1.7109375" style="5" customWidth="1"/>
    <col min="3645" max="3645" width="0.28515625" style="5" customWidth="1"/>
    <col min="3646" max="3654" width="1.7109375" style="5" customWidth="1"/>
    <col min="3655" max="3655" width="0.28515625" style="5" customWidth="1"/>
    <col min="3656" max="3664" width="1.7109375" style="5" customWidth="1"/>
    <col min="3665" max="3840" width="9.140625" style="5"/>
    <col min="3841" max="3841" width="0.28515625" style="5" customWidth="1"/>
    <col min="3842" max="3850" width="1.7109375" style="5" customWidth="1"/>
    <col min="3851" max="3851" width="0.28515625" style="5" customWidth="1"/>
    <col min="3852" max="3860" width="1.7109375" style="5" customWidth="1"/>
    <col min="3861" max="3861" width="0.28515625" style="5" customWidth="1"/>
    <col min="3862" max="3870" width="1.7109375" style="5" customWidth="1"/>
    <col min="3871" max="3871" width="0.28515625" style="5" customWidth="1"/>
    <col min="3872" max="3880" width="1.7109375" style="5" customWidth="1"/>
    <col min="3881" max="3881" width="0.28515625" style="5" customWidth="1"/>
    <col min="3882" max="3890" width="1.7109375" style="5" customWidth="1"/>
    <col min="3891" max="3891" width="0.28515625" style="5" customWidth="1"/>
    <col min="3892" max="3900" width="1.7109375" style="5" customWidth="1"/>
    <col min="3901" max="3901" width="0.28515625" style="5" customWidth="1"/>
    <col min="3902" max="3910" width="1.7109375" style="5" customWidth="1"/>
    <col min="3911" max="3911" width="0.28515625" style="5" customWidth="1"/>
    <col min="3912" max="3920" width="1.7109375" style="5" customWidth="1"/>
    <col min="3921" max="4096" width="9.140625" style="5"/>
    <col min="4097" max="4097" width="0.28515625" style="5" customWidth="1"/>
    <col min="4098" max="4106" width="1.7109375" style="5" customWidth="1"/>
    <col min="4107" max="4107" width="0.28515625" style="5" customWidth="1"/>
    <col min="4108" max="4116" width="1.7109375" style="5" customWidth="1"/>
    <col min="4117" max="4117" width="0.28515625" style="5" customWidth="1"/>
    <col min="4118" max="4126" width="1.7109375" style="5" customWidth="1"/>
    <col min="4127" max="4127" width="0.28515625" style="5" customWidth="1"/>
    <col min="4128" max="4136" width="1.7109375" style="5" customWidth="1"/>
    <col min="4137" max="4137" width="0.28515625" style="5" customWidth="1"/>
    <col min="4138" max="4146" width="1.7109375" style="5" customWidth="1"/>
    <col min="4147" max="4147" width="0.28515625" style="5" customWidth="1"/>
    <col min="4148" max="4156" width="1.7109375" style="5" customWidth="1"/>
    <col min="4157" max="4157" width="0.28515625" style="5" customWidth="1"/>
    <col min="4158" max="4166" width="1.7109375" style="5" customWidth="1"/>
    <col min="4167" max="4167" width="0.28515625" style="5" customWidth="1"/>
    <col min="4168" max="4176" width="1.7109375" style="5" customWidth="1"/>
    <col min="4177" max="4352" width="9.140625" style="5"/>
    <col min="4353" max="4353" width="0.28515625" style="5" customWidth="1"/>
    <col min="4354" max="4362" width="1.7109375" style="5" customWidth="1"/>
    <col min="4363" max="4363" width="0.28515625" style="5" customWidth="1"/>
    <col min="4364" max="4372" width="1.7109375" style="5" customWidth="1"/>
    <col min="4373" max="4373" width="0.28515625" style="5" customWidth="1"/>
    <col min="4374" max="4382" width="1.7109375" style="5" customWidth="1"/>
    <col min="4383" max="4383" width="0.28515625" style="5" customWidth="1"/>
    <col min="4384" max="4392" width="1.7109375" style="5" customWidth="1"/>
    <col min="4393" max="4393" width="0.28515625" style="5" customWidth="1"/>
    <col min="4394" max="4402" width="1.7109375" style="5" customWidth="1"/>
    <col min="4403" max="4403" width="0.28515625" style="5" customWidth="1"/>
    <col min="4404" max="4412" width="1.7109375" style="5" customWidth="1"/>
    <col min="4413" max="4413" width="0.28515625" style="5" customWidth="1"/>
    <col min="4414" max="4422" width="1.7109375" style="5" customWidth="1"/>
    <col min="4423" max="4423" width="0.28515625" style="5" customWidth="1"/>
    <col min="4424" max="4432" width="1.7109375" style="5" customWidth="1"/>
    <col min="4433" max="4608" width="9.140625" style="5"/>
    <col min="4609" max="4609" width="0.28515625" style="5" customWidth="1"/>
    <col min="4610" max="4618" width="1.7109375" style="5" customWidth="1"/>
    <col min="4619" max="4619" width="0.28515625" style="5" customWidth="1"/>
    <col min="4620" max="4628" width="1.7109375" style="5" customWidth="1"/>
    <col min="4629" max="4629" width="0.28515625" style="5" customWidth="1"/>
    <col min="4630" max="4638" width="1.7109375" style="5" customWidth="1"/>
    <col min="4639" max="4639" width="0.28515625" style="5" customWidth="1"/>
    <col min="4640" max="4648" width="1.7109375" style="5" customWidth="1"/>
    <col min="4649" max="4649" width="0.28515625" style="5" customWidth="1"/>
    <col min="4650" max="4658" width="1.7109375" style="5" customWidth="1"/>
    <col min="4659" max="4659" width="0.28515625" style="5" customWidth="1"/>
    <col min="4660" max="4668" width="1.7109375" style="5" customWidth="1"/>
    <col min="4669" max="4669" width="0.28515625" style="5" customWidth="1"/>
    <col min="4670" max="4678" width="1.7109375" style="5" customWidth="1"/>
    <col min="4679" max="4679" width="0.28515625" style="5" customWidth="1"/>
    <col min="4680" max="4688" width="1.7109375" style="5" customWidth="1"/>
    <col min="4689" max="4864" width="9.140625" style="5"/>
    <col min="4865" max="4865" width="0.28515625" style="5" customWidth="1"/>
    <col min="4866" max="4874" width="1.7109375" style="5" customWidth="1"/>
    <col min="4875" max="4875" width="0.28515625" style="5" customWidth="1"/>
    <col min="4876" max="4884" width="1.7109375" style="5" customWidth="1"/>
    <col min="4885" max="4885" width="0.28515625" style="5" customWidth="1"/>
    <col min="4886" max="4894" width="1.7109375" style="5" customWidth="1"/>
    <col min="4895" max="4895" width="0.28515625" style="5" customWidth="1"/>
    <col min="4896" max="4904" width="1.7109375" style="5" customWidth="1"/>
    <col min="4905" max="4905" width="0.28515625" style="5" customWidth="1"/>
    <col min="4906" max="4914" width="1.7109375" style="5" customWidth="1"/>
    <col min="4915" max="4915" width="0.28515625" style="5" customWidth="1"/>
    <col min="4916" max="4924" width="1.7109375" style="5" customWidth="1"/>
    <col min="4925" max="4925" width="0.28515625" style="5" customWidth="1"/>
    <col min="4926" max="4934" width="1.7109375" style="5" customWidth="1"/>
    <col min="4935" max="4935" width="0.28515625" style="5" customWidth="1"/>
    <col min="4936" max="4944" width="1.7109375" style="5" customWidth="1"/>
    <col min="4945" max="5120" width="9.140625" style="5"/>
    <col min="5121" max="5121" width="0.28515625" style="5" customWidth="1"/>
    <col min="5122" max="5130" width="1.7109375" style="5" customWidth="1"/>
    <col min="5131" max="5131" width="0.28515625" style="5" customWidth="1"/>
    <col min="5132" max="5140" width="1.7109375" style="5" customWidth="1"/>
    <col min="5141" max="5141" width="0.28515625" style="5" customWidth="1"/>
    <col min="5142" max="5150" width="1.7109375" style="5" customWidth="1"/>
    <col min="5151" max="5151" width="0.28515625" style="5" customWidth="1"/>
    <col min="5152" max="5160" width="1.7109375" style="5" customWidth="1"/>
    <col min="5161" max="5161" width="0.28515625" style="5" customWidth="1"/>
    <col min="5162" max="5170" width="1.7109375" style="5" customWidth="1"/>
    <col min="5171" max="5171" width="0.28515625" style="5" customWidth="1"/>
    <col min="5172" max="5180" width="1.7109375" style="5" customWidth="1"/>
    <col min="5181" max="5181" width="0.28515625" style="5" customWidth="1"/>
    <col min="5182" max="5190" width="1.7109375" style="5" customWidth="1"/>
    <col min="5191" max="5191" width="0.28515625" style="5" customWidth="1"/>
    <col min="5192" max="5200" width="1.7109375" style="5" customWidth="1"/>
    <col min="5201" max="5376" width="9.140625" style="5"/>
    <col min="5377" max="5377" width="0.28515625" style="5" customWidth="1"/>
    <col min="5378" max="5386" width="1.7109375" style="5" customWidth="1"/>
    <col min="5387" max="5387" width="0.28515625" style="5" customWidth="1"/>
    <col min="5388" max="5396" width="1.7109375" style="5" customWidth="1"/>
    <col min="5397" max="5397" width="0.28515625" style="5" customWidth="1"/>
    <col min="5398" max="5406" width="1.7109375" style="5" customWidth="1"/>
    <col min="5407" max="5407" width="0.28515625" style="5" customWidth="1"/>
    <col min="5408" max="5416" width="1.7109375" style="5" customWidth="1"/>
    <col min="5417" max="5417" width="0.28515625" style="5" customWidth="1"/>
    <col min="5418" max="5426" width="1.7109375" style="5" customWidth="1"/>
    <col min="5427" max="5427" width="0.28515625" style="5" customWidth="1"/>
    <col min="5428" max="5436" width="1.7109375" style="5" customWidth="1"/>
    <col min="5437" max="5437" width="0.28515625" style="5" customWidth="1"/>
    <col min="5438" max="5446" width="1.7109375" style="5" customWidth="1"/>
    <col min="5447" max="5447" width="0.28515625" style="5" customWidth="1"/>
    <col min="5448" max="5456" width="1.7109375" style="5" customWidth="1"/>
    <col min="5457" max="5632" width="9.140625" style="5"/>
    <col min="5633" max="5633" width="0.28515625" style="5" customWidth="1"/>
    <col min="5634" max="5642" width="1.7109375" style="5" customWidth="1"/>
    <col min="5643" max="5643" width="0.28515625" style="5" customWidth="1"/>
    <col min="5644" max="5652" width="1.7109375" style="5" customWidth="1"/>
    <col min="5653" max="5653" width="0.28515625" style="5" customWidth="1"/>
    <col min="5654" max="5662" width="1.7109375" style="5" customWidth="1"/>
    <col min="5663" max="5663" width="0.28515625" style="5" customWidth="1"/>
    <col min="5664" max="5672" width="1.7109375" style="5" customWidth="1"/>
    <col min="5673" max="5673" width="0.28515625" style="5" customWidth="1"/>
    <col min="5674" max="5682" width="1.7109375" style="5" customWidth="1"/>
    <col min="5683" max="5683" width="0.28515625" style="5" customWidth="1"/>
    <col min="5684" max="5692" width="1.7109375" style="5" customWidth="1"/>
    <col min="5693" max="5693" width="0.28515625" style="5" customWidth="1"/>
    <col min="5694" max="5702" width="1.7109375" style="5" customWidth="1"/>
    <col min="5703" max="5703" width="0.28515625" style="5" customWidth="1"/>
    <col min="5704" max="5712" width="1.7109375" style="5" customWidth="1"/>
    <col min="5713" max="5888" width="9.140625" style="5"/>
    <col min="5889" max="5889" width="0.28515625" style="5" customWidth="1"/>
    <col min="5890" max="5898" width="1.7109375" style="5" customWidth="1"/>
    <col min="5899" max="5899" width="0.28515625" style="5" customWidth="1"/>
    <col min="5900" max="5908" width="1.7109375" style="5" customWidth="1"/>
    <col min="5909" max="5909" width="0.28515625" style="5" customWidth="1"/>
    <col min="5910" max="5918" width="1.7109375" style="5" customWidth="1"/>
    <col min="5919" max="5919" width="0.28515625" style="5" customWidth="1"/>
    <col min="5920" max="5928" width="1.7109375" style="5" customWidth="1"/>
    <col min="5929" max="5929" width="0.28515625" style="5" customWidth="1"/>
    <col min="5930" max="5938" width="1.7109375" style="5" customWidth="1"/>
    <col min="5939" max="5939" width="0.28515625" style="5" customWidth="1"/>
    <col min="5940" max="5948" width="1.7109375" style="5" customWidth="1"/>
    <col min="5949" max="5949" width="0.28515625" style="5" customWidth="1"/>
    <col min="5950" max="5958" width="1.7109375" style="5" customWidth="1"/>
    <col min="5959" max="5959" width="0.28515625" style="5" customWidth="1"/>
    <col min="5960" max="5968" width="1.7109375" style="5" customWidth="1"/>
    <col min="5969" max="6144" width="9.140625" style="5"/>
    <col min="6145" max="6145" width="0.28515625" style="5" customWidth="1"/>
    <col min="6146" max="6154" width="1.7109375" style="5" customWidth="1"/>
    <col min="6155" max="6155" width="0.28515625" style="5" customWidth="1"/>
    <col min="6156" max="6164" width="1.7109375" style="5" customWidth="1"/>
    <col min="6165" max="6165" width="0.28515625" style="5" customWidth="1"/>
    <col min="6166" max="6174" width="1.7109375" style="5" customWidth="1"/>
    <col min="6175" max="6175" width="0.28515625" style="5" customWidth="1"/>
    <col min="6176" max="6184" width="1.7109375" style="5" customWidth="1"/>
    <col min="6185" max="6185" width="0.28515625" style="5" customWidth="1"/>
    <col min="6186" max="6194" width="1.7109375" style="5" customWidth="1"/>
    <col min="6195" max="6195" width="0.28515625" style="5" customWidth="1"/>
    <col min="6196" max="6204" width="1.7109375" style="5" customWidth="1"/>
    <col min="6205" max="6205" width="0.28515625" style="5" customWidth="1"/>
    <col min="6206" max="6214" width="1.7109375" style="5" customWidth="1"/>
    <col min="6215" max="6215" width="0.28515625" style="5" customWidth="1"/>
    <col min="6216" max="6224" width="1.7109375" style="5" customWidth="1"/>
    <col min="6225" max="6400" width="9.140625" style="5"/>
    <col min="6401" max="6401" width="0.28515625" style="5" customWidth="1"/>
    <col min="6402" max="6410" width="1.7109375" style="5" customWidth="1"/>
    <col min="6411" max="6411" width="0.28515625" style="5" customWidth="1"/>
    <col min="6412" max="6420" width="1.7109375" style="5" customWidth="1"/>
    <col min="6421" max="6421" width="0.28515625" style="5" customWidth="1"/>
    <col min="6422" max="6430" width="1.7109375" style="5" customWidth="1"/>
    <col min="6431" max="6431" width="0.28515625" style="5" customWidth="1"/>
    <col min="6432" max="6440" width="1.7109375" style="5" customWidth="1"/>
    <col min="6441" max="6441" width="0.28515625" style="5" customWidth="1"/>
    <col min="6442" max="6450" width="1.7109375" style="5" customWidth="1"/>
    <col min="6451" max="6451" width="0.28515625" style="5" customWidth="1"/>
    <col min="6452" max="6460" width="1.7109375" style="5" customWidth="1"/>
    <col min="6461" max="6461" width="0.28515625" style="5" customWidth="1"/>
    <col min="6462" max="6470" width="1.7109375" style="5" customWidth="1"/>
    <col min="6471" max="6471" width="0.28515625" style="5" customWidth="1"/>
    <col min="6472" max="6480" width="1.7109375" style="5" customWidth="1"/>
    <col min="6481" max="6656" width="9.140625" style="5"/>
    <col min="6657" max="6657" width="0.28515625" style="5" customWidth="1"/>
    <col min="6658" max="6666" width="1.7109375" style="5" customWidth="1"/>
    <col min="6667" max="6667" width="0.28515625" style="5" customWidth="1"/>
    <col min="6668" max="6676" width="1.7109375" style="5" customWidth="1"/>
    <col min="6677" max="6677" width="0.28515625" style="5" customWidth="1"/>
    <col min="6678" max="6686" width="1.7109375" style="5" customWidth="1"/>
    <col min="6687" max="6687" width="0.28515625" style="5" customWidth="1"/>
    <col min="6688" max="6696" width="1.7109375" style="5" customWidth="1"/>
    <col min="6697" max="6697" width="0.28515625" style="5" customWidth="1"/>
    <col min="6698" max="6706" width="1.7109375" style="5" customWidth="1"/>
    <col min="6707" max="6707" width="0.28515625" style="5" customWidth="1"/>
    <col min="6708" max="6716" width="1.7109375" style="5" customWidth="1"/>
    <col min="6717" max="6717" width="0.28515625" style="5" customWidth="1"/>
    <col min="6718" max="6726" width="1.7109375" style="5" customWidth="1"/>
    <col min="6727" max="6727" width="0.28515625" style="5" customWidth="1"/>
    <col min="6728" max="6736" width="1.7109375" style="5" customWidth="1"/>
    <col min="6737" max="6912" width="9.140625" style="5"/>
    <col min="6913" max="6913" width="0.28515625" style="5" customWidth="1"/>
    <col min="6914" max="6922" width="1.7109375" style="5" customWidth="1"/>
    <col min="6923" max="6923" width="0.28515625" style="5" customWidth="1"/>
    <col min="6924" max="6932" width="1.7109375" style="5" customWidth="1"/>
    <col min="6933" max="6933" width="0.28515625" style="5" customWidth="1"/>
    <col min="6934" max="6942" width="1.7109375" style="5" customWidth="1"/>
    <col min="6943" max="6943" width="0.28515625" style="5" customWidth="1"/>
    <col min="6944" max="6952" width="1.7109375" style="5" customWidth="1"/>
    <col min="6953" max="6953" width="0.28515625" style="5" customWidth="1"/>
    <col min="6954" max="6962" width="1.7109375" style="5" customWidth="1"/>
    <col min="6963" max="6963" width="0.28515625" style="5" customWidth="1"/>
    <col min="6964" max="6972" width="1.7109375" style="5" customWidth="1"/>
    <col min="6973" max="6973" width="0.28515625" style="5" customWidth="1"/>
    <col min="6974" max="6982" width="1.7109375" style="5" customWidth="1"/>
    <col min="6983" max="6983" width="0.28515625" style="5" customWidth="1"/>
    <col min="6984" max="6992" width="1.7109375" style="5" customWidth="1"/>
    <col min="6993" max="7168" width="9.140625" style="5"/>
    <col min="7169" max="7169" width="0.28515625" style="5" customWidth="1"/>
    <col min="7170" max="7178" width="1.7109375" style="5" customWidth="1"/>
    <col min="7179" max="7179" width="0.28515625" style="5" customWidth="1"/>
    <col min="7180" max="7188" width="1.7109375" style="5" customWidth="1"/>
    <col min="7189" max="7189" width="0.28515625" style="5" customWidth="1"/>
    <col min="7190" max="7198" width="1.7109375" style="5" customWidth="1"/>
    <col min="7199" max="7199" width="0.28515625" style="5" customWidth="1"/>
    <col min="7200" max="7208" width="1.7109375" style="5" customWidth="1"/>
    <col min="7209" max="7209" width="0.28515625" style="5" customWidth="1"/>
    <col min="7210" max="7218" width="1.7109375" style="5" customWidth="1"/>
    <col min="7219" max="7219" width="0.28515625" style="5" customWidth="1"/>
    <col min="7220" max="7228" width="1.7109375" style="5" customWidth="1"/>
    <col min="7229" max="7229" width="0.28515625" style="5" customWidth="1"/>
    <col min="7230" max="7238" width="1.7109375" style="5" customWidth="1"/>
    <col min="7239" max="7239" width="0.28515625" style="5" customWidth="1"/>
    <col min="7240" max="7248" width="1.7109375" style="5" customWidth="1"/>
    <col min="7249" max="7424" width="9.140625" style="5"/>
    <col min="7425" max="7425" width="0.28515625" style="5" customWidth="1"/>
    <col min="7426" max="7434" width="1.7109375" style="5" customWidth="1"/>
    <col min="7435" max="7435" width="0.28515625" style="5" customWidth="1"/>
    <col min="7436" max="7444" width="1.7109375" style="5" customWidth="1"/>
    <col min="7445" max="7445" width="0.28515625" style="5" customWidth="1"/>
    <col min="7446" max="7454" width="1.7109375" style="5" customWidth="1"/>
    <col min="7455" max="7455" width="0.28515625" style="5" customWidth="1"/>
    <col min="7456" max="7464" width="1.7109375" style="5" customWidth="1"/>
    <col min="7465" max="7465" width="0.28515625" style="5" customWidth="1"/>
    <col min="7466" max="7474" width="1.7109375" style="5" customWidth="1"/>
    <col min="7475" max="7475" width="0.28515625" style="5" customWidth="1"/>
    <col min="7476" max="7484" width="1.7109375" style="5" customWidth="1"/>
    <col min="7485" max="7485" width="0.28515625" style="5" customWidth="1"/>
    <col min="7486" max="7494" width="1.7109375" style="5" customWidth="1"/>
    <col min="7495" max="7495" width="0.28515625" style="5" customWidth="1"/>
    <col min="7496" max="7504" width="1.7109375" style="5" customWidth="1"/>
    <col min="7505" max="7680" width="9.140625" style="5"/>
    <col min="7681" max="7681" width="0.28515625" style="5" customWidth="1"/>
    <col min="7682" max="7690" width="1.7109375" style="5" customWidth="1"/>
    <col min="7691" max="7691" width="0.28515625" style="5" customWidth="1"/>
    <col min="7692" max="7700" width="1.7109375" style="5" customWidth="1"/>
    <col min="7701" max="7701" width="0.28515625" style="5" customWidth="1"/>
    <col min="7702" max="7710" width="1.7109375" style="5" customWidth="1"/>
    <col min="7711" max="7711" width="0.28515625" style="5" customWidth="1"/>
    <col min="7712" max="7720" width="1.7109375" style="5" customWidth="1"/>
    <col min="7721" max="7721" width="0.28515625" style="5" customWidth="1"/>
    <col min="7722" max="7730" width="1.7109375" style="5" customWidth="1"/>
    <col min="7731" max="7731" width="0.28515625" style="5" customWidth="1"/>
    <col min="7732" max="7740" width="1.7109375" style="5" customWidth="1"/>
    <col min="7741" max="7741" width="0.28515625" style="5" customWidth="1"/>
    <col min="7742" max="7750" width="1.7109375" style="5" customWidth="1"/>
    <col min="7751" max="7751" width="0.28515625" style="5" customWidth="1"/>
    <col min="7752" max="7760" width="1.7109375" style="5" customWidth="1"/>
    <col min="7761" max="7936" width="9.140625" style="5"/>
    <col min="7937" max="7937" width="0.28515625" style="5" customWidth="1"/>
    <col min="7938" max="7946" width="1.7109375" style="5" customWidth="1"/>
    <col min="7947" max="7947" width="0.28515625" style="5" customWidth="1"/>
    <col min="7948" max="7956" width="1.7109375" style="5" customWidth="1"/>
    <col min="7957" max="7957" width="0.28515625" style="5" customWidth="1"/>
    <col min="7958" max="7966" width="1.7109375" style="5" customWidth="1"/>
    <col min="7967" max="7967" width="0.28515625" style="5" customWidth="1"/>
    <col min="7968" max="7976" width="1.7109375" style="5" customWidth="1"/>
    <col min="7977" max="7977" width="0.28515625" style="5" customWidth="1"/>
    <col min="7978" max="7986" width="1.7109375" style="5" customWidth="1"/>
    <col min="7987" max="7987" width="0.28515625" style="5" customWidth="1"/>
    <col min="7988" max="7996" width="1.7109375" style="5" customWidth="1"/>
    <col min="7997" max="7997" width="0.28515625" style="5" customWidth="1"/>
    <col min="7998" max="8006" width="1.7109375" style="5" customWidth="1"/>
    <col min="8007" max="8007" width="0.28515625" style="5" customWidth="1"/>
    <col min="8008" max="8016" width="1.7109375" style="5" customWidth="1"/>
    <col min="8017" max="8192" width="9.140625" style="5"/>
    <col min="8193" max="8193" width="0.28515625" style="5" customWidth="1"/>
    <col min="8194" max="8202" width="1.7109375" style="5" customWidth="1"/>
    <col min="8203" max="8203" width="0.28515625" style="5" customWidth="1"/>
    <col min="8204" max="8212" width="1.7109375" style="5" customWidth="1"/>
    <col min="8213" max="8213" width="0.28515625" style="5" customWidth="1"/>
    <col min="8214" max="8222" width="1.7109375" style="5" customWidth="1"/>
    <col min="8223" max="8223" width="0.28515625" style="5" customWidth="1"/>
    <col min="8224" max="8232" width="1.7109375" style="5" customWidth="1"/>
    <col min="8233" max="8233" width="0.28515625" style="5" customWidth="1"/>
    <col min="8234" max="8242" width="1.7109375" style="5" customWidth="1"/>
    <col min="8243" max="8243" width="0.28515625" style="5" customWidth="1"/>
    <col min="8244" max="8252" width="1.7109375" style="5" customWidth="1"/>
    <col min="8253" max="8253" width="0.28515625" style="5" customWidth="1"/>
    <col min="8254" max="8262" width="1.7109375" style="5" customWidth="1"/>
    <col min="8263" max="8263" width="0.28515625" style="5" customWidth="1"/>
    <col min="8264" max="8272" width="1.7109375" style="5" customWidth="1"/>
    <col min="8273" max="8448" width="9.140625" style="5"/>
    <col min="8449" max="8449" width="0.28515625" style="5" customWidth="1"/>
    <col min="8450" max="8458" width="1.7109375" style="5" customWidth="1"/>
    <col min="8459" max="8459" width="0.28515625" style="5" customWidth="1"/>
    <col min="8460" max="8468" width="1.7109375" style="5" customWidth="1"/>
    <col min="8469" max="8469" width="0.28515625" style="5" customWidth="1"/>
    <col min="8470" max="8478" width="1.7109375" style="5" customWidth="1"/>
    <col min="8479" max="8479" width="0.28515625" style="5" customWidth="1"/>
    <col min="8480" max="8488" width="1.7109375" style="5" customWidth="1"/>
    <col min="8489" max="8489" width="0.28515625" style="5" customWidth="1"/>
    <col min="8490" max="8498" width="1.7109375" style="5" customWidth="1"/>
    <col min="8499" max="8499" width="0.28515625" style="5" customWidth="1"/>
    <col min="8500" max="8508" width="1.7109375" style="5" customWidth="1"/>
    <col min="8509" max="8509" width="0.28515625" style="5" customWidth="1"/>
    <col min="8510" max="8518" width="1.7109375" style="5" customWidth="1"/>
    <col min="8519" max="8519" width="0.28515625" style="5" customWidth="1"/>
    <col min="8520" max="8528" width="1.7109375" style="5" customWidth="1"/>
    <col min="8529" max="8704" width="9.140625" style="5"/>
    <col min="8705" max="8705" width="0.28515625" style="5" customWidth="1"/>
    <col min="8706" max="8714" width="1.7109375" style="5" customWidth="1"/>
    <col min="8715" max="8715" width="0.28515625" style="5" customWidth="1"/>
    <col min="8716" max="8724" width="1.7109375" style="5" customWidth="1"/>
    <col min="8725" max="8725" width="0.28515625" style="5" customWidth="1"/>
    <col min="8726" max="8734" width="1.7109375" style="5" customWidth="1"/>
    <col min="8735" max="8735" width="0.28515625" style="5" customWidth="1"/>
    <col min="8736" max="8744" width="1.7109375" style="5" customWidth="1"/>
    <col min="8745" max="8745" width="0.28515625" style="5" customWidth="1"/>
    <col min="8746" max="8754" width="1.7109375" style="5" customWidth="1"/>
    <col min="8755" max="8755" width="0.28515625" style="5" customWidth="1"/>
    <col min="8756" max="8764" width="1.7109375" style="5" customWidth="1"/>
    <col min="8765" max="8765" width="0.28515625" style="5" customWidth="1"/>
    <col min="8766" max="8774" width="1.7109375" style="5" customWidth="1"/>
    <col min="8775" max="8775" width="0.28515625" style="5" customWidth="1"/>
    <col min="8776" max="8784" width="1.7109375" style="5" customWidth="1"/>
    <col min="8785" max="8960" width="9.140625" style="5"/>
    <col min="8961" max="8961" width="0.28515625" style="5" customWidth="1"/>
    <col min="8962" max="8970" width="1.7109375" style="5" customWidth="1"/>
    <col min="8971" max="8971" width="0.28515625" style="5" customWidth="1"/>
    <col min="8972" max="8980" width="1.7109375" style="5" customWidth="1"/>
    <col min="8981" max="8981" width="0.28515625" style="5" customWidth="1"/>
    <col min="8982" max="8990" width="1.7109375" style="5" customWidth="1"/>
    <col min="8991" max="8991" width="0.28515625" style="5" customWidth="1"/>
    <col min="8992" max="9000" width="1.7109375" style="5" customWidth="1"/>
    <col min="9001" max="9001" width="0.28515625" style="5" customWidth="1"/>
    <col min="9002" max="9010" width="1.7109375" style="5" customWidth="1"/>
    <col min="9011" max="9011" width="0.28515625" style="5" customWidth="1"/>
    <col min="9012" max="9020" width="1.7109375" style="5" customWidth="1"/>
    <col min="9021" max="9021" width="0.28515625" style="5" customWidth="1"/>
    <col min="9022" max="9030" width="1.7109375" style="5" customWidth="1"/>
    <col min="9031" max="9031" width="0.28515625" style="5" customWidth="1"/>
    <col min="9032" max="9040" width="1.7109375" style="5" customWidth="1"/>
    <col min="9041" max="9216" width="9.140625" style="5"/>
    <col min="9217" max="9217" width="0.28515625" style="5" customWidth="1"/>
    <col min="9218" max="9226" width="1.7109375" style="5" customWidth="1"/>
    <col min="9227" max="9227" width="0.28515625" style="5" customWidth="1"/>
    <col min="9228" max="9236" width="1.7109375" style="5" customWidth="1"/>
    <col min="9237" max="9237" width="0.28515625" style="5" customWidth="1"/>
    <col min="9238" max="9246" width="1.7109375" style="5" customWidth="1"/>
    <col min="9247" max="9247" width="0.28515625" style="5" customWidth="1"/>
    <col min="9248" max="9256" width="1.7109375" style="5" customWidth="1"/>
    <col min="9257" max="9257" width="0.28515625" style="5" customWidth="1"/>
    <col min="9258" max="9266" width="1.7109375" style="5" customWidth="1"/>
    <col min="9267" max="9267" width="0.28515625" style="5" customWidth="1"/>
    <col min="9268" max="9276" width="1.7109375" style="5" customWidth="1"/>
    <col min="9277" max="9277" width="0.28515625" style="5" customWidth="1"/>
    <col min="9278" max="9286" width="1.7109375" style="5" customWidth="1"/>
    <col min="9287" max="9287" width="0.28515625" style="5" customWidth="1"/>
    <col min="9288" max="9296" width="1.7109375" style="5" customWidth="1"/>
    <col min="9297" max="9472" width="9.140625" style="5"/>
    <col min="9473" max="9473" width="0.28515625" style="5" customWidth="1"/>
    <col min="9474" max="9482" width="1.7109375" style="5" customWidth="1"/>
    <col min="9483" max="9483" width="0.28515625" style="5" customWidth="1"/>
    <col min="9484" max="9492" width="1.7109375" style="5" customWidth="1"/>
    <col min="9493" max="9493" width="0.28515625" style="5" customWidth="1"/>
    <col min="9494" max="9502" width="1.7109375" style="5" customWidth="1"/>
    <col min="9503" max="9503" width="0.28515625" style="5" customWidth="1"/>
    <col min="9504" max="9512" width="1.7109375" style="5" customWidth="1"/>
    <col min="9513" max="9513" width="0.28515625" style="5" customWidth="1"/>
    <col min="9514" max="9522" width="1.7109375" style="5" customWidth="1"/>
    <col min="9523" max="9523" width="0.28515625" style="5" customWidth="1"/>
    <col min="9524" max="9532" width="1.7109375" style="5" customWidth="1"/>
    <col min="9533" max="9533" width="0.28515625" style="5" customWidth="1"/>
    <col min="9534" max="9542" width="1.7109375" style="5" customWidth="1"/>
    <col min="9543" max="9543" width="0.28515625" style="5" customWidth="1"/>
    <col min="9544" max="9552" width="1.7109375" style="5" customWidth="1"/>
    <col min="9553" max="9728" width="9.140625" style="5"/>
    <col min="9729" max="9729" width="0.28515625" style="5" customWidth="1"/>
    <col min="9730" max="9738" width="1.7109375" style="5" customWidth="1"/>
    <col min="9739" max="9739" width="0.28515625" style="5" customWidth="1"/>
    <col min="9740" max="9748" width="1.7109375" style="5" customWidth="1"/>
    <col min="9749" max="9749" width="0.28515625" style="5" customWidth="1"/>
    <col min="9750" max="9758" width="1.7109375" style="5" customWidth="1"/>
    <col min="9759" max="9759" width="0.28515625" style="5" customWidth="1"/>
    <col min="9760" max="9768" width="1.7109375" style="5" customWidth="1"/>
    <col min="9769" max="9769" width="0.28515625" style="5" customWidth="1"/>
    <col min="9770" max="9778" width="1.7109375" style="5" customWidth="1"/>
    <col min="9779" max="9779" width="0.28515625" style="5" customWidth="1"/>
    <col min="9780" max="9788" width="1.7109375" style="5" customWidth="1"/>
    <col min="9789" max="9789" width="0.28515625" style="5" customWidth="1"/>
    <col min="9790" max="9798" width="1.7109375" style="5" customWidth="1"/>
    <col min="9799" max="9799" width="0.28515625" style="5" customWidth="1"/>
    <col min="9800" max="9808" width="1.7109375" style="5" customWidth="1"/>
    <col min="9809" max="9984" width="9.140625" style="5"/>
    <col min="9985" max="9985" width="0.28515625" style="5" customWidth="1"/>
    <col min="9986" max="9994" width="1.7109375" style="5" customWidth="1"/>
    <col min="9995" max="9995" width="0.28515625" style="5" customWidth="1"/>
    <col min="9996" max="10004" width="1.7109375" style="5" customWidth="1"/>
    <col min="10005" max="10005" width="0.28515625" style="5" customWidth="1"/>
    <col min="10006" max="10014" width="1.7109375" style="5" customWidth="1"/>
    <col min="10015" max="10015" width="0.28515625" style="5" customWidth="1"/>
    <col min="10016" max="10024" width="1.7109375" style="5" customWidth="1"/>
    <col min="10025" max="10025" width="0.28515625" style="5" customWidth="1"/>
    <col min="10026" max="10034" width="1.7109375" style="5" customWidth="1"/>
    <col min="10035" max="10035" width="0.28515625" style="5" customWidth="1"/>
    <col min="10036" max="10044" width="1.7109375" style="5" customWidth="1"/>
    <col min="10045" max="10045" width="0.28515625" style="5" customWidth="1"/>
    <col min="10046" max="10054" width="1.7109375" style="5" customWidth="1"/>
    <col min="10055" max="10055" width="0.28515625" style="5" customWidth="1"/>
    <col min="10056" max="10064" width="1.7109375" style="5" customWidth="1"/>
    <col min="10065" max="10240" width="9.140625" style="5"/>
    <col min="10241" max="10241" width="0.28515625" style="5" customWidth="1"/>
    <col min="10242" max="10250" width="1.7109375" style="5" customWidth="1"/>
    <col min="10251" max="10251" width="0.28515625" style="5" customWidth="1"/>
    <col min="10252" max="10260" width="1.7109375" style="5" customWidth="1"/>
    <col min="10261" max="10261" width="0.28515625" style="5" customWidth="1"/>
    <col min="10262" max="10270" width="1.7109375" style="5" customWidth="1"/>
    <col min="10271" max="10271" width="0.28515625" style="5" customWidth="1"/>
    <col min="10272" max="10280" width="1.7109375" style="5" customWidth="1"/>
    <col min="10281" max="10281" width="0.28515625" style="5" customWidth="1"/>
    <col min="10282" max="10290" width="1.7109375" style="5" customWidth="1"/>
    <col min="10291" max="10291" width="0.28515625" style="5" customWidth="1"/>
    <col min="10292" max="10300" width="1.7109375" style="5" customWidth="1"/>
    <col min="10301" max="10301" width="0.28515625" style="5" customWidth="1"/>
    <col min="10302" max="10310" width="1.7109375" style="5" customWidth="1"/>
    <col min="10311" max="10311" width="0.28515625" style="5" customWidth="1"/>
    <col min="10312" max="10320" width="1.7109375" style="5" customWidth="1"/>
    <col min="10321" max="10496" width="9.140625" style="5"/>
    <col min="10497" max="10497" width="0.28515625" style="5" customWidth="1"/>
    <col min="10498" max="10506" width="1.7109375" style="5" customWidth="1"/>
    <col min="10507" max="10507" width="0.28515625" style="5" customWidth="1"/>
    <col min="10508" max="10516" width="1.7109375" style="5" customWidth="1"/>
    <col min="10517" max="10517" width="0.28515625" style="5" customWidth="1"/>
    <col min="10518" max="10526" width="1.7109375" style="5" customWidth="1"/>
    <col min="10527" max="10527" width="0.28515625" style="5" customWidth="1"/>
    <col min="10528" max="10536" width="1.7109375" style="5" customWidth="1"/>
    <col min="10537" max="10537" width="0.28515625" style="5" customWidth="1"/>
    <col min="10538" max="10546" width="1.7109375" style="5" customWidth="1"/>
    <col min="10547" max="10547" width="0.28515625" style="5" customWidth="1"/>
    <col min="10548" max="10556" width="1.7109375" style="5" customWidth="1"/>
    <col min="10557" max="10557" width="0.28515625" style="5" customWidth="1"/>
    <col min="10558" max="10566" width="1.7109375" style="5" customWidth="1"/>
    <col min="10567" max="10567" width="0.28515625" style="5" customWidth="1"/>
    <col min="10568" max="10576" width="1.7109375" style="5" customWidth="1"/>
    <col min="10577" max="10752" width="9.140625" style="5"/>
    <col min="10753" max="10753" width="0.28515625" style="5" customWidth="1"/>
    <col min="10754" max="10762" width="1.7109375" style="5" customWidth="1"/>
    <col min="10763" max="10763" width="0.28515625" style="5" customWidth="1"/>
    <col min="10764" max="10772" width="1.7109375" style="5" customWidth="1"/>
    <col min="10773" max="10773" width="0.28515625" style="5" customWidth="1"/>
    <col min="10774" max="10782" width="1.7109375" style="5" customWidth="1"/>
    <col min="10783" max="10783" width="0.28515625" style="5" customWidth="1"/>
    <col min="10784" max="10792" width="1.7109375" style="5" customWidth="1"/>
    <col min="10793" max="10793" width="0.28515625" style="5" customWidth="1"/>
    <col min="10794" max="10802" width="1.7109375" style="5" customWidth="1"/>
    <col min="10803" max="10803" width="0.28515625" style="5" customWidth="1"/>
    <col min="10804" max="10812" width="1.7109375" style="5" customWidth="1"/>
    <col min="10813" max="10813" width="0.28515625" style="5" customWidth="1"/>
    <col min="10814" max="10822" width="1.7109375" style="5" customWidth="1"/>
    <col min="10823" max="10823" width="0.28515625" style="5" customWidth="1"/>
    <col min="10824" max="10832" width="1.7109375" style="5" customWidth="1"/>
    <col min="10833" max="11008" width="9.140625" style="5"/>
    <col min="11009" max="11009" width="0.28515625" style="5" customWidth="1"/>
    <col min="11010" max="11018" width="1.7109375" style="5" customWidth="1"/>
    <col min="11019" max="11019" width="0.28515625" style="5" customWidth="1"/>
    <col min="11020" max="11028" width="1.7109375" style="5" customWidth="1"/>
    <col min="11029" max="11029" width="0.28515625" style="5" customWidth="1"/>
    <col min="11030" max="11038" width="1.7109375" style="5" customWidth="1"/>
    <col min="11039" max="11039" width="0.28515625" style="5" customWidth="1"/>
    <col min="11040" max="11048" width="1.7109375" style="5" customWidth="1"/>
    <col min="11049" max="11049" width="0.28515625" style="5" customWidth="1"/>
    <col min="11050" max="11058" width="1.7109375" style="5" customWidth="1"/>
    <col min="11059" max="11059" width="0.28515625" style="5" customWidth="1"/>
    <col min="11060" max="11068" width="1.7109375" style="5" customWidth="1"/>
    <col min="11069" max="11069" width="0.28515625" style="5" customWidth="1"/>
    <col min="11070" max="11078" width="1.7109375" style="5" customWidth="1"/>
    <col min="11079" max="11079" width="0.28515625" style="5" customWidth="1"/>
    <col min="11080" max="11088" width="1.7109375" style="5" customWidth="1"/>
    <col min="11089" max="11264" width="9.140625" style="5"/>
    <col min="11265" max="11265" width="0.28515625" style="5" customWidth="1"/>
    <col min="11266" max="11274" width="1.7109375" style="5" customWidth="1"/>
    <col min="11275" max="11275" width="0.28515625" style="5" customWidth="1"/>
    <col min="11276" max="11284" width="1.7109375" style="5" customWidth="1"/>
    <col min="11285" max="11285" width="0.28515625" style="5" customWidth="1"/>
    <col min="11286" max="11294" width="1.7109375" style="5" customWidth="1"/>
    <col min="11295" max="11295" width="0.28515625" style="5" customWidth="1"/>
    <col min="11296" max="11304" width="1.7109375" style="5" customWidth="1"/>
    <col min="11305" max="11305" width="0.28515625" style="5" customWidth="1"/>
    <col min="11306" max="11314" width="1.7109375" style="5" customWidth="1"/>
    <col min="11315" max="11315" width="0.28515625" style="5" customWidth="1"/>
    <col min="11316" max="11324" width="1.7109375" style="5" customWidth="1"/>
    <col min="11325" max="11325" width="0.28515625" style="5" customWidth="1"/>
    <col min="11326" max="11334" width="1.7109375" style="5" customWidth="1"/>
    <col min="11335" max="11335" width="0.28515625" style="5" customWidth="1"/>
    <col min="11336" max="11344" width="1.7109375" style="5" customWidth="1"/>
    <col min="11345" max="11520" width="9.140625" style="5"/>
    <col min="11521" max="11521" width="0.28515625" style="5" customWidth="1"/>
    <col min="11522" max="11530" width="1.7109375" style="5" customWidth="1"/>
    <col min="11531" max="11531" width="0.28515625" style="5" customWidth="1"/>
    <col min="11532" max="11540" width="1.7109375" style="5" customWidth="1"/>
    <col min="11541" max="11541" width="0.28515625" style="5" customWidth="1"/>
    <col min="11542" max="11550" width="1.7109375" style="5" customWidth="1"/>
    <col min="11551" max="11551" width="0.28515625" style="5" customWidth="1"/>
    <col min="11552" max="11560" width="1.7109375" style="5" customWidth="1"/>
    <col min="11561" max="11561" width="0.28515625" style="5" customWidth="1"/>
    <col min="11562" max="11570" width="1.7109375" style="5" customWidth="1"/>
    <col min="11571" max="11571" width="0.28515625" style="5" customWidth="1"/>
    <col min="11572" max="11580" width="1.7109375" style="5" customWidth="1"/>
    <col min="11581" max="11581" width="0.28515625" style="5" customWidth="1"/>
    <col min="11582" max="11590" width="1.7109375" style="5" customWidth="1"/>
    <col min="11591" max="11591" width="0.28515625" style="5" customWidth="1"/>
    <col min="11592" max="11600" width="1.7109375" style="5" customWidth="1"/>
    <col min="11601" max="11776" width="9.140625" style="5"/>
    <col min="11777" max="11777" width="0.28515625" style="5" customWidth="1"/>
    <col min="11778" max="11786" width="1.7109375" style="5" customWidth="1"/>
    <col min="11787" max="11787" width="0.28515625" style="5" customWidth="1"/>
    <col min="11788" max="11796" width="1.7109375" style="5" customWidth="1"/>
    <col min="11797" max="11797" width="0.28515625" style="5" customWidth="1"/>
    <col min="11798" max="11806" width="1.7109375" style="5" customWidth="1"/>
    <col min="11807" max="11807" width="0.28515625" style="5" customWidth="1"/>
    <col min="11808" max="11816" width="1.7109375" style="5" customWidth="1"/>
    <col min="11817" max="11817" width="0.28515625" style="5" customWidth="1"/>
    <col min="11818" max="11826" width="1.7109375" style="5" customWidth="1"/>
    <col min="11827" max="11827" width="0.28515625" style="5" customWidth="1"/>
    <col min="11828" max="11836" width="1.7109375" style="5" customWidth="1"/>
    <col min="11837" max="11837" width="0.28515625" style="5" customWidth="1"/>
    <col min="11838" max="11846" width="1.7109375" style="5" customWidth="1"/>
    <col min="11847" max="11847" width="0.28515625" style="5" customWidth="1"/>
    <col min="11848" max="11856" width="1.7109375" style="5" customWidth="1"/>
    <col min="11857" max="12032" width="9.140625" style="5"/>
    <col min="12033" max="12033" width="0.28515625" style="5" customWidth="1"/>
    <col min="12034" max="12042" width="1.7109375" style="5" customWidth="1"/>
    <col min="12043" max="12043" width="0.28515625" style="5" customWidth="1"/>
    <col min="12044" max="12052" width="1.7109375" style="5" customWidth="1"/>
    <col min="12053" max="12053" width="0.28515625" style="5" customWidth="1"/>
    <col min="12054" max="12062" width="1.7109375" style="5" customWidth="1"/>
    <col min="12063" max="12063" width="0.28515625" style="5" customWidth="1"/>
    <col min="12064" max="12072" width="1.7109375" style="5" customWidth="1"/>
    <col min="12073" max="12073" width="0.28515625" style="5" customWidth="1"/>
    <col min="12074" max="12082" width="1.7109375" style="5" customWidth="1"/>
    <col min="12083" max="12083" width="0.28515625" style="5" customWidth="1"/>
    <col min="12084" max="12092" width="1.7109375" style="5" customWidth="1"/>
    <col min="12093" max="12093" width="0.28515625" style="5" customWidth="1"/>
    <col min="12094" max="12102" width="1.7109375" style="5" customWidth="1"/>
    <col min="12103" max="12103" width="0.28515625" style="5" customWidth="1"/>
    <col min="12104" max="12112" width="1.7109375" style="5" customWidth="1"/>
    <col min="12113" max="12288" width="9.140625" style="5"/>
    <col min="12289" max="12289" width="0.28515625" style="5" customWidth="1"/>
    <col min="12290" max="12298" width="1.7109375" style="5" customWidth="1"/>
    <col min="12299" max="12299" width="0.28515625" style="5" customWidth="1"/>
    <col min="12300" max="12308" width="1.7109375" style="5" customWidth="1"/>
    <col min="12309" max="12309" width="0.28515625" style="5" customWidth="1"/>
    <col min="12310" max="12318" width="1.7109375" style="5" customWidth="1"/>
    <col min="12319" max="12319" width="0.28515625" style="5" customWidth="1"/>
    <col min="12320" max="12328" width="1.7109375" style="5" customWidth="1"/>
    <col min="12329" max="12329" width="0.28515625" style="5" customWidth="1"/>
    <col min="12330" max="12338" width="1.7109375" style="5" customWidth="1"/>
    <col min="12339" max="12339" width="0.28515625" style="5" customWidth="1"/>
    <col min="12340" max="12348" width="1.7109375" style="5" customWidth="1"/>
    <col min="12349" max="12349" width="0.28515625" style="5" customWidth="1"/>
    <col min="12350" max="12358" width="1.7109375" style="5" customWidth="1"/>
    <col min="12359" max="12359" width="0.28515625" style="5" customWidth="1"/>
    <col min="12360" max="12368" width="1.7109375" style="5" customWidth="1"/>
    <col min="12369" max="12544" width="9.140625" style="5"/>
    <col min="12545" max="12545" width="0.28515625" style="5" customWidth="1"/>
    <col min="12546" max="12554" width="1.7109375" style="5" customWidth="1"/>
    <col min="12555" max="12555" width="0.28515625" style="5" customWidth="1"/>
    <col min="12556" max="12564" width="1.7109375" style="5" customWidth="1"/>
    <col min="12565" max="12565" width="0.28515625" style="5" customWidth="1"/>
    <col min="12566" max="12574" width="1.7109375" style="5" customWidth="1"/>
    <col min="12575" max="12575" width="0.28515625" style="5" customWidth="1"/>
    <col min="12576" max="12584" width="1.7109375" style="5" customWidth="1"/>
    <col min="12585" max="12585" width="0.28515625" style="5" customWidth="1"/>
    <col min="12586" max="12594" width="1.7109375" style="5" customWidth="1"/>
    <col min="12595" max="12595" width="0.28515625" style="5" customWidth="1"/>
    <col min="12596" max="12604" width="1.7109375" style="5" customWidth="1"/>
    <col min="12605" max="12605" width="0.28515625" style="5" customWidth="1"/>
    <col min="12606" max="12614" width="1.7109375" style="5" customWidth="1"/>
    <col min="12615" max="12615" width="0.28515625" style="5" customWidth="1"/>
    <col min="12616" max="12624" width="1.7109375" style="5" customWidth="1"/>
    <col min="12625" max="12800" width="9.140625" style="5"/>
    <col min="12801" max="12801" width="0.28515625" style="5" customWidth="1"/>
    <col min="12802" max="12810" width="1.7109375" style="5" customWidth="1"/>
    <col min="12811" max="12811" width="0.28515625" style="5" customWidth="1"/>
    <col min="12812" max="12820" width="1.7109375" style="5" customWidth="1"/>
    <col min="12821" max="12821" width="0.28515625" style="5" customWidth="1"/>
    <col min="12822" max="12830" width="1.7109375" style="5" customWidth="1"/>
    <col min="12831" max="12831" width="0.28515625" style="5" customWidth="1"/>
    <col min="12832" max="12840" width="1.7109375" style="5" customWidth="1"/>
    <col min="12841" max="12841" width="0.28515625" style="5" customWidth="1"/>
    <col min="12842" max="12850" width="1.7109375" style="5" customWidth="1"/>
    <col min="12851" max="12851" width="0.28515625" style="5" customWidth="1"/>
    <col min="12852" max="12860" width="1.7109375" style="5" customWidth="1"/>
    <col min="12861" max="12861" width="0.28515625" style="5" customWidth="1"/>
    <col min="12862" max="12870" width="1.7109375" style="5" customWidth="1"/>
    <col min="12871" max="12871" width="0.28515625" style="5" customWidth="1"/>
    <col min="12872" max="12880" width="1.7109375" style="5" customWidth="1"/>
    <col min="12881" max="13056" width="9.140625" style="5"/>
    <col min="13057" max="13057" width="0.28515625" style="5" customWidth="1"/>
    <col min="13058" max="13066" width="1.7109375" style="5" customWidth="1"/>
    <col min="13067" max="13067" width="0.28515625" style="5" customWidth="1"/>
    <col min="13068" max="13076" width="1.7109375" style="5" customWidth="1"/>
    <col min="13077" max="13077" width="0.28515625" style="5" customWidth="1"/>
    <col min="13078" max="13086" width="1.7109375" style="5" customWidth="1"/>
    <col min="13087" max="13087" width="0.28515625" style="5" customWidth="1"/>
    <col min="13088" max="13096" width="1.7109375" style="5" customWidth="1"/>
    <col min="13097" max="13097" width="0.28515625" style="5" customWidth="1"/>
    <col min="13098" max="13106" width="1.7109375" style="5" customWidth="1"/>
    <col min="13107" max="13107" width="0.28515625" style="5" customWidth="1"/>
    <col min="13108" max="13116" width="1.7109375" style="5" customWidth="1"/>
    <col min="13117" max="13117" width="0.28515625" style="5" customWidth="1"/>
    <col min="13118" max="13126" width="1.7109375" style="5" customWidth="1"/>
    <col min="13127" max="13127" width="0.28515625" style="5" customWidth="1"/>
    <col min="13128" max="13136" width="1.7109375" style="5" customWidth="1"/>
    <col min="13137" max="13312" width="9.140625" style="5"/>
    <col min="13313" max="13313" width="0.28515625" style="5" customWidth="1"/>
    <col min="13314" max="13322" width="1.7109375" style="5" customWidth="1"/>
    <col min="13323" max="13323" width="0.28515625" style="5" customWidth="1"/>
    <col min="13324" max="13332" width="1.7109375" style="5" customWidth="1"/>
    <col min="13333" max="13333" width="0.28515625" style="5" customWidth="1"/>
    <col min="13334" max="13342" width="1.7109375" style="5" customWidth="1"/>
    <col min="13343" max="13343" width="0.28515625" style="5" customWidth="1"/>
    <col min="13344" max="13352" width="1.7109375" style="5" customWidth="1"/>
    <col min="13353" max="13353" width="0.28515625" style="5" customWidth="1"/>
    <col min="13354" max="13362" width="1.7109375" style="5" customWidth="1"/>
    <col min="13363" max="13363" width="0.28515625" style="5" customWidth="1"/>
    <col min="13364" max="13372" width="1.7109375" style="5" customWidth="1"/>
    <col min="13373" max="13373" width="0.28515625" style="5" customWidth="1"/>
    <col min="13374" max="13382" width="1.7109375" style="5" customWidth="1"/>
    <col min="13383" max="13383" width="0.28515625" style="5" customWidth="1"/>
    <col min="13384" max="13392" width="1.7109375" style="5" customWidth="1"/>
    <col min="13393" max="13568" width="9.140625" style="5"/>
    <col min="13569" max="13569" width="0.28515625" style="5" customWidth="1"/>
    <col min="13570" max="13578" width="1.7109375" style="5" customWidth="1"/>
    <col min="13579" max="13579" width="0.28515625" style="5" customWidth="1"/>
    <col min="13580" max="13588" width="1.7109375" style="5" customWidth="1"/>
    <col min="13589" max="13589" width="0.28515625" style="5" customWidth="1"/>
    <col min="13590" max="13598" width="1.7109375" style="5" customWidth="1"/>
    <col min="13599" max="13599" width="0.28515625" style="5" customWidth="1"/>
    <col min="13600" max="13608" width="1.7109375" style="5" customWidth="1"/>
    <col min="13609" max="13609" width="0.28515625" style="5" customWidth="1"/>
    <col min="13610" max="13618" width="1.7109375" style="5" customWidth="1"/>
    <col min="13619" max="13619" width="0.28515625" style="5" customWidth="1"/>
    <col min="13620" max="13628" width="1.7109375" style="5" customWidth="1"/>
    <col min="13629" max="13629" width="0.28515625" style="5" customWidth="1"/>
    <col min="13630" max="13638" width="1.7109375" style="5" customWidth="1"/>
    <col min="13639" max="13639" width="0.28515625" style="5" customWidth="1"/>
    <col min="13640" max="13648" width="1.7109375" style="5" customWidth="1"/>
    <col min="13649" max="13824" width="9.140625" style="5"/>
    <col min="13825" max="13825" width="0.28515625" style="5" customWidth="1"/>
    <col min="13826" max="13834" width="1.7109375" style="5" customWidth="1"/>
    <col min="13835" max="13835" width="0.28515625" style="5" customWidth="1"/>
    <col min="13836" max="13844" width="1.7109375" style="5" customWidth="1"/>
    <col min="13845" max="13845" width="0.28515625" style="5" customWidth="1"/>
    <col min="13846" max="13854" width="1.7109375" style="5" customWidth="1"/>
    <col min="13855" max="13855" width="0.28515625" style="5" customWidth="1"/>
    <col min="13856" max="13864" width="1.7109375" style="5" customWidth="1"/>
    <col min="13865" max="13865" width="0.28515625" style="5" customWidth="1"/>
    <col min="13866" max="13874" width="1.7109375" style="5" customWidth="1"/>
    <col min="13875" max="13875" width="0.28515625" style="5" customWidth="1"/>
    <col min="13876" max="13884" width="1.7109375" style="5" customWidth="1"/>
    <col min="13885" max="13885" width="0.28515625" style="5" customWidth="1"/>
    <col min="13886" max="13894" width="1.7109375" style="5" customWidth="1"/>
    <col min="13895" max="13895" width="0.28515625" style="5" customWidth="1"/>
    <col min="13896" max="13904" width="1.7109375" style="5" customWidth="1"/>
    <col min="13905" max="14080" width="9.140625" style="5"/>
    <col min="14081" max="14081" width="0.28515625" style="5" customWidth="1"/>
    <col min="14082" max="14090" width="1.7109375" style="5" customWidth="1"/>
    <col min="14091" max="14091" width="0.28515625" style="5" customWidth="1"/>
    <col min="14092" max="14100" width="1.7109375" style="5" customWidth="1"/>
    <col min="14101" max="14101" width="0.28515625" style="5" customWidth="1"/>
    <col min="14102" max="14110" width="1.7109375" style="5" customWidth="1"/>
    <col min="14111" max="14111" width="0.28515625" style="5" customWidth="1"/>
    <col min="14112" max="14120" width="1.7109375" style="5" customWidth="1"/>
    <col min="14121" max="14121" width="0.28515625" style="5" customWidth="1"/>
    <col min="14122" max="14130" width="1.7109375" style="5" customWidth="1"/>
    <col min="14131" max="14131" width="0.28515625" style="5" customWidth="1"/>
    <col min="14132" max="14140" width="1.7109375" style="5" customWidth="1"/>
    <col min="14141" max="14141" width="0.28515625" style="5" customWidth="1"/>
    <col min="14142" max="14150" width="1.7109375" style="5" customWidth="1"/>
    <col min="14151" max="14151" width="0.28515625" style="5" customWidth="1"/>
    <col min="14152" max="14160" width="1.7109375" style="5" customWidth="1"/>
    <col min="14161" max="14336" width="9.140625" style="5"/>
    <col min="14337" max="14337" width="0.28515625" style="5" customWidth="1"/>
    <col min="14338" max="14346" width="1.7109375" style="5" customWidth="1"/>
    <col min="14347" max="14347" width="0.28515625" style="5" customWidth="1"/>
    <col min="14348" max="14356" width="1.7109375" style="5" customWidth="1"/>
    <col min="14357" max="14357" width="0.28515625" style="5" customWidth="1"/>
    <col min="14358" max="14366" width="1.7109375" style="5" customWidth="1"/>
    <col min="14367" max="14367" width="0.28515625" style="5" customWidth="1"/>
    <col min="14368" max="14376" width="1.7109375" style="5" customWidth="1"/>
    <col min="14377" max="14377" width="0.28515625" style="5" customWidth="1"/>
    <col min="14378" max="14386" width="1.7109375" style="5" customWidth="1"/>
    <col min="14387" max="14387" width="0.28515625" style="5" customWidth="1"/>
    <col min="14388" max="14396" width="1.7109375" style="5" customWidth="1"/>
    <col min="14397" max="14397" width="0.28515625" style="5" customWidth="1"/>
    <col min="14398" max="14406" width="1.7109375" style="5" customWidth="1"/>
    <col min="14407" max="14407" width="0.28515625" style="5" customWidth="1"/>
    <col min="14408" max="14416" width="1.7109375" style="5" customWidth="1"/>
    <col min="14417" max="14592" width="9.140625" style="5"/>
    <col min="14593" max="14593" width="0.28515625" style="5" customWidth="1"/>
    <col min="14594" max="14602" width="1.7109375" style="5" customWidth="1"/>
    <col min="14603" max="14603" width="0.28515625" style="5" customWidth="1"/>
    <col min="14604" max="14612" width="1.7109375" style="5" customWidth="1"/>
    <col min="14613" max="14613" width="0.28515625" style="5" customWidth="1"/>
    <col min="14614" max="14622" width="1.7109375" style="5" customWidth="1"/>
    <col min="14623" max="14623" width="0.28515625" style="5" customWidth="1"/>
    <col min="14624" max="14632" width="1.7109375" style="5" customWidth="1"/>
    <col min="14633" max="14633" width="0.28515625" style="5" customWidth="1"/>
    <col min="14634" max="14642" width="1.7109375" style="5" customWidth="1"/>
    <col min="14643" max="14643" width="0.28515625" style="5" customWidth="1"/>
    <col min="14644" max="14652" width="1.7109375" style="5" customWidth="1"/>
    <col min="14653" max="14653" width="0.28515625" style="5" customWidth="1"/>
    <col min="14654" max="14662" width="1.7109375" style="5" customWidth="1"/>
    <col min="14663" max="14663" width="0.28515625" style="5" customWidth="1"/>
    <col min="14664" max="14672" width="1.7109375" style="5" customWidth="1"/>
    <col min="14673" max="14848" width="9.140625" style="5"/>
    <col min="14849" max="14849" width="0.28515625" style="5" customWidth="1"/>
    <col min="14850" max="14858" width="1.7109375" style="5" customWidth="1"/>
    <col min="14859" max="14859" width="0.28515625" style="5" customWidth="1"/>
    <col min="14860" max="14868" width="1.7109375" style="5" customWidth="1"/>
    <col min="14869" max="14869" width="0.28515625" style="5" customWidth="1"/>
    <col min="14870" max="14878" width="1.7109375" style="5" customWidth="1"/>
    <col min="14879" max="14879" width="0.28515625" style="5" customWidth="1"/>
    <col min="14880" max="14888" width="1.7109375" style="5" customWidth="1"/>
    <col min="14889" max="14889" width="0.28515625" style="5" customWidth="1"/>
    <col min="14890" max="14898" width="1.7109375" style="5" customWidth="1"/>
    <col min="14899" max="14899" width="0.28515625" style="5" customWidth="1"/>
    <col min="14900" max="14908" width="1.7109375" style="5" customWidth="1"/>
    <col min="14909" max="14909" width="0.28515625" style="5" customWidth="1"/>
    <col min="14910" max="14918" width="1.7109375" style="5" customWidth="1"/>
    <col min="14919" max="14919" width="0.28515625" style="5" customWidth="1"/>
    <col min="14920" max="14928" width="1.7109375" style="5" customWidth="1"/>
    <col min="14929" max="15104" width="9.140625" style="5"/>
    <col min="15105" max="15105" width="0.28515625" style="5" customWidth="1"/>
    <col min="15106" max="15114" width="1.7109375" style="5" customWidth="1"/>
    <col min="15115" max="15115" width="0.28515625" style="5" customWidth="1"/>
    <col min="15116" max="15124" width="1.7109375" style="5" customWidth="1"/>
    <col min="15125" max="15125" width="0.28515625" style="5" customWidth="1"/>
    <col min="15126" max="15134" width="1.7109375" style="5" customWidth="1"/>
    <col min="15135" max="15135" width="0.28515625" style="5" customWidth="1"/>
    <col min="15136" max="15144" width="1.7109375" style="5" customWidth="1"/>
    <col min="15145" max="15145" width="0.28515625" style="5" customWidth="1"/>
    <col min="15146" max="15154" width="1.7109375" style="5" customWidth="1"/>
    <col min="15155" max="15155" width="0.28515625" style="5" customWidth="1"/>
    <col min="15156" max="15164" width="1.7109375" style="5" customWidth="1"/>
    <col min="15165" max="15165" width="0.28515625" style="5" customWidth="1"/>
    <col min="15166" max="15174" width="1.7109375" style="5" customWidth="1"/>
    <col min="15175" max="15175" width="0.28515625" style="5" customWidth="1"/>
    <col min="15176" max="15184" width="1.7109375" style="5" customWidth="1"/>
    <col min="15185" max="15360" width="9.140625" style="5"/>
    <col min="15361" max="15361" width="0.28515625" style="5" customWidth="1"/>
    <col min="15362" max="15370" width="1.7109375" style="5" customWidth="1"/>
    <col min="15371" max="15371" width="0.28515625" style="5" customWidth="1"/>
    <col min="15372" max="15380" width="1.7109375" style="5" customWidth="1"/>
    <col min="15381" max="15381" width="0.28515625" style="5" customWidth="1"/>
    <col min="15382" max="15390" width="1.7109375" style="5" customWidth="1"/>
    <col min="15391" max="15391" width="0.28515625" style="5" customWidth="1"/>
    <col min="15392" max="15400" width="1.7109375" style="5" customWidth="1"/>
    <col min="15401" max="15401" width="0.28515625" style="5" customWidth="1"/>
    <col min="15402" max="15410" width="1.7109375" style="5" customWidth="1"/>
    <col min="15411" max="15411" width="0.28515625" style="5" customWidth="1"/>
    <col min="15412" max="15420" width="1.7109375" style="5" customWidth="1"/>
    <col min="15421" max="15421" width="0.28515625" style="5" customWidth="1"/>
    <col min="15422" max="15430" width="1.7109375" style="5" customWidth="1"/>
    <col min="15431" max="15431" width="0.28515625" style="5" customWidth="1"/>
    <col min="15432" max="15440" width="1.7109375" style="5" customWidth="1"/>
    <col min="15441" max="15616" width="9.140625" style="5"/>
    <col min="15617" max="15617" width="0.28515625" style="5" customWidth="1"/>
    <col min="15618" max="15626" width="1.7109375" style="5" customWidth="1"/>
    <col min="15627" max="15627" width="0.28515625" style="5" customWidth="1"/>
    <col min="15628" max="15636" width="1.7109375" style="5" customWidth="1"/>
    <col min="15637" max="15637" width="0.28515625" style="5" customWidth="1"/>
    <col min="15638" max="15646" width="1.7109375" style="5" customWidth="1"/>
    <col min="15647" max="15647" width="0.28515625" style="5" customWidth="1"/>
    <col min="15648" max="15656" width="1.7109375" style="5" customWidth="1"/>
    <col min="15657" max="15657" width="0.28515625" style="5" customWidth="1"/>
    <col min="15658" max="15666" width="1.7109375" style="5" customWidth="1"/>
    <col min="15667" max="15667" width="0.28515625" style="5" customWidth="1"/>
    <col min="15668" max="15676" width="1.7109375" style="5" customWidth="1"/>
    <col min="15677" max="15677" width="0.28515625" style="5" customWidth="1"/>
    <col min="15678" max="15686" width="1.7109375" style="5" customWidth="1"/>
    <col min="15687" max="15687" width="0.28515625" style="5" customWidth="1"/>
    <col min="15688" max="15696" width="1.7109375" style="5" customWidth="1"/>
    <col min="15697" max="15872" width="9.140625" style="5"/>
    <col min="15873" max="15873" width="0.28515625" style="5" customWidth="1"/>
    <col min="15874" max="15882" width="1.7109375" style="5" customWidth="1"/>
    <col min="15883" max="15883" width="0.28515625" style="5" customWidth="1"/>
    <col min="15884" max="15892" width="1.7109375" style="5" customWidth="1"/>
    <col min="15893" max="15893" width="0.28515625" style="5" customWidth="1"/>
    <col min="15894" max="15902" width="1.7109375" style="5" customWidth="1"/>
    <col min="15903" max="15903" width="0.28515625" style="5" customWidth="1"/>
    <col min="15904" max="15912" width="1.7109375" style="5" customWidth="1"/>
    <col min="15913" max="15913" width="0.28515625" style="5" customWidth="1"/>
    <col min="15914" max="15922" width="1.7109375" style="5" customWidth="1"/>
    <col min="15923" max="15923" width="0.28515625" style="5" customWidth="1"/>
    <col min="15924" max="15932" width="1.7109375" style="5" customWidth="1"/>
    <col min="15933" max="15933" width="0.28515625" style="5" customWidth="1"/>
    <col min="15934" max="15942" width="1.7109375" style="5" customWidth="1"/>
    <col min="15943" max="15943" width="0.28515625" style="5" customWidth="1"/>
    <col min="15944" max="15952" width="1.7109375" style="5" customWidth="1"/>
    <col min="15953" max="16128" width="9.140625" style="5"/>
    <col min="16129" max="16129" width="0.28515625" style="5" customWidth="1"/>
    <col min="16130" max="16138" width="1.7109375" style="5" customWidth="1"/>
    <col min="16139" max="16139" width="0.28515625" style="5" customWidth="1"/>
    <col min="16140" max="16148" width="1.7109375" style="5" customWidth="1"/>
    <col min="16149" max="16149" width="0.28515625" style="5" customWidth="1"/>
    <col min="16150" max="16158" width="1.7109375" style="5" customWidth="1"/>
    <col min="16159" max="16159" width="0.28515625" style="5" customWidth="1"/>
    <col min="16160" max="16168" width="1.7109375" style="5" customWidth="1"/>
    <col min="16169" max="16169" width="0.28515625" style="5" customWidth="1"/>
    <col min="16170" max="16178" width="1.7109375" style="5" customWidth="1"/>
    <col min="16179" max="16179" width="0.28515625" style="5" customWidth="1"/>
    <col min="16180" max="16188" width="1.7109375" style="5" customWidth="1"/>
    <col min="16189" max="16189" width="0.28515625" style="5" customWidth="1"/>
    <col min="16190" max="16198" width="1.7109375" style="5" customWidth="1"/>
    <col min="16199" max="16199" width="0.28515625" style="5" customWidth="1"/>
    <col min="16200" max="16208" width="1.7109375" style="5" customWidth="1"/>
    <col min="16209" max="16384" width="9.140625" style="5"/>
  </cols>
  <sheetData>
    <row r="1" spans="1:73" ht="19.5" customHeight="1" x14ac:dyDescent="0.25">
      <c r="A1" s="484" t="s">
        <v>830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  <c r="AC1" s="537"/>
      <c r="AD1" s="537"/>
      <c r="AE1" s="537"/>
      <c r="AF1" s="537"/>
      <c r="AG1" s="537"/>
      <c r="AH1" s="537"/>
      <c r="AI1" s="537"/>
      <c r="AJ1" s="537"/>
      <c r="AK1" s="537"/>
      <c r="AL1" s="537"/>
      <c r="AM1" s="537"/>
      <c r="AN1" s="537"/>
      <c r="AO1" s="537"/>
      <c r="AP1" s="537"/>
      <c r="AQ1" s="537"/>
      <c r="AR1" s="537"/>
      <c r="AS1" s="537"/>
      <c r="AT1" s="537"/>
      <c r="AU1" s="537"/>
      <c r="AV1" s="537"/>
      <c r="AW1" s="537"/>
      <c r="AX1" s="537"/>
      <c r="AY1" s="537"/>
      <c r="AZ1" s="537"/>
      <c r="BA1" s="537"/>
      <c r="BB1" s="537"/>
      <c r="BC1" s="537"/>
      <c r="BD1" s="537"/>
      <c r="BE1" s="537"/>
      <c r="BF1" s="537"/>
      <c r="BG1" s="537"/>
      <c r="BH1" s="537"/>
      <c r="BI1" s="537"/>
      <c r="BJ1" s="537"/>
      <c r="BK1" s="537"/>
      <c r="BL1" s="537"/>
      <c r="BM1" s="537"/>
      <c r="BN1" s="537"/>
      <c r="BO1" s="537"/>
      <c r="BP1" s="537"/>
      <c r="BQ1" s="537"/>
      <c r="BR1" s="538"/>
      <c r="BS1" s="4"/>
    </row>
    <row r="2" spans="1:73" ht="19.5" customHeight="1" x14ac:dyDescent="0.25">
      <c r="A2" s="537"/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7"/>
      <c r="X2" s="537"/>
      <c r="Y2" s="537"/>
      <c r="Z2" s="537"/>
      <c r="AA2" s="537"/>
      <c r="AB2" s="537"/>
      <c r="AC2" s="537"/>
      <c r="AD2" s="537"/>
      <c r="AE2" s="537"/>
      <c r="AF2" s="537"/>
      <c r="AG2" s="537"/>
      <c r="AH2" s="537"/>
      <c r="AI2" s="537"/>
      <c r="AJ2" s="537"/>
      <c r="AK2" s="537"/>
      <c r="AL2" s="537"/>
      <c r="AM2" s="537"/>
      <c r="AN2" s="537"/>
      <c r="AO2" s="537"/>
      <c r="AP2" s="537"/>
      <c r="AQ2" s="537"/>
      <c r="AR2" s="537"/>
      <c r="AS2" s="537"/>
      <c r="AT2" s="537"/>
      <c r="AU2" s="537"/>
      <c r="AV2" s="537"/>
      <c r="AW2" s="537"/>
      <c r="AX2" s="537"/>
      <c r="AY2" s="537"/>
      <c r="AZ2" s="537"/>
      <c r="BA2" s="537"/>
      <c r="BB2" s="537"/>
      <c r="BC2" s="537"/>
      <c r="BD2" s="537"/>
      <c r="BE2" s="537"/>
      <c r="BF2" s="537"/>
      <c r="BG2" s="537"/>
      <c r="BH2" s="537"/>
      <c r="BI2" s="537"/>
      <c r="BJ2" s="537"/>
      <c r="BK2" s="537"/>
      <c r="BL2" s="537"/>
      <c r="BM2" s="537"/>
      <c r="BN2" s="537"/>
      <c r="BO2" s="537"/>
      <c r="BP2" s="537"/>
      <c r="BQ2" s="537"/>
      <c r="BR2" s="538"/>
      <c r="BS2" s="6"/>
    </row>
    <row r="3" spans="1:73" ht="19.5" customHeight="1" x14ac:dyDescent="0.25">
      <c r="A3" s="537"/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  <c r="Q3" s="537"/>
      <c r="R3" s="537"/>
      <c r="S3" s="537"/>
      <c r="T3" s="537"/>
      <c r="U3" s="537"/>
      <c r="V3" s="537"/>
      <c r="W3" s="537"/>
      <c r="X3" s="537"/>
      <c r="Y3" s="537"/>
      <c r="Z3" s="537"/>
      <c r="AA3" s="537"/>
      <c r="AB3" s="537"/>
      <c r="AC3" s="537"/>
      <c r="AD3" s="537"/>
      <c r="AE3" s="537"/>
      <c r="AF3" s="537"/>
      <c r="AG3" s="537"/>
      <c r="AH3" s="537"/>
      <c r="AI3" s="537"/>
      <c r="AJ3" s="537"/>
      <c r="AK3" s="537"/>
      <c r="AL3" s="537"/>
      <c r="AM3" s="537"/>
      <c r="AN3" s="537"/>
      <c r="AO3" s="537"/>
      <c r="AP3" s="537"/>
      <c r="AQ3" s="537"/>
      <c r="AR3" s="537"/>
      <c r="AS3" s="537"/>
      <c r="AT3" s="537"/>
      <c r="AU3" s="537"/>
      <c r="AV3" s="537"/>
      <c r="AW3" s="537"/>
      <c r="AX3" s="537"/>
      <c r="AY3" s="537"/>
      <c r="AZ3" s="537"/>
      <c r="BA3" s="537"/>
      <c r="BB3" s="537"/>
      <c r="BC3" s="537"/>
      <c r="BD3" s="537"/>
      <c r="BE3" s="537"/>
      <c r="BF3" s="537"/>
      <c r="BG3" s="537"/>
      <c r="BH3" s="537"/>
      <c r="BI3" s="537"/>
      <c r="BJ3" s="537"/>
      <c r="BK3" s="537"/>
      <c r="BL3" s="537"/>
      <c r="BM3" s="537"/>
      <c r="BN3" s="537"/>
      <c r="BO3" s="537"/>
      <c r="BP3" s="537"/>
      <c r="BQ3" s="537"/>
      <c r="BR3" s="538"/>
      <c r="BS3" s="6"/>
    </row>
    <row r="4" spans="1:73" ht="19.5" customHeight="1" x14ac:dyDescent="0.25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8"/>
      <c r="BS4" s="6"/>
    </row>
    <row r="5" spans="1:73" ht="18" customHeight="1" x14ac:dyDescent="0.25">
      <c r="A5" s="11"/>
      <c r="B5" s="552">
        <v>1.4</v>
      </c>
      <c r="C5" s="553"/>
      <c r="D5" s="553"/>
      <c r="E5" s="553"/>
      <c r="F5" s="553"/>
      <c r="G5" s="553"/>
      <c r="H5" s="553"/>
      <c r="I5" s="553"/>
      <c r="J5" s="553"/>
      <c r="K5" s="247"/>
      <c r="L5" s="480" t="s">
        <v>790</v>
      </c>
      <c r="M5" s="480"/>
      <c r="N5" s="480"/>
      <c r="O5" s="480"/>
      <c r="P5" s="480"/>
      <c r="Q5" s="480"/>
      <c r="R5" s="480"/>
      <c r="S5" s="480"/>
      <c r="T5" s="480"/>
      <c r="U5" s="480"/>
      <c r="V5" s="480"/>
      <c r="W5" s="480"/>
      <c r="X5" s="480"/>
      <c r="Y5" s="480"/>
      <c r="Z5" s="480"/>
      <c r="AA5" s="480"/>
      <c r="AB5" s="480"/>
      <c r="AC5" s="480"/>
      <c r="AD5" s="480"/>
      <c r="AE5" s="480"/>
      <c r="AF5" s="480"/>
      <c r="AG5" s="480"/>
      <c r="AH5" s="480"/>
      <c r="AI5" s="480"/>
      <c r="AJ5" s="480"/>
      <c r="AK5" s="480"/>
      <c r="AL5" s="480"/>
      <c r="AM5" s="480"/>
      <c r="AN5" s="480"/>
      <c r="AO5" s="480"/>
      <c r="AP5" s="480"/>
      <c r="AQ5" s="480"/>
      <c r="AR5" s="480"/>
      <c r="AS5" s="480"/>
      <c r="AT5" s="480"/>
      <c r="AU5" s="480"/>
      <c r="AV5" s="480"/>
      <c r="AW5" s="480"/>
      <c r="AX5" s="480"/>
      <c r="AY5" s="480"/>
      <c r="AZ5" s="480"/>
      <c r="BA5" s="480"/>
      <c r="BB5" s="480"/>
      <c r="BC5" s="480"/>
      <c r="BD5" s="480"/>
      <c r="BE5" s="480"/>
      <c r="BF5" s="480"/>
      <c r="BG5" s="480"/>
      <c r="BH5" s="480"/>
      <c r="BI5" s="480"/>
      <c r="BJ5" s="480"/>
      <c r="BK5" s="480"/>
      <c r="BL5" s="480"/>
      <c r="BM5" s="480"/>
      <c r="BN5" s="480"/>
      <c r="BO5" s="480"/>
      <c r="BP5" s="480"/>
      <c r="BQ5" s="480"/>
      <c r="BR5" s="480"/>
      <c r="BS5" s="6"/>
      <c r="BT5" s="11"/>
    </row>
    <row r="6" spans="1:73" ht="1.5" customHeight="1" x14ac:dyDescent="0.25">
      <c r="B6" s="8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2"/>
      <c r="AQ6" s="12"/>
      <c r="AR6" s="12"/>
      <c r="AS6" s="12"/>
      <c r="AT6" s="12"/>
      <c r="AU6" s="12"/>
      <c r="AV6" s="12"/>
      <c r="AW6" s="12"/>
      <c r="AX6" s="12"/>
      <c r="AY6" s="11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10"/>
      <c r="BS6" s="4"/>
      <c r="BU6" s="11"/>
    </row>
    <row r="7" spans="1:73" s="23" customFormat="1" ht="9" customHeight="1" x14ac:dyDescent="0.25">
      <c r="A7" s="26"/>
      <c r="B7" s="474" t="s">
        <v>354</v>
      </c>
      <c r="C7" s="475"/>
      <c r="D7" s="476"/>
      <c r="E7" s="504" t="s">
        <v>396</v>
      </c>
      <c r="F7" s="505"/>
      <c r="G7" s="505"/>
      <c r="H7" s="505"/>
      <c r="I7" s="505"/>
      <c r="J7" s="506"/>
      <c r="K7" s="87"/>
      <c r="L7" s="474" t="s">
        <v>355</v>
      </c>
      <c r="M7" s="475"/>
      <c r="N7" s="476"/>
      <c r="O7" s="504" t="s">
        <v>396</v>
      </c>
      <c r="P7" s="505"/>
      <c r="Q7" s="505"/>
      <c r="R7" s="505"/>
      <c r="S7" s="505"/>
      <c r="T7" s="506"/>
      <c r="U7" s="87"/>
      <c r="V7" s="474" t="s">
        <v>356</v>
      </c>
      <c r="W7" s="475"/>
      <c r="X7" s="476"/>
      <c r="Y7" s="504" t="s">
        <v>396</v>
      </c>
      <c r="Z7" s="505"/>
      <c r="AA7" s="505"/>
      <c r="AB7" s="505"/>
      <c r="AC7" s="505"/>
      <c r="AD7" s="506"/>
      <c r="AE7" s="88"/>
      <c r="AF7" s="474" t="s">
        <v>357</v>
      </c>
      <c r="AG7" s="475"/>
      <c r="AH7" s="476"/>
      <c r="AI7" s="504" t="s">
        <v>396</v>
      </c>
      <c r="AJ7" s="505"/>
      <c r="AK7" s="505"/>
      <c r="AL7" s="505"/>
      <c r="AM7" s="505"/>
      <c r="AN7" s="506"/>
      <c r="AO7" s="89"/>
      <c r="AP7" s="474" t="s">
        <v>358</v>
      </c>
      <c r="AQ7" s="475"/>
      <c r="AR7" s="476"/>
      <c r="AS7" s="504" t="s">
        <v>578</v>
      </c>
      <c r="AT7" s="505"/>
      <c r="AU7" s="505"/>
      <c r="AV7" s="505"/>
      <c r="AW7" s="505"/>
      <c r="AX7" s="506"/>
      <c r="AY7" s="87"/>
      <c r="AZ7" s="474" t="s">
        <v>359</v>
      </c>
      <c r="BA7" s="475"/>
      <c r="BB7" s="476"/>
      <c r="BC7" s="504" t="s">
        <v>578</v>
      </c>
      <c r="BD7" s="505"/>
      <c r="BE7" s="505"/>
      <c r="BF7" s="505"/>
      <c r="BG7" s="505"/>
      <c r="BH7" s="506"/>
      <c r="BI7" s="87"/>
      <c r="BJ7" s="474" t="s">
        <v>360</v>
      </c>
      <c r="BK7" s="475"/>
      <c r="BL7" s="476"/>
      <c r="BM7" s="504" t="s">
        <v>578</v>
      </c>
      <c r="BN7" s="505"/>
      <c r="BO7" s="505"/>
      <c r="BP7" s="505"/>
      <c r="BQ7" s="505"/>
      <c r="BR7" s="506"/>
      <c r="BS7" s="26"/>
      <c r="BT7" s="26"/>
    </row>
    <row r="8" spans="1:73" s="32" customFormat="1" ht="9" customHeight="1" x14ac:dyDescent="0.25">
      <c r="B8" s="489" t="s">
        <v>733</v>
      </c>
      <c r="C8" s="490"/>
      <c r="D8" s="490"/>
      <c r="E8" s="490"/>
      <c r="F8" s="490"/>
      <c r="G8" s="490"/>
      <c r="H8" s="490"/>
      <c r="I8" s="490"/>
      <c r="J8" s="491"/>
      <c r="K8" s="90"/>
      <c r="L8" s="489" t="s">
        <v>733</v>
      </c>
      <c r="M8" s="490"/>
      <c r="N8" s="490"/>
      <c r="O8" s="490"/>
      <c r="P8" s="490"/>
      <c r="Q8" s="490"/>
      <c r="R8" s="490"/>
      <c r="S8" s="490"/>
      <c r="T8" s="491"/>
      <c r="U8" s="91"/>
      <c r="V8" s="489" t="s">
        <v>733</v>
      </c>
      <c r="W8" s="490"/>
      <c r="X8" s="490"/>
      <c r="Y8" s="490"/>
      <c r="Z8" s="490"/>
      <c r="AA8" s="490"/>
      <c r="AB8" s="490"/>
      <c r="AC8" s="490"/>
      <c r="AD8" s="491"/>
      <c r="AE8" s="90"/>
      <c r="AF8" s="489" t="s">
        <v>733</v>
      </c>
      <c r="AG8" s="490"/>
      <c r="AH8" s="490"/>
      <c r="AI8" s="490"/>
      <c r="AJ8" s="490"/>
      <c r="AK8" s="490"/>
      <c r="AL8" s="490"/>
      <c r="AM8" s="490"/>
      <c r="AN8" s="491"/>
      <c r="AO8" s="91"/>
      <c r="AP8" s="489" t="s">
        <v>577</v>
      </c>
      <c r="AQ8" s="490"/>
      <c r="AR8" s="490"/>
      <c r="AS8" s="490"/>
      <c r="AT8" s="490"/>
      <c r="AU8" s="490"/>
      <c r="AV8" s="490"/>
      <c r="AW8" s="490"/>
      <c r="AX8" s="491"/>
      <c r="AY8" s="91"/>
      <c r="AZ8" s="489" t="s">
        <v>577</v>
      </c>
      <c r="BA8" s="490"/>
      <c r="BB8" s="490"/>
      <c r="BC8" s="490"/>
      <c r="BD8" s="490"/>
      <c r="BE8" s="490"/>
      <c r="BF8" s="490"/>
      <c r="BG8" s="490"/>
      <c r="BH8" s="491"/>
      <c r="BI8" s="91"/>
      <c r="BJ8" s="489" t="s">
        <v>577</v>
      </c>
      <c r="BK8" s="490"/>
      <c r="BL8" s="490"/>
      <c r="BM8" s="490"/>
      <c r="BN8" s="490"/>
      <c r="BO8" s="490"/>
      <c r="BP8" s="490"/>
      <c r="BQ8" s="490"/>
      <c r="BR8" s="491"/>
      <c r="BS8" s="34"/>
      <c r="BT8" s="34"/>
    </row>
    <row r="9" spans="1:73" s="23" customFormat="1" ht="9" customHeight="1" x14ac:dyDescent="0.25">
      <c r="A9" s="30"/>
      <c r="B9" s="87"/>
      <c r="C9" s="87"/>
      <c r="D9" s="87"/>
      <c r="E9" s="87"/>
      <c r="F9" s="87"/>
      <c r="G9" s="87"/>
      <c r="H9" s="87"/>
      <c r="I9" s="87"/>
      <c r="J9" s="89"/>
      <c r="K9" s="92"/>
      <c r="L9" s="87"/>
      <c r="M9" s="87"/>
      <c r="N9" s="87"/>
      <c r="O9" s="87"/>
      <c r="P9" s="87"/>
      <c r="Q9" s="87"/>
      <c r="R9" s="87"/>
      <c r="S9" s="87"/>
      <c r="T9" s="89"/>
      <c r="U9" s="89"/>
      <c r="V9" s="87"/>
      <c r="W9" s="87"/>
      <c r="X9" s="87"/>
      <c r="Y9" s="87"/>
      <c r="Z9" s="87"/>
      <c r="AA9" s="87"/>
      <c r="AB9" s="87"/>
      <c r="AC9" s="87"/>
      <c r="AD9" s="89"/>
      <c r="AE9" s="92"/>
      <c r="AF9" s="87"/>
      <c r="AG9" s="87"/>
      <c r="AH9" s="87"/>
      <c r="AI9" s="87"/>
      <c r="AJ9" s="87"/>
      <c r="AK9" s="87"/>
      <c r="AL9" s="87"/>
      <c r="AM9" s="87"/>
      <c r="AN9" s="89"/>
      <c r="AO9" s="89"/>
      <c r="AP9" s="87"/>
      <c r="AQ9" s="87"/>
      <c r="AR9" s="87"/>
      <c r="AS9" s="87"/>
      <c r="AT9" s="87"/>
      <c r="AU9" s="87"/>
      <c r="AV9" s="87"/>
      <c r="AW9" s="87"/>
      <c r="AX9" s="89"/>
      <c r="AY9" s="89"/>
      <c r="AZ9" s="87"/>
      <c r="BA9" s="87"/>
      <c r="BB9" s="87"/>
      <c r="BC9" s="87"/>
      <c r="BD9" s="87"/>
      <c r="BE9" s="87"/>
      <c r="BF9" s="87"/>
      <c r="BG9" s="87"/>
      <c r="BH9" s="89"/>
      <c r="BI9" s="89"/>
      <c r="BJ9" s="87"/>
      <c r="BK9" s="87"/>
      <c r="BL9" s="87"/>
      <c r="BM9" s="87"/>
      <c r="BN9" s="87"/>
      <c r="BO9" s="87"/>
      <c r="BP9" s="87"/>
      <c r="BQ9" s="87"/>
      <c r="BR9" s="89"/>
      <c r="BS9" s="26"/>
      <c r="BT9" s="26"/>
    </row>
    <row r="10" spans="1:73" s="23" customFormat="1" ht="9" customHeight="1" x14ac:dyDescent="0.25">
      <c r="A10" s="30"/>
      <c r="B10" s="87"/>
      <c r="C10" s="87"/>
      <c r="D10" s="87"/>
      <c r="E10" s="87"/>
      <c r="F10" s="87"/>
      <c r="G10" s="87"/>
      <c r="H10" s="87"/>
      <c r="I10" s="87"/>
      <c r="J10" s="89"/>
      <c r="K10" s="92"/>
      <c r="L10" s="87"/>
      <c r="M10" s="87"/>
      <c r="N10" s="87"/>
      <c r="O10" s="87"/>
      <c r="P10" s="87"/>
      <c r="Q10" s="87"/>
      <c r="R10" s="87"/>
      <c r="S10" s="87"/>
      <c r="T10" s="89"/>
      <c r="U10" s="89"/>
      <c r="V10" s="87"/>
      <c r="W10" s="87"/>
      <c r="X10" s="87"/>
      <c r="Y10" s="87"/>
      <c r="Z10" s="87"/>
      <c r="AA10" s="87"/>
      <c r="AB10" s="87"/>
      <c r="AC10" s="87"/>
      <c r="AD10" s="89"/>
      <c r="AE10" s="92"/>
      <c r="AF10" s="87"/>
      <c r="AG10" s="87"/>
      <c r="AH10" s="87"/>
      <c r="AI10" s="87"/>
      <c r="AJ10" s="87"/>
      <c r="AK10" s="87"/>
      <c r="AL10" s="87"/>
      <c r="AM10" s="87"/>
      <c r="AN10" s="89"/>
      <c r="AO10" s="89"/>
      <c r="AP10" s="87"/>
      <c r="AQ10" s="87"/>
      <c r="AR10" s="87"/>
      <c r="AS10" s="87"/>
      <c r="AT10" s="87"/>
      <c r="AU10" s="87"/>
      <c r="AV10" s="87"/>
      <c r="AW10" s="87"/>
      <c r="AX10" s="89"/>
      <c r="AY10" s="89"/>
      <c r="AZ10" s="87"/>
      <c r="BA10" s="87"/>
      <c r="BB10" s="87"/>
      <c r="BC10" s="87"/>
      <c r="BD10" s="87"/>
      <c r="BE10" s="87"/>
      <c r="BF10" s="87"/>
      <c r="BG10" s="87"/>
      <c r="BH10" s="89"/>
      <c r="BI10" s="89"/>
      <c r="BJ10" s="87"/>
      <c r="BK10" s="87"/>
      <c r="BL10" s="87"/>
      <c r="BM10" s="87"/>
      <c r="BN10" s="87"/>
      <c r="BO10" s="87"/>
      <c r="BP10" s="87"/>
      <c r="BQ10" s="87"/>
      <c r="BR10" s="89"/>
      <c r="BS10" s="26"/>
      <c r="BT10" s="26"/>
    </row>
    <row r="11" spans="1:73" s="23" customFormat="1" ht="9" customHeight="1" x14ac:dyDescent="0.25">
      <c r="A11" s="30"/>
      <c r="B11" s="87"/>
      <c r="C11" s="87"/>
      <c r="D11" s="87"/>
      <c r="E11" s="87"/>
      <c r="F11" s="87"/>
      <c r="G11" s="87"/>
      <c r="H11" s="87"/>
      <c r="I11" s="87"/>
      <c r="J11" s="89"/>
      <c r="K11" s="92"/>
      <c r="L11" s="87"/>
      <c r="M11" s="87"/>
      <c r="N11" s="87"/>
      <c r="O11" s="87"/>
      <c r="P11" s="87"/>
      <c r="Q11" s="87"/>
      <c r="R11" s="87"/>
      <c r="S11" s="87"/>
      <c r="T11" s="89"/>
      <c r="U11" s="89"/>
      <c r="V11" s="87"/>
      <c r="W11" s="87"/>
      <c r="X11" s="87"/>
      <c r="Y11" s="87"/>
      <c r="Z11" s="87"/>
      <c r="AA11" s="87"/>
      <c r="AB11" s="87"/>
      <c r="AC11" s="87"/>
      <c r="AD11" s="89"/>
      <c r="AE11" s="92"/>
      <c r="AF11" s="87"/>
      <c r="AG11" s="87"/>
      <c r="AH11" s="87"/>
      <c r="AI11" s="87"/>
      <c r="AJ11" s="87"/>
      <c r="AK11" s="87"/>
      <c r="AL11" s="87"/>
      <c r="AM11" s="87"/>
      <c r="AN11" s="89"/>
      <c r="AO11" s="89"/>
      <c r="AP11" s="87"/>
      <c r="AQ11" s="87"/>
      <c r="AR11" s="87"/>
      <c r="AS11" s="87"/>
      <c r="AT11" s="87"/>
      <c r="AU11" s="87"/>
      <c r="AV11" s="87"/>
      <c r="AW11" s="87"/>
      <c r="AX11" s="89"/>
      <c r="AY11" s="89"/>
      <c r="AZ11" s="87"/>
      <c r="BA11" s="87"/>
      <c r="BB11" s="87"/>
      <c r="BC11" s="87"/>
      <c r="BD11" s="87"/>
      <c r="BE11" s="87"/>
      <c r="BF11" s="87"/>
      <c r="BG11" s="87"/>
      <c r="BH11" s="89"/>
      <c r="BI11" s="89"/>
      <c r="BJ11" s="87"/>
      <c r="BK11" s="87"/>
      <c r="BL11" s="87"/>
      <c r="BM11" s="87"/>
      <c r="BN11" s="87"/>
      <c r="BO11" s="87"/>
      <c r="BP11" s="87"/>
      <c r="BQ11" s="87"/>
      <c r="BR11" s="89"/>
      <c r="BS11" s="26"/>
      <c r="BT11" s="26"/>
    </row>
    <row r="12" spans="1:73" s="23" customFormat="1" ht="9" customHeight="1" x14ac:dyDescent="0.25">
      <c r="A12" s="30"/>
      <c r="B12" s="87"/>
      <c r="C12" s="87"/>
      <c r="D12" s="87"/>
      <c r="E12" s="87"/>
      <c r="F12" s="87"/>
      <c r="G12" s="87"/>
      <c r="H12" s="87"/>
      <c r="I12" s="87"/>
      <c r="J12" s="89"/>
      <c r="K12" s="92"/>
      <c r="L12" s="87"/>
      <c r="M12" s="87"/>
      <c r="N12" s="87"/>
      <c r="O12" s="87"/>
      <c r="P12" s="87"/>
      <c r="Q12" s="87"/>
      <c r="R12" s="87"/>
      <c r="S12" s="87"/>
      <c r="T12" s="89"/>
      <c r="U12" s="89"/>
      <c r="V12" s="87"/>
      <c r="W12" s="87"/>
      <c r="X12" s="87"/>
      <c r="Y12" s="87"/>
      <c r="Z12" s="87"/>
      <c r="AA12" s="87"/>
      <c r="AB12" s="87"/>
      <c r="AC12" s="87"/>
      <c r="AD12" s="89"/>
      <c r="AE12" s="92"/>
      <c r="AF12" s="87"/>
      <c r="AG12" s="87"/>
      <c r="AH12" s="87"/>
      <c r="AI12" s="87"/>
      <c r="AJ12" s="87"/>
      <c r="AK12" s="87"/>
      <c r="AL12" s="87"/>
      <c r="AM12" s="87"/>
      <c r="AN12" s="89"/>
      <c r="AO12" s="89"/>
      <c r="AP12" s="87"/>
      <c r="AQ12" s="87"/>
      <c r="AR12" s="87"/>
      <c r="AS12" s="87"/>
      <c r="AT12" s="87"/>
      <c r="AU12" s="87"/>
      <c r="AV12" s="87"/>
      <c r="AW12" s="87"/>
      <c r="AX12" s="89"/>
      <c r="AY12" s="92"/>
      <c r="AZ12" s="87"/>
      <c r="BA12" s="87"/>
      <c r="BB12" s="87"/>
      <c r="BC12" s="87"/>
      <c r="BD12" s="87"/>
      <c r="BE12" s="87"/>
      <c r="BF12" s="87"/>
      <c r="BG12" s="87"/>
      <c r="BH12" s="89"/>
      <c r="BI12" s="92"/>
      <c r="BJ12" s="87"/>
      <c r="BK12" s="87"/>
      <c r="BL12" s="87"/>
      <c r="BM12" s="87"/>
      <c r="BN12" s="87"/>
      <c r="BO12" s="87"/>
      <c r="BP12" s="87"/>
      <c r="BQ12" s="87"/>
      <c r="BR12" s="89"/>
      <c r="BS12" s="26"/>
      <c r="BT12" s="26"/>
    </row>
    <row r="13" spans="1:73" s="23" customFormat="1" ht="9.75" customHeight="1" x14ac:dyDescent="0.25">
      <c r="A13" s="30"/>
      <c r="B13" s="87"/>
      <c r="C13" s="87"/>
      <c r="D13" s="87"/>
      <c r="E13" s="87"/>
      <c r="F13" s="87"/>
      <c r="G13" s="87"/>
      <c r="H13" s="87"/>
      <c r="I13" s="87"/>
      <c r="J13" s="89"/>
      <c r="K13" s="92"/>
      <c r="L13" s="87"/>
      <c r="M13" s="87"/>
      <c r="N13" s="87"/>
      <c r="O13" s="87"/>
      <c r="P13" s="87"/>
      <c r="Q13" s="87"/>
      <c r="R13" s="87"/>
      <c r="S13" s="87"/>
      <c r="T13" s="89"/>
      <c r="U13" s="89"/>
      <c r="V13" s="87"/>
      <c r="W13" s="87"/>
      <c r="X13" s="87"/>
      <c r="Y13" s="87"/>
      <c r="Z13" s="87"/>
      <c r="AA13" s="87"/>
      <c r="AB13" s="87"/>
      <c r="AC13" s="87"/>
      <c r="AD13" s="89"/>
      <c r="AE13" s="92"/>
      <c r="AF13" s="87"/>
      <c r="AG13" s="87"/>
      <c r="AH13" s="87"/>
      <c r="AI13" s="87"/>
      <c r="AJ13" s="87"/>
      <c r="AK13" s="87"/>
      <c r="AL13" s="87"/>
      <c r="AM13" s="87"/>
      <c r="AN13" s="89"/>
      <c r="AO13" s="89"/>
      <c r="AP13" s="87"/>
      <c r="AQ13" s="87"/>
      <c r="AR13" s="87"/>
      <c r="AS13" s="87"/>
      <c r="AT13" s="87"/>
      <c r="AU13" s="87"/>
      <c r="AV13" s="87"/>
      <c r="AW13" s="87"/>
      <c r="AX13" s="89"/>
      <c r="AY13" s="92"/>
      <c r="AZ13" s="87"/>
      <c r="BA13" s="87"/>
      <c r="BB13" s="87"/>
      <c r="BC13" s="87"/>
      <c r="BD13" s="87"/>
      <c r="BE13" s="87"/>
      <c r="BF13" s="87"/>
      <c r="BG13" s="87"/>
      <c r="BH13" s="89"/>
      <c r="BI13" s="92"/>
      <c r="BJ13" s="87"/>
      <c r="BK13" s="87"/>
      <c r="BL13" s="87"/>
      <c r="BM13" s="87"/>
      <c r="BN13" s="87"/>
      <c r="BO13" s="87"/>
      <c r="BP13" s="87"/>
      <c r="BQ13" s="87"/>
      <c r="BR13" s="89"/>
      <c r="BS13" s="26"/>
      <c r="BT13" s="26"/>
    </row>
    <row r="14" spans="1:73" s="23" customFormat="1" ht="9" customHeight="1" x14ac:dyDescent="0.25">
      <c r="B14" s="116"/>
      <c r="C14" s="96"/>
      <c r="D14" s="96"/>
      <c r="E14" s="96"/>
      <c r="F14" s="96"/>
      <c r="G14" s="96"/>
      <c r="H14" s="96"/>
      <c r="I14" s="96"/>
      <c r="J14" s="97"/>
      <c r="K14" s="92"/>
      <c r="L14" s="96"/>
      <c r="M14" s="96"/>
      <c r="N14" s="96"/>
      <c r="O14" s="96"/>
      <c r="P14" s="96"/>
      <c r="Q14" s="96"/>
      <c r="R14" s="96"/>
      <c r="S14" s="96"/>
      <c r="T14" s="97"/>
      <c r="U14" s="89"/>
      <c r="V14" s="96"/>
      <c r="W14" s="96"/>
      <c r="X14" s="96"/>
      <c r="Y14" s="96"/>
      <c r="Z14" s="96"/>
      <c r="AA14" s="96"/>
      <c r="AB14" s="96"/>
      <c r="AC14" s="96"/>
      <c r="AD14" s="97"/>
      <c r="AE14" s="98"/>
      <c r="AF14" s="96"/>
      <c r="AG14" s="96"/>
      <c r="AH14" s="96"/>
      <c r="AI14" s="96"/>
      <c r="AJ14" s="96"/>
      <c r="AK14" s="96"/>
      <c r="AL14" s="96"/>
      <c r="AM14" s="96"/>
      <c r="AN14" s="97"/>
      <c r="AO14" s="97"/>
      <c r="AP14" s="96"/>
      <c r="AQ14" s="96"/>
      <c r="AR14" s="96"/>
      <c r="AS14" s="96"/>
      <c r="AT14" s="96"/>
      <c r="AU14" s="96"/>
      <c r="AV14" s="96"/>
      <c r="AW14" s="96"/>
      <c r="AX14" s="97"/>
      <c r="AY14" s="92"/>
      <c r="AZ14" s="96"/>
      <c r="BA14" s="96"/>
      <c r="BB14" s="96"/>
      <c r="BC14" s="96"/>
      <c r="BD14" s="96"/>
      <c r="BE14" s="96"/>
      <c r="BF14" s="96"/>
      <c r="BG14" s="96"/>
      <c r="BH14" s="97"/>
      <c r="BI14" s="92"/>
      <c r="BJ14" s="96"/>
      <c r="BK14" s="96"/>
      <c r="BL14" s="96"/>
      <c r="BM14" s="96"/>
      <c r="BN14" s="96"/>
      <c r="BO14" s="96"/>
      <c r="BP14" s="96"/>
      <c r="BQ14" s="96"/>
      <c r="BR14" s="97"/>
      <c r="BS14" s="26"/>
      <c r="BT14" s="26"/>
    </row>
    <row r="15" spans="1:73" s="23" customFormat="1" ht="9" customHeight="1" x14ac:dyDescent="0.25">
      <c r="B15" s="116"/>
      <c r="C15" s="96"/>
      <c r="D15" s="96"/>
      <c r="E15" s="96"/>
      <c r="F15" s="96"/>
      <c r="G15" s="96"/>
      <c r="H15" s="96"/>
      <c r="I15" s="96"/>
      <c r="J15" s="97"/>
      <c r="K15" s="92"/>
      <c r="L15" s="96"/>
      <c r="M15" s="96"/>
      <c r="N15" s="96"/>
      <c r="O15" s="96"/>
      <c r="P15" s="96"/>
      <c r="Q15" s="96"/>
      <c r="R15" s="96"/>
      <c r="S15" s="96"/>
      <c r="T15" s="97"/>
      <c r="U15" s="89"/>
      <c r="V15" s="96"/>
      <c r="W15" s="96"/>
      <c r="X15" s="96"/>
      <c r="Y15" s="96"/>
      <c r="Z15" s="96"/>
      <c r="AA15" s="96"/>
      <c r="AB15" s="96"/>
      <c r="AC15" s="96"/>
      <c r="AD15" s="97"/>
      <c r="AE15" s="98"/>
      <c r="AF15" s="96"/>
      <c r="AG15" s="96"/>
      <c r="AH15" s="96"/>
      <c r="AI15" s="96"/>
      <c r="AJ15" s="96"/>
      <c r="AK15" s="96"/>
      <c r="AL15" s="96"/>
      <c r="AM15" s="96"/>
      <c r="AN15" s="97"/>
      <c r="AO15" s="97"/>
      <c r="AP15" s="96"/>
      <c r="AQ15" s="96"/>
      <c r="AR15" s="96"/>
      <c r="AS15" s="96"/>
      <c r="AT15" s="96"/>
      <c r="AU15" s="96"/>
      <c r="AV15" s="96"/>
      <c r="AW15" s="96"/>
      <c r="AX15" s="97"/>
      <c r="AY15" s="92"/>
      <c r="AZ15" s="96"/>
      <c r="BA15" s="96"/>
      <c r="BB15" s="96"/>
      <c r="BC15" s="96"/>
      <c r="BD15" s="96"/>
      <c r="BE15" s="96"/>
      <c r="BF15" s="96"/>
      <c r="BG15" s="96"/>
      <c r="BH15" s="97"/>
      <c r="BI15" s="92"/>
      <c r="BJ15" s="96"/>
      <c r="BK15" s="96"/>
      <c r="BL15" s="96"/>
      <c r="BM15" s="96"/>
      <c r="BN15" s="96"/>
      <c r="BO15" s="96"/>
      <c r="BP15" s="96"/>
      <c r="BQ15" s="96"/>
      <c r="BR15" s="97"/>
      <c r="BS15" s="26"/>
      <c r="BT15" s="26"/>
    </row>
    <row r="16" spans="1:73" s="23" customFormat="1" ht="9" customHeight="1" x14ac:dyDescent="0.25">
      <c r="B16" s="116"/>
      <c r="C16" s="96"/>
      <c r="D16" s="96"/>
      <c r="E16" s="96"/>
      <c r="F16" s="96"/>
      <c r="G16" s="96"/>
      <c r="H16" s="96"/>
      <c r="I16" s="96"/>
      <c r="J16" s="97"/>
      <c r="K16" s="92"/>
      <c r="L16" s="96"/>
      <c r="M16" s="96"/>
      <c r="N16" s="96"/>
      <c r="O16" s="96"/>
      <c r="P16" s="96"/>
      <c r="Q16" s="96"/>
      <c r="R16" s="96"/>
      <c r="S16" s="96"/>
      <c r="T16" s="97"/>
      <c r="U16" s="89"/>
      <c r="V16" s="96"/>
      <c r="W16" s="96"/>
      <c r="X16" s="96"/>
      <c r="Y16" s="96"/>
      <c r="Z16" s="96"/>
      <c r="AA16" s="96"/>
      <c r="AB16" s="96"/>
      <c r="AC16" s="96"/>
      <c r="AD16" s="97"/>
      <c r="AE16" s="98"/>
      <c r="AF16" s="96"/>
      <c r="AG16" s="96"/>
      <c r="AH16" s="96"/>
      <c r="AI16" s="96"/>
      <c r="AJ16" s="96"/>
      <c r="AK16" s="96"/>
      <c r="AL16" s="96"/>
      <c r="AM16" s="96"/>
      <c r="AN16" s="97"/>
      <c r="AO16" s="97"/>
      <c r="AP16" s="96"/>
      <c r="AQ16" s="96"/>
      <c r="AR16" s="96"/>
      <c r="AS16" s="96"/>
      <c r="AT16" s="96"/>
      <c r="AU16" s="96"/>
      <c r="AV16" s="96"/>
      <c r="AW16" s="96"/>
      <c r="AX16" s="97"/>
      <c r="AY16" s="92"/>
      <c r="AZ16" s="96"/>
      <c r="BA16" s="96"/>
      <c r="BB16" s="96"/>
      <c r="BC16" s="96"/>
      <c r="BD16" s="96"/>
      <c r="BE16" s="96"/>
      <c r="BF16" s="96"/>
      <c r="BG16" s="96"/>
      <c r="BH16" s="97"/>
      <c r="BI16" s="92"/>
      <c r="BJ16" s="96"/>
      <c r="BK16" s="96"/>
      <c r="BL16" s="96"/>
      <c r="BM16" s="96"/>
      <c r="BN16" s="96"/>
      <c r="BO16" s="96"/>
      <c r="BP16" s="96"/>
      <c r="BQ16" s="96"/>
      <c r="BR16" s="97"/>
      <c r="BS16" s="26"/>
      <c r="BT16" s="26"/>
    </row>
    <row r="17" spans="1:72" s="23" customFormat="1" ht="9" customHeight="1" x14ac:dyDescent="0.25">
      <c r="B17" s="116"/>
      <c r="C17" s="96"/>
      <c r="D17" s="96"/>
      <c r="E17" s="96"/>
      <c r="F17" s="96"/>
      <c r="G17" s="96"/>
      <c r="H17" s="96"/>
      <c r="I17" s="96"/>
      <c r="J17" s="97"/>
      <c r="K17" s="92"/>
      <c r="L17" s="96"/>
      <c r="M17" s="96"/>
      <c r="N17" s="96"/>
      <c r="O17" s="96"/>
      <c r="P17" s="96"/>
      <c r="Q17" s="96"/>
      <c r="R17" s="96"/>
      <c r="S17" s="96"/>
      <c r="T17" s="97"/>
      <c r="U17" s="89"/>
      <c r="V17" s="96"/>
      <c r="W17" s="96"/>
      <c r="X17" s="96"/>
      <c r="Y17" s="96"/>
      <c r="Z17" s="96"/>
      <c r="AA17" s="96"/>
      <c r="AB17" s="96"/>
      <c r="AC17" s="96"/>
      <c r="AD17" s="97"/>
      <c r="AE17" s="98"/>
      <c r="AF17" s="96"/>
      <c r="AG17" s="96"/>
      <c r="AH17" s="96"/>
      <c r="AI17" s="96"/>
      <c r="AJ17" s="96"/>
      <c r="AK17" s="96"/>
      <c r="AL17" s="96"/>
      <c r="AM17" s="96"/>
      <c r="AN17" s="97"/>
      <c r="AO17" s="97"/>
      <c r="AP17" s="96"/>
      <c r="AQ17" s="96"/>
      <c r="AR17" s="96"/>
      <c r="AS17" s="96"/>
      <c r="AT17" s="96"/>
      <c r="AU17" s="96"/>
      <c r="AV17" s="96"/>
      <c r="AW17" s="96"/>
      <c r="AX17" s="97"/>
      <c r="AY17" s="92"/>
      <c r="AZ17" s="96"/>
      <c r="BA17" s="96"/>
      <c r="BB17" s="96"/>
      <c r="BC17" s="96"/>
      <c r="BD17" s="96"/>
      <c r="BE17" s="96"/>
      <c r="BF17" s="96"/>
      <c r="BG17" s="96"/>
      <c r="BH17" s="97"/>
      <c r="BI17" s="92"/>
      <c r="BJ17" s="96"/>
      <c r="BK17" s="96"/>
      <c r="BL17" s="96"/>
      <c r="BM17" s="96"/>
      <c r="BN17" s="96"/>
      <c r="BO17" s="96"/>
      <c r="BP17" s="96"/>
      <c r="BQ17" s="96"/>
      <c r="BR17" s="97"/>
      <c r="BS17" s="26"/>
      <c r="BT17" s="26"/>
    </row>
    <row r="18" spans="1:72" s="23" customFormat="1" ht="9" customHeight="1" x14ac:dyDescent="0.25">
      <c r="B18" s="88"/>
      <c r="C18" s="87"/>
      <c r="D18" s="87"/>
      <c r="E18" s="87"/>
      <c r="F18" s="87"/>
      <c r="G18" s="87"/>
      <c r="H18" s="87"/>
      <c r="I18" s="87"/>
      <c r="J18" s="89"/>
      <c r="K18" s="92"/>
      <c r="L18" s="87"/>
      <c r="M18" s="87"/>
      <c r="N18" s="87"/>
      <c r="O18" s="87"/>
      <c r="P18" s="87"/>
      <c r="Q18" s="87"/>
      <c r="R18" s="87"/>
      <c r="S18" s="87"/>
      <c r="T18" s="89"/>
      <c r="U18" s="89"/>
      <c r="V18" s="87"/>
      <c r="W18" s="87"/>
      <c r="X18" s="87"/>
      <c r="Y18" s="87"/>
      <c r="Z18" s="87"/>
      <c r="AA18" s="87"/>
      <c r="AB18" s="87"/>
      <c r="AC18" s="87"/>
      <c r="AD18" s="89"/>
      <c r="AE18" s="92"/>
      <c r="AF18" s="87"/>
      <c r="AG18" s="87"/>
      <c r="AH18" s="87"/>
      <c r="AI18" s="87"/>
      <c r="AJ18" s="87"/>
      <c r="AK18" s="87"/>
      <c r="AL18" s="87"/>
      <c r="AM18" s="87"/>
      <c r="AN18" s="89"/>
      <c r="AO18" s="89"/>
      <c r="AP18" s="539" t="s">
        <v>734</v>
      </c>
      <c r="AQ18" s="540"/>
      <c r="AR18" s="540"/>
      <c r="AS18" s="540"/>
      <c r="AT18" s="540"/>
      <c r="AU18" s="540"/>
      <c r="AV18" s="540"/>
      <c r="AW18" s="540"/>
      <c r="AX18" s="541"/>
      <c r="AY18" s="92"/>
      <c r="AZ18" s="539" t="s">
        <v>734</v>
      </c>
      <c r="BA18" s="540"/>
      <c r="BB18" s="540"/>
      <c r="BC18" s="540"/>
      <c r="BD18" s="540"/>
      <c r="BE18" s="540"/>
      <c r="BF18" s="540"/>
      <c r="BG18" s="540"/>
      <c r="BH18" s="541"/>
      <c r="BI18" s="92"/>
      <c r="BJ18" s="539" t="s">
        <v>734</v>
      </c>
      <c r="BK18" s="540"/>
      <c r="BL18" s="540"/>
      <c r="BM18" s="540"/>
      <c r="BN18" s="540"/>
      <c r="BO18" s="540"/>
      <c r="BP18" s="540"/>
      <c r="BQ18" s="540"/>
      <c r="BR18" s="541"/>
      <c r="BS18" s="26"/>
      <c r="BT18" s="26"/>
    </row>
    <row r="19" spans="1:72" s="23" customFormat="1" ht="9" customHeight="1" x14ac:dyDescent="0.25">
      <c r="B19" s="492" t="s">
        <v>408</v>
      </c>
      <c r="C19" s="492"/>
      <c r="D19" s="492"/>
      <c r="E19" s="492"/>
      <c r="F19" s="492"/>
      <c r="G19" s="493">
        <f>CEILING(1058*B5,1)</f>
        <v>1482</v>
      </c>
      <c r="H19" s="493"/>
      <c r="I19" s="493"/>
      <c r="J19" s="493"/>
      <c r="K19" s="223"/>
      <c r="L19" s="492" t="s">
        <v>408</v>
      </c>
      <c r="M19" s="492"/>
      <c r="N19" s="492"/>
      <c r="O19" s="492"/>
      <c r="P19" s="492"/>
      <c r="Q19" s="493">
        <f>CEILING(1628*B5,1)</f>
        <v>2280</v>
      </c>
      <c r="R19" s="493"/>
      <c r="S19" s="493"/>
      <c r="T19" s="493"/>
      <c r="U19" s="223"/>
      <c r="V19" s="492" t="s">
        <v>408</v>
      </c>
      <c r="W19" s="492"/>
      <c r="X19" s="492"/>
      <c r="Y19" s="492"/>
      <c r="Z19" s="492"/>
      <c r="AA19" s="493">
        <f>CEILING(2012*B5,1)</f>
        <v>2817</v>
      </c>
      <c r="AB19" s="493"/>
      <c r="AC19" s="493"/>
      <c r="AD19" s="493"/>
      <c r="AE19" s="223"/>
      <c r="AF19" s="492" t="s">
        <v>408</v>
      </c>
      <c r="AG19" s="492"/>
      <c r="AH19" s="492"/>
      <c r="AI19" s="492"/>
      <c r="AJ19" s="492"/>
      <c r="AK19" s="493">
        <f>CEILING(2479*B5,1)</f>
        <v>3471</v>
      </c>
      <c r="AL19" s="493"/>
      <c r="AM19" s="493"/>
      <c r="AN19" s="493"/>
      <c r="AO19" s="223"/>
      <c r="AP19" s="492" t="s">
        <v>408</v>
      </c>
      <c r="AQ19" s="492"/>
      <c r="AR19" s="492"/>
      <c r="AS19" s="492"/>
      <c r="AT19" s="492"/>
      <c r="AU19" s="493">
        <f>CEILING(1127*B5,1)</f>
        <v>1578</v>
      </c>
      <c r="AV19" s="493"/>
      <c r="AW19" s="493"/>
      <c r="AX19" s="493"/>
      <c r="AY19" s="223"/>
      <c r="AZ19" s="492" t="s">
        <v>408</v>
      </c>
      <c r="BA19" s="492"/>
      <c r="BB19" s="492"/>
      <c r="BC19" s="492"/>
      <c r="BD19" s="492"/>
      <c r="BE19" s="493">
        <f>CEILING(1207*B5,1)</f>
        <v>1690</v>
      </c>
      <c r="BF19" s="493"/>
      <c r="BG19" s="493"/>
      <c r="BH19" s="493"/>
      <c r="BI19" s="223"/>
      <c r="BJ19" s="492" t="s">
        <v>408</v>
      </c>
      <c r="BK19" s="492"/>
      <c r="BL19" s="492"/>
      <c r="BM19" s="492"/>
      <c r="BN19" s="492"/>
      <c r="BO19" s="493">
        <f>CEILING(1434*B5,1)</f>
        <v>2008</v>
      </c>
      <c r="BP19" s="493"/>
      <c r="BQ19" s="493"/>
      <c r="BR19" s="493"/>
      <c r="BS19" s="26"/>
      <c r="BT19" s="26"/>
    </row>
    <row r="20" spans="1:72" s="23" customFormat="1" ht="1.5" customHeight="1" x14ac:dyDescent="0.25"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201"/>
      <c r="Z20" s="201"/>
      <c r="AA20" s="201"/>
      <c r="AB20" s="201"/>
      <c r="AC20" s="201"/>
      <c r="AD20" s="201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201"/>
      <c r="AR20" s="201"/>
      <c r="AS20" s="201"/>
      <c r="AT20" s="201"/>
      <c r="AU20" s="201"/>
      <c r="AV20" s="201"/>
      <c r="AW20" s="201"/>
      <c r="AX20" s="201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26"/>
      <c r="BT20" s="26"/>
    </row>
    <row r="21" spans="1:72" s="23" customFormat="1" ht="9" customHeight="1" x14ac:dyDescent="0.25">
      <c r="B21" s="474" t="s">
        <v>361</v>
      </c>
      <c r="C21" s="475"/>
      <c r="D21" s="476"/>
      <c r="E21" s="505" t="s">
        <v>396</v>
      </c>
      <c r="F21" s="505"/>
      <c r="G21" s="505"/>
      <c r="H21" s="505"/>
      <c r="I21" s="505"/>
      <c r="J21" s="506"/>
      <c r="K21" s="87"/>
      <c r="L21" s="474" t="s">
        <v>362</v>
      </c>
      <c r="M21" s="475"/>
      <c r="N21" s="476"/>
      <c r="O21" s="505" t="s">
        <v>396</v>
      </c>
      <c r="P21" s="505"/>
      <c r="Q21" s="505"/>
      <c r="R21" s="505"/>
      <c r="S21" s="505"/>
      <c r="T21" s="506"/>
      <c r="U21" s="87"/>
      <c r="V21" s="474" t="s">
        <v>363</v>
      </c>
      <c r="W21" s="475"/>
      <c r="X21" s="476"/>
      <c r="Y21" s="505" t="s">
        <v>396</v>
      </c>
      <c r="Z21" s="505"/>
      <c r="AA21" s="505"/>
      <c r="AB21" s="505"/>
      <c r="AC21" s="505"/>
      <c r="AD21" s="506"/>
      <c r="AE21" s="87"/>
      <c r="AF21" s="474" t="s">
        <v>364</v>
      </c>
      <c r="AG21" s="475"/>
      <c r="AH21" s="476"/>
      <c r="AI21" s="505" t="s">
        <v>396</v>
      </c>
      <c r="AJ21" s="505"/>
      <c r="AK21" s="505"/>
      <c r="AL21" s="505"/>
      <c r="AM21" s="505"/>
      <c r="AN21" s="506"/>
      <c r="AO21" s="87"/>
      <c r="AP21" s="474" t="s">
        <v>365</v>
      </c>
      <c r="AQ21" s="475"/>
      <c r="AR21" s="476"/>
      <c r="AS21" s="505" t="s">
        <v>396</v>
      </c>
      <c r="AT21" s="505"/>
      <c r="AU21" s="505"/>
      <c r="AV21" s="505"/>
      <c r="AW21" s="505"/>
      <c r="AX21" s="506"/>
      <c r="AY21" s="87"/>
      <c r="AZ21" s="474" t="s">
        <v>366</v>
      </c>
      <c r="BA21" s="475"/>
      <c r="BB21" s="476"/>
      <c r="BC21" s="505" t="s">
        <v>396</v>
      </c>
      <c r="BD21" s="505"/>
      <c r="BE21" s="505"/>
      <c r="BF21" s="505"/>
      <c r="BG21" s="505"/>
      <c r="BH21" s="506"/>
      <c r="BI21" s="87"/>
      <c r="BJ21" s="474" t="s">
        <v>367</v>
      </c>
      <c r="BK21" s="475"/>
      <c r="BL21" s="476"/>
      <c r="BM21" s="505" t="s">
        <v>396</v>
      </c>
      <c r="BN21" s="505"/>
      <c r="BO21" s="505"/>
      <c r="BP21" s="505"/>
      <c r="BQ21" s="505"/>
      <c r="BR21" s="506"/>
      <c r="BS21" s="26"/>
      <c r="BT21" s="26"/>
    </row>
    <row r="22" spans="1:72" s="32" customFormat="1" ht="9" customHeight="1" x14ac:dyDescent="0.25">
      <c r="B22" s="489" t="s">
        <v>605</v>
      </c>
      <c r="C22" s="490"/>
      <c r="D22" s="490"/>
      <c r="E22" s="490"/>
      <c r="F22" s="490"/>
      <c r="G22" s="490"/>
      <c r="H22" s="490"/>
      <c r="I22" s="490"/>
      <c r="J22" s="491"/>
      <c r="K22" s="90"/>
      <c r="L22" s="489" t="s">
        <v>605</v>
      </c>
      <c r="M22" s="490"/>
      <c r="N22" s="490"/>
      <c r="O22" s="490"/>
      <c r="P22" s="490"/>
      <c r="Q22" s="490"/>
      <c r="R22" s="490"/>
      <c r="S22" s="490"/>
      <c r="T22" s="491"/>
      <c r="U22" s="100"/>
      <c r="V22" s="489" t="s">
        <v>605</v>
      </c>
      <c r="W22" s="490"/>
      <c r="X22" s="490"/>
      <c r="Y22" s="490"/>
      <c r="Z22" s="490"/>
      <c r="AA22" s="490"/>
      <c r="AB22" s="490"/>
      <c r="AC22" s="490"/>
      <c r="AD22" s="491"/>
      <c r="AE22" s="90"/>
      <c r="AF22" s="489" t="s">
        <v>605</v>
      </c>
      <c r="AG22" s="490"/>
      <c r="AH22" s="490"/>
      <c r="AI22" s="490"/>
      <c r="AJ22" s="490"/>
      <c r="AK22" s="490"/>
      <c r="AL22" s="490"/>
      <c r="AM22" s="490"/>
      <c r="AN22" s="491"/>
      <c r="AO22" s="100"/>
      <c r="AP22" s="489" t="s">
        <v>605</v>
      </c>
      <c r="AQ22" s="490"/>
      <c r="AR22" s="490"/>
      <c r="AS22" s="490"/>
      <c r="AT22" s="490"/>
      <c r="AU22" s="490"/>
      <c r="AV22" s="490"/>
      <c r="AW22" s="490"/>
      <c r="AX22" s="491"/>
      <c r="AY22" s="90"/>
      <c r="AZ22" s="489" t="s">
        <v>605</v>
      </c>
      <c r="BA22" s="490"/>
      <c r="BB22" s="490"/>
      <c r="BC22" s="490"/>
      <c r="BD22" s="490"/>
      <c r="BE22" s="490"/>
      <c r="BF22" s="490"/>
      <c r="BG22" s="490"/>
      <c r="BH22" s="491"/>
      <c r="BI22" s="100"/>
      <c r="BJ22" s="489" t="s">
        <v>605</v>
      </c>
      <c r="BK22" s="490"/>
      <c r="BL22" s="490"/>
      <c r="BM22" s="490"/>
      <c r="BN22" s="490"/>
      <c r="BO22" s="490"/>
      <c r="BP22" s="490"/>
      <c r="BQ22" s="490"/>
      <c r="BR22" s="491"/>
      <c r="BS22" s="42"/>
      <c r="BT22" s="42"/>
    </row>
    <row r="23" spans="1:72" s="23" customFormat="1" ht="9" customHeight="1" x14ac:dyDescent="0.25">
      <c r="A23" s="30"/>
      <c r="B23" s="88"/>
      <c r="C23" s="87"/>
      <c r="D23" s="87"/>
      <c r="E23" s="87"/>
      <c r="F23" s="87"/>
      <c r="G23" s="87"/>
      <c r="H23" s="87"/>
      <c r="I23" s="87"/>
      <c r="J23" s="89"/>
      <c r="K23" s="87"/>
      <c r="L23" s="88"/>
      <c r="M23" s="87"/>
      <c r="N23" s="87"/>
      <c r="O23" s="87"/>
      <c r="P23" s="87"/>
      <c r="Q23" s="87"/>
      <c r="R23" s="87"/>
      <c r="S23" s="87"/>
      <c r="T23" s="89"/>
      <c r="U23" s="92"/>
      <c r="V23" s="87"/>
      <c r="W23" s="87"/>
      <c r="X23" s="87"/>
      <c r="Y23" s="87"/>
      <c r="Z23" s="87"/>
      <c r="AA23" s="87"/>
      <c r="AB23" s="87"/>
      <c r="AC23" s="87"/>
      <c r="AD23" s="89"/>
      <c r="AE23" s="87"/>
      <c r="AF23" s="88"/>
      <c r="AG23" s="87"/>
      <c r="AH23" s="87"/>
      <c r="AI23" s="87"/>
      <c r="AJ23" s="87"/>
      <c r="AK23" s="87"/>
      <c r="AL23" s="87"/>
      <c r="AM23" s="87"/>
      <c r="AN23" s="89"/>
      <c r="AO23" s="92"/>
      <c r="AP23" s="87"/>
      <c r="AQ23" s="87"/>
      <c r="AR23" s="87"/>
      <c r="AS23" s="87"/>
      <c r="AT23" s="87"/>
      <c r="AU23" s="87"/>
      <c r="AV23" s="87"/>
      <c r="AW23" s="87"/>
      <c r="AX23" s="89"/>
      <c r="AY23" s="87"/>
      <c r="AZ23" s="88"/>
      <c r="BA23" s="87"/>
      <c r="BB23" s="87"/>
      <c r="BC23" s="87"/>
      <c r="BD23" s="87"/>
      <c r="BE23" s="87"/>
      <c r="BF23" s="87"/>
      <c r="BG23" s="87"/>
      <c r="BH23" s="89"/>
      <c r="BI23" s="92"/>
      <c r="BJ23" s="87"/>
      <c r="BK23" s="87"/>
      <c r="BL23" s="87"/>
      <c r="BM23" s="87"/>
      <c r="BN23" s="87"/>
      <c r="BO23" s="87"/>
      <c r="BP23" s="87"/>
      <c r="BQ23" s="87"/>
      <c r="BR23" s="89"/>
      <c r="BS23" s="26"/>
      <c r="BT23" s="26"/>
    </row>
    <row r="24" spans="1:72" s="23" customFormat="1" ht="9" customHeight="1" x14ac:dyDescent="0.25">
      <c r="A24" s="30"/>
      <c r="B24" s="88"/>
      <c r="C24" s="87"/>
      <c r="D24" s="87"/>
      <c r="E24" s="87"/>
      <c r="F24" s="87"/>
      <c r="G24" s="87"/>
      <c r="H24" s="87"/>
      <c r="I24" s="87"/>
      <c r="J24" s="89"/>
      <c r="K24" s="87"/>
      <c r="L24" s="88"/>
      <c r="M24" s="87"/>
      <c r="N24" s="87"/>
      <c r="O24" s="87"/>
      <c r="P24" s="87"/>
      <c r="Q24" s="87"/>
      <c r="R24" s="87"/>
      <c r="S24" s="87"/>
      <c r="T24" s="89"/>
      <c r="U24" s="92"/>
      <c r="V24" s="87"/>
      <c r="W24" s="87"/>
      <c r="X24" s="87"/>
      <c r="Y24" s="87"/>
      <c r="Z24" s="87"/>
      <c r="AA24" s="87"/>
      <c r="AB24" s="87"/>
      <c r="AC24" s="87"/>
      <c r="AD24" s="89"/>
      <c r="AE24" s="87"/>
      <c r="AF24" s="88"/>
      <c r="AG24" s="87"/>
      <c r="AH24" s="87"/>
      <c r="AI24" s="87"/>
      <c r="AJ24" s="87"/>
      <c r="AK24" s="87"/>
      <c r="AL24" s="87"/>
      <c r="AM24" s="87"/>
      <c r="AN24" s="89"/>
      <c r="AO24" s="92"/>
      <c r="AP24" s="87"/>
      <c r="AQ24" s="87"/>
      <c r="AR24" s="87"/>
      <c r="AS24" s="87"/>
      <c r="AT24" s="87"/>
      <c r="AU24" s="87"/>
      <c r="AV24" s="87"/>
      <c r="AW24" s="87"/>
      <c r="AX24" s="89"/>
      <c r="AY24" s="87"/>
      <c r="AZ24" s="88"/>
      <c r="BA24" s="87"/>
      <c r="BB24" s="87"/>
      <c r="BC24" s="87"/>
      <c r="BD24" s="87"/>
      <c r="BE24" s="87"/>
      <c r="BF24" s="87"/>
      <c r="BG24" s="87"/>
      <c r="BH24" s="89"/>
      <c r="BI24" s="92"/>
      <c r="BJ24" s="87"/>
      <c r="BK24" s="87"/>
      <c r="BL24" s="87"/>
      <c r="BM24" s="87"/>
      <c r="BN24" s="87"/>
      <c r="BO24" s="87"/>
      <c r="BP24" s="87"/>
      <c r="BQ24" s="87"/>
      <c r="BR24" s="89"/>
      <c r="BS24" s="26"/>
      <c r="BT24" s="26"/>
    </row>
    <row r="25" spans="1:72" s="23" customFormat="1" ht="9.75" customHeight="1" x14ac:dyDescent="0.25">
      <c r="A25" s="30"/>
      <c r="B25" s="88"/>
      <c r="C25" s="87"/>
      <c r="D25" s="87"/>
      <c r="E25" s="87"/>
      <c r="F25" s="87"/>
      <c r="G25" s="87"/>
      <c r="H25" s="87"/>
      <c r="I25" s="87"/>
      <c r="J25" s="89"/>
      <c r="K25" s="87"/>
      <c r="L25" s="88"/>
      <c r="M25" s="87"/>
      <c r="N25" s="87"/>
      <c r="O25" s="87"/>
      <c r="P25" s="87"/>
      <c r="Q25" s="87"/>
      <c r="R25" s="87"/>
      <c r="S25" s="87"/>
      <c r="T25" s="89"/>
      <c r="U25" s="92"/>
      <c r="V25" s="87"/>
      <c r="W25" s="87"/>
      <c r="X25" s="87"/>
      <c r="Y25" s="87"/>
      <c r="Z25" s="87"/>
      <c r="AA25" s="87"/>
      <c r="AB25" s="87"/>
      <c r="AC25" s="87"/>
      <c r="AD25" s="89"/>
      <c r="AE25" s="87"/>
      <c r="AF25" s="88"/>
      <c r="AG25" s="87"/>
      <c r="AH25" s="87"/>
      <c r="AI25" s="87"/>
      <c r="AJ25" s="87"/>
      <c r="AK25" s="87"/>
      <c r="AL25" s="87"/>
      <c r="AM25" s="87"/>
      <c r="AN25" s="89"/>
      <c r="AO25" s="92"/>
      <c r="AP25" s="87"/>
      <c r="AQ25" s="87"/>
      <c r="AR25" s="87"/>
      <c r="AS25" s="87"/>
      <c r="AT25" s="87"/>
      <c r="AU25" s="87"/>
      <c r="AV25" s="87"/>
      <c r="AW25" s="87"/>
      <c r="AX25" s="89"/>
      <c r="AY25" s="87"/>
      <c r="AZ25" s="88"/>
      <c r="BA25" s="87"/>
      <c r="BB25" s="87"/>
      <c r="BC25" s="87"/>
      <c r="BD25" s="87"/>
      <c r="BE25" s="87"/>
      <c r="BF25" s="87"/>
      <c r="BG25" s="87"/>
      <c r="BH25" s="89"/>
      <c r="BI25" s="92"/>
      <c r="BJ25" s="87"/>
      <c r="BK25" s="87"/>
      <c r="BL25" s="87"/>
      <c r="BM25" s="87"/>
      <c r="BN25" s="87"/>
      <c r="BO25" s="87"/>
      <c r="BP25" s="87"/>
      <c r="BQ25" s="87"/>
      <c r="BR25" s="89"/>
      <c r="BS25" s="26"/>
      <c r="BT25" s="26"/>
    </row>
    <row r="26" spans="1:72" s="39" customFormat="1" ht="9" customHeight="1" x14ac:dyDescent="0.25">
      <c r="A26" s="37"/>
      <c r="B26" s="107"/>
      <c r="C26" s="106"/>
      <c r="D26" s="106"/>
      <c r="E26" s="106"/>
      <c r="F26" s="106"/>
      <c r="G26" s="106"/>
      <c r="H26" s="106"/>
      <c r="I26" s="106"/>
      <c r="J26" s="108"/>
      <c r="K26" s="106"/>
      <c r="L26" s="107"/>
      <c r="M26" s="106"/>
      <c r="N26" s="106"/>
      <c r="O26" s="106"/>
      <c r="P26" s="106"/>
      <c r="Q26" s="106"/>
      <c r="R26" s="106"/>
      <c r="S26" s="106"/>
      <c r="T26" s="108"/>
      <c r="U26" s="109"/>
      <c r="V26" s="106"/>
      <c r="W26" s="106"/>
      <c r="X26" s="106"/>
      <c r="Y26" s="106"/>
      <c r="Z26" s="106"/>
      <c r="AA26" s="106"/>
      <c r="AB26" s="106"/>
      <c r="AC26" s="106"/>
      <c r="AD26" s="108"/>
      <c r="AE26" s="106"/>
      <c r="AF26" s="107"/>
      <c r="AG26" s="106"/>
      <c r="AH26" s="106"/>
      <c r="AI26" s="106"/>
      <c r="AJ26" s="106"/>
      <c r="AK26" s="106"/>
      <c r="AL26" s="106"/>
      <c r="AM26" s="106"/>
      <c r="AN26" s="108"/>
      <c r="AO26" s="109"/>
      <c r="AP26" s="106"/>
      <c r="AQ26" s="106"/>
      <c r="AR26" s="106"/>
      <c r="AS26" s="106"/>
      <c r="AT26" s="106"/>
      <c r="AU26" s="106"/>
      <c r="AV26" s="106"/>
      <c r="AW26" s="106"/>
      <c r="AX26" s="108"/>
      <c r="AY26" s="106"/>
      <c r="AZ26" s="107"/>
      <c r="BA26" s="106"/>
      <c r="BB26" s="106"/>
      <c r="BC26" s="106"/>
      <c r="BD26" s="106"/>
      <c r="BE26" s="106"/>
      <c r="BF26" s="106"/>
      <c r="BG26" s="106"/>
      <c r="BH26" s="108"/>
      <c r="BI26" s="92"/>
      <c r="BJ26" s="106"/>
      <c r="BK26" s="106"/>
      <c r="BL26" s="106"/>
      <c r="BM26" s="106"/>
      <c r="BN26" s="106"/>
      <c r="BO26" s="106"/>
      <c r="BP26" s="106"/>
      <c r="BQ26" s="106"/>
      <c r="BR26" s="108"/>
      <c r="BS26" s="38"/>
      <c r="BT26" s="38"/>
    </row>
    <row r="27" spans="1:72" s="39" customFormat="1" ht="9" customHeight="1" x14ac:dyDescent="0.25">
      <c r="A27" s="37"/>
      <c r="B27" s="107"/>
      <c r="C27" s="106"/>
      <c r="D27" s="106"/>
      <c r="E27" s="106"/>
      <c r="F27" s="106"/>
      <c r="G27" s="106"/>
      <c r="H27" s="106"/>
      <c r="I27" s="106"/>
      <c r="J27" s="108"/>
      <c r="K27" s="106"/>
      <c r="L27" s="107"/>
      <c r="M27" s="106"/>
      <c r="N27" s="106"/>
      <c r="O27" s="106"/>
      <c r="P27" s="106"/>
      <c r="Q27" s="106"/>
      <c r="R27" s="106"/>
      <c r="S27" s="106"/>
      <c r="T27" s="108"/>
      <c r="U27" s="109"/>
      <c r="V27" s="106"/>
      <c r="W27" s="106"/>
      <c r="X27" s="106"/>
      <c r="Y27" s="106"/>
      <c r="Z27" s="106"/>
      <c r="AA27" s="106"/>
      <c r="AB27" s="106"/>
      <c r="AC27" s="106"/>
      <c r="AD27" s="108"/>
      <c r="AE27" s="106"/>
      <c r="AF27" s="107"/>
      <c r="AG27" s="106"/>
      <c r="AH27" s="106"/>
      <c r="AI27" s="106"/>
      <c r="AJ27" s="106"/>
      <c r="AK27" s="106"/>
      <c r="AL27" s="106"/>
      <c r="AM27" s="106"/>
      <c r="AN27" s="108"/>
      <c r="AO27" s="109"/>
      <c r="AP27" s="106"/>
      <c r="AQ27" s="106"/>
      <c r="AR27" s="106"/>
      <c r="AS27" s="106"/>
      <c r="AT27" s="106"/>
      <c r="AU27" s="106"/>
      <c r="AV27" s="106"/>
      <c r="AW27" s="106"/>
      <c r="AX27" s="108"/>
      <c r="AY27" s="106"/>
      <c r="AZ27" s="107"/>
      <c r="BA27" s="106"/>
      <c r="BB27" s="106"/>
      <c r="BC27" s="106"/>
      <c r="BD27" s="106"/>
      <c r="BE27" s="106"/>
      <c r="BF27" s="106"/>
      <c r="BG27" s="106"/>
      <c r="BH27" s="108"/>
      <c r="BI27" s="92"/>
      <c r="BJ27" s="106"/>
      <c r="BK27" s="106"/>
      <c r="BL27" s="106"/>
      <c r="BM27" s="106"/>
      <c r="BN27" s="106"/>
      <c r="BO27" s="106"/>
      <c r="BP27" s="106"/>
      <c r="BQ27" s="106"/>
      <c r="BR27" s="108"/>
      <c r="BS27" s="38"/>
      <c r="BT27" s="38"/>
    </row>
    <row r="28" spans="1:72" s="39" customFormat="1" ht="9" customHeight="1" x14ac:dyDescent="0.25">
      <c r="A28" s="37"/>
      <c r="B28" s="107"/>
      <c r="C28" s="106"/>
      <c r="D28" s="106"/>
      <c r="E28" s="106"/>
      <c r="F28" s="106"/>
      <c r="G28" s="106"/>
      <c r="H28" s="106"/>
      <c r="I28" s="106"/>
      <c r="J28" s="108"/>
      <c r="K28" s="106"/>
      <c r="L28" s="107"/>
      <c r="M28" s="106"/>
      <c r="N28" s="106"/>
      <c r="O28" s="106"/>
      <c r="P28" s="106"/>
      <c r="Q28" s="106"/>
      <c r="R28" s="106"/>
      <c r="S28" s="106"/>
      <c r="T28" s="108"/>
      <c r="U28" s="109"/>
      <c r="V28" s="106"/>
      <c r="W28" s="106"/>
      <c r="X28" s="106"/>
      <c r="Y28" s="106"/>
      <c r="Z28" s="106"/>
      <c r="AA28" s="106"/>
      <c r="AB28" s="106"/>
      <c r="AC28" s="106"/>
      <c r="AD28" s="108"/>
      <c r="AE28" s="106"/>
      <c r="AF28" s="107"/>
      <c r="AG28" s="106"/>
      <c r="AH28" s="106"/>
      <c r="AI28" s="106"/>
      <c r="AJ28" s="106"/>
      <c r="AK28" s="106"/>
      <c r="AL28" s="106"/>
      <c r="AM28" s="106"/>
      <c r="AN28" s="108"/>
      <c r="AO28" s="109"/>
      <c r="AP28" s="106"/>
      <c r="AQ28" s="106"/>
      <c r="AR28" s="106"/>
      <c r="AS28" s="106"/>
      <c r="AT28" s="106"/>
      <c r="AU28" s="106"/>
      <c r="AV28" s="106"/>
      <c r="AW28" s="106"/>
      <c r="AX28" s="108"/>
      <c r="AY28" s="106"/>
      <c r="AZ28" s="107"/>
      <c r="BA28" s="106"/>
      <c r="BB28" s="106"/>
      <c r="BC28" s="106"/>
      <c r="BD28" s="106"/>
      <c r="BE28" s="106"/>
      <c r="BF28" s="106"/>
      <c r="BG28" s="106"/>
      <c r="BH28" s="108"/>
      <c r="BI28" s="92"/>
      <c r="BJ28" s="106"/>
      <c r="BK28" s="106"/>
      <c r="BL28" s="106"/>
      <c r="BM28" s="106"/>
      <c r="BN28" s="106"/>
      <c r="BO28" s="106"/>
      <c r="BP28" s="106"/>
      <c r="BQ28" s="106"/>
      <c r="BR28" s="108"/>
      <c r="BS28" s="38"/>
      <c r="BT28" s="38"/>
    </row>
    <row r="29" spans="1:72" s="39" customFormat="1" ht="9" customHeight="1" x14ac:dyDescent="0.25">
      <c r="A29" s="37"/>
      <c r="B29" s="107"/>
      <c r="C29" s="106"/>
      <c r="D29" s="106"/>
      <c r="E29" s="106"/>
      <c r="F29" s="106"/>
      <c r="G29" s="106"/>
      <c r="H29" s="106"/>
      <c r="I29" s="106"/>
      <c r="J29" s="108"/>
      <c r="K29" s="106"/>
      <c r="L29" s="107"/>
      <c r="M29" s="106"/>
      <c r="N29" s="106"/>
      <c r="O29" s="106"/>
      <c r="P29" s="106"/>
      <c r="Q29" s="106"/>
      <c r="R29" s="106"/>
      <c r="S29" s="106"/>
      <c r="T29" s="108"/>
      <c r="U29" s="109"/>
      <c r="V29" s="106"/>
      <c r="W29" s="106"/>
      <c r="X29" s="106"/>
      <c r="Y29" s="106"/>
      <c r="Z29" s="106"/>
      <c r="AA29" s="106"/>
      <c r="AB29" s="106"/>
      <c r="AC29" s="106"/>
      <c r="AD29" s="108"/>
      <c r="AE29" s="106"/>
      <c r="AF29" s="107"/>
      <c r="AG29" s="106"/>
      <c r="AH29" s="106"/>
      <c r="AI29" s="106"/>
      <c r="AJ29" s="106"/>
      <c r="AK29" s="106"/>
      <c r="AL29" s="106"/>
      <c r="AM29" s="106"/>
      <c r="AN29" s="108"/>
      <c r="AO29" s="109"/>
      <c r="AP29" s="106"/>
      <c r="AQ29" s="106"/>
      <c r="AR29" s="106"/>
      <c r="AS29" s="106"/>
      <c r="AT29" s="106"/>
      <c r="AU29" s="106"/>
      <c r="AV29" s="106"/>
      <c r="AW29" s="106"/>
      <c r="AX29" s="108"/>
      <c r="AY29" s="106"/>
      <c r="AZ29" s="107"/>
      <c r="BA29" s="106"/>
      <c r="BB29" s="106"/>
      <c r="BC29" s="106"/>
      <c r="BD29" s="106"/>
      <c r="BE29" s="106"/>
      <c r="BF29" s="106"/>
      <c r="BG29" s="106"/>
      <c r="BH29" s="108"/>
      <c r="BI29" s="92"/>
      <c r="BJ29" s="106"/>
      <c r="BK29" s="106"/>
      <c r="BL29" s="106"/>
      <c r="BM29" s="106"/>
      <c r="BN29" s="106"/>
      <c r="BO29" s="106"/>
      <c r="BP29" s="106"/>
      <c r="BQ29" s="106"/>
      <c r="BR29" s="108"/>
      <c r="BS29" s="38"/>
      <c r="BT29" s="38"/>
    </row>
    <row r="30" spans="1:72" s="39" customFormat="1" ht="9" customHeight="1" x14ac:dyDescent="0.25">
      <c r="A30" s="37"/>
      <c r="B30" s="107"/>
      <c r="C30" s="106"/>
      <c r="D30" s="106"/>
      <c r="E30" s="106"/>
      <c r="F30" s="106"/>
      <c r="G30" s="106"/>
      <c r="H30" s="106"/>
      <c r="I30" s="106"/>
      <c r="J30" s="108"/>
      <c r="K30" s="106"/>
      <c r="L30" s="107"/>
      <c r="M30" s="106"/>
      <c r="N30" s="106"/>
      <c r="O30" s="106"/>
      <c r="P30" s="106"/>
      <c r="Q30" s="106"/>
      <c r="R30" s="106"/>
      <c r="S30" s="106"/>
      <c r="T30" s="108"/>
      <c r="U30" s="109"/>
      <c r="V30" s="106"/>
      <c r="W30" s="106"/>
      <c r="X30" s="106"/>
      <c r="Y30" s="106"/>
      <c r="Z30" s="106"/>
      <c r="AA30" s="106"/>
      <c r="AB30" s="106"/>
      <c r="AC30" s="106"/>
      <c r="AD30" s="108"/>
      <c r="AE30" s="106"/>
      <c r="AF30" s="107"/>
      <c r="AG30" s="106"/>
      <c r="AH30" s="106"/>
      <c r="AI30" s="106"/>
      <c r="AJ30" s="106"/>
      <c r="AK30" s="106"/>
      <c r="AL30" s="106"/>
      <c r="AM30" s="106"/>
      <c r="AN30" s="108"/>
      <c r="AO30" s="109"/>
      <c r="AP30" s="106"/>
      <c r="AQ30" s="106"/>
      <c r="AR30" s="106"/>
      <c r="AS30" s="106"/>
      <c r="AT30" s="106"/>
      <c r="AU30" s="106"/>
      <c r="AV30" s="106"/>
      <c r="AW30" s="106"/>
      <c r="AX30" s="108"/>
      <c r="AY30" s="106"/>
      <c r="AZ30" s="107"/>
      <c r="BA30" s="106"/>
      <c r="BB30" s="106"/>
      <c r="BC30" s="106"/>
      <c r="BD30" s="106"/>
      <c r="BE30" s="106"/>
      <c r="BF30" s="106"/>
      <c r="BG30" s="106"/>
      <c r="BH30" s="108"/>
      <c r="BI30" s="92"/>
      <c r="BJ30" s="106"/>
      <c r="BK30" s="106"/>
      <c r="BL30" s="106"/>
      <c r="BM30" s="106"/>
      <c r="BN30" s="106"/>
      <c r="BO30" s="106"/>
      <c r="BP30" s="106"/>
      <c r="BQ30" s="106"/>
      <c r="BR30" s="108"/>
      <c r="BS30" s="38"/>
      <c r="BT30" s="38"/>
    </row>
    <row r="31" spans="1:72" s="39" customFormat="1" ht="9" customHeight="1" x14ac:dyDescent="0.25">
      <c r="A31" s="37"/>
      <c r="B31" s="107"/>
      <c r="C31" s="106"/>
      <c r="D31" s="106"/>
      <c r="E31" s="106"/>
      <c r="F31" s="106"/>
      <c r="G31" s="540"/>
      <c r="H31" s="540"/>
      <c r="I31" s="540"/>
      <c r="J31" s="541"/>
      <c r="K31" s="106"/>
      <c r="L31" s="107"/>
      <c r="M31" s="106"/>
      <c r="N31" s="106"/>
      <c r="O31" s="106"/>
      <c r="P31" s="106"/>
      <c r="Q31" s="96"/>
      <c r="R31" s="96"/>
      <c r="S31" s="96"/>
      <c r="T31" s="97"/>
      <c r="U31" s="109"/>
      <c r="V31" s="106"/>
      <c r="W31" s="106"/>
      <c r="X31" s="106"/>
      <c r="Y31" s="106"/>
      <c r="Z31" s="106"/>
      <c r="AA31" s="106"/>
      <c r="AB31" s="106"/>
      <c r="AC31" s="106"/>
      <c r="AD31" s="108"/>
      <c r="AE31" s="106"/>
      <c r="AF31" s="107"/>
      <c r="AG31" s="106"/>
      <c r="AH31" s="106"/>
      <c r="AI31" s="106"/>
      <c r="AJ31" s="106"/>
      <c r="AK31" s="540"/>
      <c r="AL31" s="540"/>
      <c r="AM31" s="540"/>
      <c r="AN31" s="541"/>
      <c r="AO31" s="109"/>
      <c r="AP31" s="106"/>
      <c r="AQ31" s="106"/>
      <c r="AR31" s="106"/>
      <c r="AS31" s="106"/>
      <c r="AT31" s="106"/>
      <c r="AU31" s="106"/>
      <c r="AV31" s="106"/>
      <c r="AW31" s="106"/>
      <c r="AX31" s="108"/>
      <c r="AY31" s="106"/>
      <c r="AZ31" s="107"/>
      <c r="BA31" s="106"/>
      <c r="BB31" s="106"/>
      <c r="BC31" s="106"/>
      <c r="BD31" s="106"/>
      <c r="BE31" s="106"/>
      <c r="BF31" s="106"/>
      <c r="BG31" s="106"/>
      <c r="BH31" s="108"/>
      <c r="BI31" s="92"/>
      <c r="BJ31" s="106"/>
      <c r="BK31" s="106"/>
      <c r="BL31" s="106"/>
      <c r="BM31" s="106"/>
      <c r="BN31" s="106"/>
      <c r="BO31" s="106"/>
      <c r="BP31" s="106"/>
      <c r="BQ31" s="106"/>
      <c r="BR31" s="108"/>
      <c r="BS31" s="38"/>
      <c r="BT31" s="38"/>
    </row>
    <row r="32" spans="1:72" s="39" customFormat="1" ht="9" customHeight="1" x14ac:dyDescent="0.25">
      <c r="B32" s="492" t="s">
        <v>409</v>
      </c>
      <c r="C32" s="492"/>
      <c r="D32" s="492"/>
      <c r="E32" s="492"/>
      <c r="F32" s="492"/>
      <c r="G32" s="493">
        <f>CEILING(2012*B5,1)</f>
        <v>2817</v>
      </c>
      <c r="H32" s="493"/>
      <c r="I32" s="493"/>
      <c r="J32" s="493"/>
      <c r="K32" s="227"/>
      <c r="L32" s="492" t="s">
        <v>409</v>
      </c>
      <c r="M32" s="492"/>
      <c r="N32" s="492"/>
      <c r="O32" s="492"/>
      <c r="P32" s="492"/>
      <c r="Q32" s="493">
        <f>CEILING(2204*B5,1)</f>
        <v>3086</v>
      </c>
      <c r="R32" s="493"/>
      <c r="S32" s="493"/>
      <c r="T32" s="493"/>
      <c r="U32" s="227"/>
      <c r="V32" s="492" t="s">
        <v>409</v>
      </c>
      <c r="W32" s="492"/>
      <c r="X32" s="492"/>
      <c r="Y32" s="492"/>
      <c r="Z32" s="492"/>
      <c r="AA32" s="493">
        <f>CEILING(2308*B5,1)</f>
        <v>3232</v>
      </c>
      <c r="AB32" s="493"/>
      <c r="AC32" s="493"/>
      <c r="AD32" s="493"/>
      <c r="AE32" s="227"/>
      <c r="AF32" s="492" t="s">
        <v>409</v>
      </c>
      <c r="AG32" s="492"/>
      <c r="AH32" s="492"/>
      <c r="AI32" s="492"/>
      <c r="AJ32" s="492"/>
      <c r="AK32" s="493">
        <f>CEILING(2397*B5,1)</f>
        <v>3356</v>
      </c>
      <c r="AL32" s="493"/>
      <c r="AM32" s="493"/>
      <c r="AN32" s="493"/>
      <c r="AO32" s="227"/>
      <c r="AP32" s="492" t="s">
        <v>409</v>
      </c>
      <c r="AQ32" s="492"/>
      <c r="AR32" s="492"/>
      <c r="AS32" s="492"/>
      <c r="AT32" s="492"/>
      <c r="AU32" s="493">
        <f>CEILING(2149*B5,1)</f>
        <v>3009</v>
      </c>
      <c r="AV32" s="493"/>
      <c r="AW32" s="493"/>
      <c r="AX32" s="493"/>
      <c r="AY32" s="227"/>
      <c r="AZ32" s="492" t="s">
        <v>409</v>
      </c>
      <c r="BA32" s="492"/>
      <c r="BB32" s="492"/>
      <c r="BC32" s="492"/>
      <c r="BD32" s="492"/>
      <c r="BE32" s="493">
        <f>CEILING(2490*B5,1)</f>
        <v>3486</v>
      </c>
      <c r="BF32" s="493"/>
      <c r="BG32" s="493"/>
      <c r="BH32" s="493"/>
      <c r="BI32" s="223"/>
      <c r="BJ32" s="492" t="s">
        <v>409</v>
      </c>
      <c r="BK32" s="492"/>
      <c r="BL32" s="492"/>
      <c r="BM32" s="492"/>
      <c r="BN32" s="492"/>
      <c r="BO32" s="493">
        <f>CEILING(2763*B5,1)</f>
        <v>3869</v>
      </c>
      <c r="BP32" s="493"/>
      <c r="BQ32" s="493"/>
      <c r="BR32" s="493"/>
      <c r="BS32" s="38"/>
      <c r="BT32" s="38"/>
    </row>
    <row r="33" spans="1:72" s="39" customFormat="1" ht="9" customHeight="1" x14ac:dyDescent="0.25">
      <c r="A33" s="38"/>
      <c r="B33" s="492" t="s">
        <v>410</v>
      </c>
      <c r="C33" s="492"/>
      <c r="D33" s="492"/>
      <c r="E33" s="492"/>
      <c r="F33" s="492"/>
      <c r="G33" s="493">
        <f>CEILING(2376*B5,1)</f>
        <v>3327</v>
      </c>
      <c r="H33" s="493"/>
      <c r="I33" s="493"/>
      <c r="J33" s="493"/>
      <c r="K33" s="227"/>
      <c r="L33" s="492" t="s">
        <v>410</v>
      </c>
      <c r="M33" s="492"/>
      <c r="N33" s="492"/>
      <c r="O33" s="492"/>
      <c r="P33" s="492"/>
      <c r="Q33" s="493">
        <f>CEILING(2479*B5,1)</f>
        <v>3471</v>
      </c>
      <c r="R33" s="493"/>
      <c r="S33" s="493"/>
      <c r="T33" s="493"/>
      <c r="U33" s="227"/>
      <c r="V33" s="492" t="s">
        <v>410</v>
      </c>
      <c r="W33" s="492"/>
      <c r="X33" s="492"/>
      <c r="Y33" s="492"/>
      <c r="Z33" s="492"/>
      <c r="AA33" s="493">
        <f>CEILING(2534*B5,1)</f>
        <v>3548</v>
      </c>
      <c r="AB33" s="493"/>
      <c r="AC33" s="493"/>
      <c r="AD33" s="493"/>
      <c r="AE33" s="227"/>
      <c r="AF33" s="492" t="s">
        <v>410</v>
      </c>
      <c r="AG33" s="492"/>
      <c r="AH33" s="492"/>
      <c r="AI33" s="492"/>
      <c r="AJ33" s="492"/>
      <c r="AK33" s="493">
        <f>CEILING(2637*B5,1)</f>
        <v>3692</v>
      </c>
      <c r="AL33" s="493"/>
      <c r="AM33" s="493"/>
      <c r="AN33" s="493"/>
      <c r="AO33" s="227"/>
      <c r="AP33" s="492" t="s">
        <v>410</v>
      </c>
      <c r="AQ33" s="492"/>
      <c r="AR33" s="492"/>
      <c r="AS33" s="492"/>
      <c r="AT33" s="492"/>
      <c r="AU33" s="493">
        <f>CEILING(2569*B5,1)</f>
        <v>3597</v>
      </c>
      <c r="AV33" s="493"/>
      <c r="AW33" s="493"/>
      <c r="AX33" s="493"/>
      <c r="AY33" s="227"/>
      <c r="AZ33" s="492" t="s">
        <v>410</v>
      </c>
      <c r="BA33" s="492"/>
      <c r="BB33" s="492"/>
      <c r="BC33" s="492"/>
      <c r="BD33" s="492"/>
      <c r="BE33" s="493">
        <f>CEILING(2991*B5,1)</f>
        <v>4188</v>
      </c>
      <c r="BF33" s="493"/>
      <c r="BG33" s="493"/>
      <c r="BH33" s="493"/>
      <c r="BI33" s="227"/>
      <c r="BJ33" s="492" t="s">
        <v>410</v>
      </c>
      <c r="BK33" s="492"/>
      <c r="BL33" s="492"/>
      <c r="BM33" s="492"/>
      <c r="BN33" s="492"/>
      <c r="BO33" s="493">
        <f>CEILING(3317*B5,1)</f>
        <v>4644</v>
      </c>
      <c r="BP33" s="493"/>
      <c r="BQ33" s="493"/>
      <c r="BR33" s="493"/>
      <c r="BS33" s="38"/>
      <c r="BT33" s="38"/>
    </row>
    <row r="34" spans="1:72" s="23" customFormat="1" ht="1.5" customHeight="1" x14ac:dyDescent="0.25">
      <c r="A34" s="26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202"/>
      <c r="AL34" s="202"/>
      <c r="AM34" s="202"/>
      <c r="AN34" s="87"/>
      <c r="AO34" s="87"/>
      <c r="AP34" s="87"/>
      <c r="AQ34" s="202"/>
      <c r="AR34" s="202"/>
      <c r="AS34" s="202"/>
      <c r="AT34" s="202"/>
      <c r="AU34" s="202"/>
      <c r="AV34" s="202"/>
      <c r="AW34" s="202"/>
      <c r="AX34" s="202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112"/>
      <c r="BS34" s="26"/>
      <c r="BT34" s="26"/>
    </row>
    <row r="35" spans="1:72" s="39" customFormat="1" ht="9" customHeight="1" x14ac:dyDescent="0.25">
      <c r="A35" s="38"/>
      <c r="B35" s="474" t="s">
        <v>368</v>
      </c>
      <c r="C35" s="475"/>
      <c r="D35" s="476"/>
      <c r="E35" s="505" t="s">
        <v>396</v>
      </c>
      <c r="F35" s="505"/>
      <c r="G35" s="505"/>
      <c r="H35" s="505"/>
      <c r="I35" s="505"/>
      <c r="J35" s="506"/>
      <c r="K35" s="106"/>
      <c r="L35" s="474" t="s">
        <v>369</v>
      </c>
      <c r="M35" s="475"/>
      <c r="N35" s="476"/>
      <c r="O35" s="505" t="s">
        <v>396</v>
      </c>
      <c r="P35" s="505"/>
      <c r="Q35" s="505"/>
      <c r="R35" s="505"/>
      <c r="S35" s="505"/>
      <c r="T35" s="506"/>
      <c r="U35" s="106"/>
      <c r="V35" s="474" t="s">
        <v>370</v>
      </c>
      <c r="W35" s="475"/>
      <c r="X35" s="476"/>
      <c r="Y35" s="505" t="s">
        <v>332</v>
      </c>
      <c r="Z35" s="505"/>
      <c r="AA35" s="505"/>
      <c r="AB35" s="505"/>
      <c r="AC35" s="505"/>
      <c r="AD35" s="506"/>
      <c r="AE35" s="106"/>
      <c r="AF35" s="474" t="s">
        <v>371</v>
      </c>
      <c r="AG35" s="475"/>
      <c r="AH35" s="476"/>
      <c r="AI35" s="505" t="s">
        <v>332</v>
      </c>
      <c r="AJ35" s="505"/>
      <c r="AK35" s="505"/>
      <c r="AL35" s="505"/>
      <c r="AM35" s="505"/>
      <c r="AN35" s="506"/>
      <c r="AO35" s="106"/>
      <c r="AP35" s="474" t="s">
        <v>372</v>
      </c>
      <c r="AQ35" s="475"/>
      <c r="AR35" s="476"/>
      <c r="AS35" s="505" t="s">
        <v>332</v>
      </c>
      <c r="AT35" s="505"/>
      <c r="AU35" s="505"/>
      <c r="AV35" s="505"/>
      <c r="AW35" s="505"/>
      <c r="AX35" s="506"/>
      <c r="AY35" s="108"/>
      <c r="AZ35" s="474" t="s">
        <v>373</v>
      </c>
      <c r="BA35" s="475"/>
      <c r="BB35" s="476"/>
      <c r="BC35" s="505" t="s">
        <v>332</v>
      </c>
      <c r="BD35" s="505"/>
      <c r="BE35" s="505"/>
      <c r="BF35" s="505"/>
      <c r="BG35" s="505"/>
      <c r="BH35" s="506"/>
      <c r="BI35" s="106"/>
      <c r="BJ35" s="474" t="s">
        <v>374</v>
      </c>
      <c r="BK35" s="475"/>
      <c r="BL35" s="476"/>
      <c r="BM35" s="505" t="s">
        <v>332</v>
      </c>
      <c r="BN35" s="505"/>
      <c r="BO35" s="505"/>
      <c r="BP35" s="505"/>
      <c r="BQ35" s="505"/>
      <c r="BR35" s="506"/>
      <c r="BS35" s="38"/>
      <c r="BT35" s="38"/>
    </row>
    <row r="36" spans="1:72" s="32" customFormat="1" ht="9" customHeight="1" x14ac:dyDescent="0.25">
      <c r="B36" s="489" t="s">
        <v>605</v>
      </c>
      <c r="C36" s="490"/>
      <c r="D36" s="490"/>
      <c r="E36" s="490"/>
      <c r="F36" s="490"/>
      <c r="G36" s="490"/>
      <c r="H36" s="490"/>
      <c r="I36" s="490"/>
      <c r="J36" s="491"/>
      <c r="K36" s="90"/>
      <c r="L36" s="489" t="s">
        <v>605</v>
      </c>
      <c r="M36" s="490"/>
      <c r="N36" s="490"/>
      <c r="O36" s="490"/>
      <c r="P36" s="490"/>
      <c r="Q36" s="490"/>
      <c r="R36" s="490"/>
      <c r="S36" s="490"/>
      <c r="T36" s="491"/>
      <c r="U36" s="90"/>
      <c r="V36" s="116"/>
      <c r="W36" s="96"/>
      <c r="X36" s="96"/>
      <c r="Y36" s="96"/>
      <c r="Z36" s="96"/>
      <c r="AA36" s="96"/>
      <c r="AB36" s="96"/>
      <c r="AC36" s="96"/>
      <c r="AD36" s="97"/>
      <c r="AE36" s="90"/>
      <c r="AF36" s="116"/>
      <c r="AG36" s="96"/>
      <c r="AH36" s="96"/>
      <c r="AI36" s="96"/>
      <c r="AJ36" s="96"/>
      <c r="AK36" s="96"/>
      <c r="AL36" s="96"/>
      <c r="AM36" s="96"/>
      <c r="AN36" s="97"/>
      <c r="AO36" s="90"/>
      <c r="AP36" s="116"/>
      <c r="AQ36" s="96"/>
      <c r="AR36" s="96"/>
      <c r="AS36" s="96"/>
      <c r="AT36" s="96"/>
      <c r="AU36" s="96"/>
      <c r="AV36" s="96"/>
      <c r="AW36" s="96"/>
      <c r="AX36" s="97"/>
      <c r="AY36" s="91"/>
      <c r="AZ36" s="116"/>
      <c r="BA36" s="96"/>
      <c r="BB36" s="96"/>
      <c r="BC36" s="96"/>
      <c r="BD36" s="96"/>
      <c r="BE36" s="96"/>
      <c r="BF36" s="96"/>
      <c r="BG36" s="96"/>
      <c r="BH36" s="97"/>
      <c r="BI36" s="90"/>
      <c r="BJ36" s="116"/>
      <c r="BK36" s="96"/>
      <c r="BL36" s="96"/>
      <c r="BM36" s="96"/>
      <c r="BN36" s="96"/>
      <c r="BO36" s="96"/>
      <c r="BP36" s="96"/>
      <c r="BQ36" s="96"/>
      <c r="BR36" s="97"/>
      <c r="BS36" s="34"/>
      <c r="BT36" s="34"/>
    </row>
    <row r="37" spans="1:72" s="23" customFormat="1" ht="9" customHeight="1" x14ac:dyDescent="0.25">
      <c r="B37" s="88"/>
      <c r="C37" s="87"/>
      <c r="D37" s="87"/>
      <c r="E37" s="87"/>
      <c r="F37" s="87"/>
      <c r="G37" s="87"/>
      <c r="H37" s="87"/>
      <c r="I37" s="87"/>
      <c r="J37" s="89"/>
      <c r="K37" s="87"/>
      <c r="L37" s="88"/>
      <c r="M37" s="87"/>
      <c r="N37" s="87"/>
      <c r="O37" s="87"/>
      <c r="P37" s="87"/>
      <c r="Q37" s="87"/>
      <c r="R37" s="87"/>
      <c r="S37" s="87"/>
      <c r="T37" s="89"/>
      <c r="U37" s="87"/>
      <c r="V37" s="103"/>
      <c r="W37" s="90"/>
      <c r="X37" s="90"/>
      <c r="Y37" s="90"/>
      <c r="Z37" s="90"/>
      <c r="AA37" s="90"/>
      <c r="AB37" s="90"/>
      <c r="AC37" s="90"/>
      <c r="AD37" s="91"/>
      <c r="AE37" s="87"/>
      <c r="AF37" s="103"/>
      <c r="AG37" s="90"/>
      <c r="AH37" s="90"/>
      <c r="AI37" s="90"/>
      <c r="AJ37" s="90"/>
      <c r="AK37" s="90"/>
      <c r="AL37" s="90"/>
      <c r="AM37" s="90"/>
      <c r="AN37" s="91"/>
      <c r="AO37" s="89"/>
      <c r="AP37" s="103"/>
      <c r="AQ37" s="90"/>
      <c r="AR37" s="90"/>
      <c r="AS37" s="90"/>
      <c r="AT37" s="90"/>
      <c r="AU37" s="90"/>
      <c r="AV37" s="90"/>
      <c r="AW37" s="90"/>
      <c r="AX37" s="91"/>
      <c r="AY37" s="89"/>
      <c r="AZ37" s="103"/>
      <c r="BA37" s="90"/>
      <c r="BB37" s="90"/>
      <c r="BC37" s="90"/>
      <c r="BD37" s="90"/>
      <c r="BE37" s="90"/>
      <c r="BF37" s="90"/>
      <c r="BG37" s="90"/>
      <c r="BH37" s="91"/>
      <c r="BI37" s="87"/>
      <c r="BJ37" s="103"/>
      <c r="BK37" s="90"/>
      <c r="BL37" s="90"/>
      <c r="BM37" s="90"/>
      <c r="BN37" s="90"/>
      <c r="BO37" s="90"/>
      <c r="BP37" s="90"/>
      <c r="BQ37" s="90"/>
      <c r="BR37" s="91"/>
      <c r="BS37" s="26"/>
      <c r="BT37" s="26"/>
    </row>
    <row r="38" spans="1:72" s="23" customFormat="1" ht="9" customHeight="1" x14ac:dyDescent="0.25">
      <c r="B38" s="88"/>
      <c r="C38" s="87"/>
      <c r="D38" s="87"/>
      <c r="E38" s="87"/>
      <c r="F38" s="87"/>
      <c r="G38" s="87"/>
      <c r="H38" s="87"/>
      <c r="I38" s="87"/>
      <c r="J38" s="89"/>
      <c r="K38" s="87"/>
      <c r="L38" s="88"/>
      <c r="M38" s="87"/>
      <c r="N38" s="87"/>
      <c r="O38" s="87"/>
      <c r="P38" s="87"/>
      <c r="Q38" s="87"/>
      <c r="R38" s="87"/>
      <c r="S38" s="87"/>
      <c r="T38" s="89"/>
      <c r="U38" s="87"/>
      <c r="V38" s="103"/>
      <c r="W38" s="90"/>
      <c r="X38" s="90"/>
      <c r="Y38" s="90"/>
      <c r="Z38" s="90"/>
      <c r="AA38" s="90"/>
      <c r="AB38" s="90"/>
      <c r="AC38" s="90"/>
      <c r="AD38" s="91"/>
      <c r="AE38" s="87"/>
      <c r="AF38" s="103"/>
      <c r="AG38" s="90"/>
      <c r="AH38" s="90"/>
      <c r="AI38" s="90"/>
      <c r="AJ38" s="90"/>
      <c r="AK38" s="90"/>
      <c r="AL38" s="90"/>
      <c r="AM38" s="90"/>
      <c r="AN38" s="91"/>
      <c r="AO38" s="89"/>
      <c r="AP38" s="103"/>
      <c r="AQ38" s="90"/>
      <c r="AR38" s="90"/>
      <c r="AS38" s="90"/>
      <c r="AT38" s="90"/>
      <c r="AU38" s="90"/>
      <c r="AV38" s="90"/>
      <c r="AW38" s="90"/>
      <c r="AX38" s="91"/>
      <c r="AY38" s="89"/>
      <c r="AZ38" s="103"/>
      <c r="BA38" s="90"/>
      <c r="BB38" s="90"/>
      <c r="BC38" s="90"/>
      <c r="BD38" s="90"/>
      <c r="BE38" s="90"/>
      <c r="BF38" s="90"/>
      <c r="BG38" s="90"/>
      <c r="BH38" s="91"/>
      <c r="BI38" s="87"/>
      <c r="BJ38" s="103"/>
      <c r="BK38" s="90"/>
      <c r="BL38" s="90"/>
      <c r="BM38" s="90"/>
      <c r="BN38" s="90"/>
      <c r="BO38" s="90"/>
      <c r="BP38" s="90"/>
      <c r="BQ38" s="90"/>
      <c r="BR38" s="91"/>
      <c r="BS38" s="26"/>
      <c r="BT38" s="26"/>
    </row>
    <row r="39" spans="1:72" s="23" customFormat="1" ht="9.75" customHeight="1" x14ac:dyDescent="0.25">
      <c r="B39" s="88"/>
      <c r="C39" s="87"/>
      <c r="D39" s="87"/>
      <c r="E39" s="87"/>
      <c r="F39" s="87"/>
      <c r="G39" s="87"/>
      <c r="H39" s="87"/>
      <c r="I39" s="87"/>
      <c r="J39" s="89"/>
      <c r="K39" s="87"/>
      <c r="L39" s="88"/>
      <c r="M39" s="87"/>
      <c r="N39" s="87"/>
      <c r="O39" s="87"/>
      <c r="P39" s="87"/>
      <c r="Q39" s="87"/>
      <c r="R39" s="87"/>
      <c r="S39" s="87"/>
      <c r="T39" s="89"/>
      <c r="U39" s="87"/>
      <c r="V39" s="88"/>
      <c r="W39" s="87"/>
      <c r="X39" s="87"/>
      <c r="Y39" s="87"/>
      <c r="Z39" s="87"/>
      <c r="AA39" s="87"/>
      <c r="AB39" s="87"/>
      <c r="AC39" s="87"/>
      <c r="AD39" s="89"/>
      <c r="AE39" s="87"/>
      <c r="AF39" s="88"/>
      <c r="AG39" s="87"/>
      <c r="AH39" s="87"/>
      <c r="AI39" s="87"/>
      <c r="AJ39" s="87"/>
      <c r="AK39" s="87"/>
      <c r="AL39" s="87"/>
      <c r="AM39" s="87"/>
      <c r="AN39" s="89"/>
      <c r="AO39" s="89"/>
      <c r="AP39" s="88"/>
      <c r="AQ39" s="87"/>
      <c r="AR39" s="87"/>
      <c r="AS39" s="87"/>
      <c r="AT39" s="87"/>
      <c r="AU39" s="87"/>
      <c r="AV39" s="87"/>
      <c r="AW39" s="87"/>
      <c r="AX39" s="89"/>
      <c r="AY39" s="89"/>
      <c r="AZ39" s="88"/>
      <c r="BA39" s="87"/>
      <c r="BB39" s="87"/>
      <c r="BC39" s="87"/>
      <c r="BD39" s="87"/>
      <c r="BE39" s="87"/>
      <c r="BF39" s="87"/>
      <c r="BG39" s="87"/>
      <c r="BH39" s="89"/>
      <c r="BI39" s="87"/>
      <c r="BJ39" s="88"/>
      <c r="BK39" s="87"/>
      <c r="BL39" s="87"/>
      <c r="BM39" s="87"/>
      <c r="BN39" s="87"/>
      <c r="BO39" s="87"/>
      <c r="BP39" s="87"/>
      <c r="BQ39" s="87"/>
      <c r="BR39" s="89"/>
      <c r="BS39" s="26"/>
      <c r="BT39" s="26"/>
    </row>
    <row r="40" spans="1:72" s="39" customFormat="1" ht="9" customHeight="1" x14ac:dyDescent="0.25">
      <c r="B40" s="107"/>
      <c r="C40" s="106"/>
      <c r="D40" s="106"/>
      <c r="E40" s="106"/>
      <c r="F40" s="106"/>
      <c r="G40" s="106"/>
      <c r="H40" s="106"/>
      <c r="I40" s="106"/>
      <c r="J40" s="108"/>
      <c r="K40" s="106"/>
      <c r="L40" s="107"/>
      <c r="M40" s="106"/>
      <c r="N40" s="106"/>
      <c r="O40" s="106"/>
      <c r="P40" s="106"/>
      <c r="Q40" s="106"/>
      <c r="R40" s="106"/>
      <c r="S40" s="106"/>
      <c r="T40" s="108"/>
      <c r="U40" s="92"/>
      <c r="V40" s="107"/>
      <c r="W40" s="106"/>
      <c r="X40" s="106"/>
      <c r="Y40" s="106"/>
      <c r="Z40" s="106"/>
      <c r="AA40" s="106"/>
      <c r="AB40" s="106"/>
      <c r="AC40" s="106"/>
      <c r="AD40" s="108"/>
      <c r="AE40" s="106"/>
      <c r="AF40" s="107"/>
      <c r="AG40" s="106"/>
      <c r="AH40" s="106"/>
      <c r="AI40" s="106"/>
      <c r="AJ40" s="106"/>
      <c r="AK40" s="106"/>
      <c r="AL40" s="106"/>
      <c r="AM40" s="106"/>
      <c r="AN40" s="108"/>
      <c r="AO40" s="108"/>
      <c r="AP40" s="107"/>
      <c r="AQ40" s="106"/>
      <c r="AR40" s="106"/>
      <c r="AS40" s="106"/>
      <c r="AT40" s="106"/>
      <c r="AU40" s="106"/>
      <c r="AV40" s="106"/>
      <c r="AW40" s="106"/>
      <c r="AX40" s="108"/>
      <c r="AY40" s="108"/>
      <c r="AZ40" s="107"/>
      <c r="BA40" s="106"/>
      <c r="BB40" s="106"/>
      <c r="BC40" s="106"/>
      <c r="BD40" s="106"/>
      <c r="BE40" s="106"/>
      <c r="BF40" s="106"/>
      <c r="BG40" s="106"/>
      <c r="BH40" s="108"/>
      <c r="BI40" s="106"/>
      <c r="BJ40" s="107"/>
      <c r="BK40" s="106"/>
      <c r="BL40" s="106"/>
      <c r="BM40" s="106"/>
      <c r="BN40" s="106"/>
      <c r="BO40" s="106"/>
      <c r="BP40" s="106"/>
      <c r="BQ40" s="106"/>
      <c r="BR40" s="108"/>
      <c r="BS40" s="38"/>
      <c r="BT40" s="38"/>
    </row>
    <row r="41" spans="1:72" s="39" customFormat="1" ht="9" customHeight="1" x14ac:dyDescent="0.25">
      <c r="B41" s="88"/>
      <c r="C41" s="87"/>
      <c r="D41" s="87"/>
      <c r="E41" s="87"/>
      <c r="F41" s="87"/>
      <c r="G41" s="87"/>
      <c r="H41" s="87"/>
      <c r="I41" s="87"/>
      <c r="J41" s="89"/>
      <c r="K41" s="106"/>
      <c r="L41" s="107"/>
      <c r="M41" s="106"/>
      <c r="N41" s="106"/>
      <c r="O41" s="106"/>
      <c r="P41" s="106"/>
      <c r="Q41" s="106"/>
      <c r="R41" s="106"/>
      <c r="S41" s="106"/>
      <c r="T41" s="108"/>
      <c r="U41" s="92"/>
      <c r="V41" s="107"/>
      <c r="W41" s="106"/>
      <c r="X41" s="106"/>
      <c r="Y41" s="106"/>
      <c r="Z41" s="106"/>
      <c r="AA41" s="106"/>
      <c r="AB41" s="106"/>
      <c r="AC41" s="106"/>
      <c r="AD41" s="108"/>
      <c r="AE41" s="106"/>
      <c r="AF41" s="107"/>
      <c r="AG41" s="106"/>
      <c r="AH41" s="106"/>
      <c r="AI41" s="106"/>
      <c r="AJ41" s="106"/>
      <c r="AK41" s="106"/>
      <c r="AL41" s="106"/>
      <c r="AM41" s="106"/>
      <c r="AN41" s="108"/>
      <c r="AO41" s="108"/>
      <c r="AP41" s="107"/>
      <c r="AQ41" s="106"/>
      <c r="AR41" s="106"/>
      <c r="AS41" s="106"/>
      <c r="AT41" s="106"/>
      <c r="AU41" s="106"/>
      <c r="AV41" s="106"/>
      <c r="AW41" s="106"/>
      <c r="AX41" s="108"/>
      <c r="AY41" s="108"/>
      <c r="AZ41" s="107"/>
      <c r="BA41" s="106"/>
      <c r="BB41" s="106"/>
      <c r="BC41" s="106"/>
      <c r="BD41" s="106"/>
      <c r="BE41" s="106"/>
      <c r="BF41" s="106"/>
      <c r="BG41" s="106"/>
      <c r="BH41" s="108"/>
      <c r="BI41" s="106"/>
      <c r="BJ41" s="107"/>
      <c r="BK41" s="106"/>
      <c r="BL41" s="106"/>
      <c r="BM41" s="106"/>
      <c r="BN41" s="106"/>
      <c r="BO41" s="106"/>
      <c r="BP41" s="106"/>
      <c r="BQ41" s="106"/>
      <c r="BR41" s="108"/>
      <c r="BS41" s="38"/>
      <c r="BT41" s="38"/>
    </row>
    <row r="42" spans="1:72" s="39" customFormat="1" ht="9" customHeight="1" x14ac:dyDescent="0.25">
      <c r="B42" s="88"/>
      <c r="C42" s="87"/>
      <c r="D42" s="87"/>
      <c r="E42" s="87"/>
      <c r="F42" s="87"/>
      <c r="G42" s="87"/>
      <c r="H42" s="87"/>
      <c r="I42" s="87"/>
      <c r="J42" s="89"/>
      <c r="K42" s="106"/>
      <c r="L42" s="107"/>
      <c r="M42" s="106"/>
      <c r="N42" s="106"/>
      <c r="O42" s="106"/>
      <c r="P42" s="106"/>
      <c r="Q42" s="106"/>
      <c r="R42" s="106"/>
      <c r="S42" s="106"/>
      <c r="T42" s="108"/>
      <c r="U42" s="87"/>
      <c r="V42" s="107"/>
      <c r="W42" s="106"/>
      <c r="X42" s="106"/>
      <c r="Y42" s="106"/>
      <c r="Z42" s="106"/>
      <c r="AA42" s="106"/>
      <c r="AB42" s="106"/>
      <c r="AC42" s="106"/>
      <c r="AD42" s="108"/>
      <c r="AE42" s="106"/>
      <c r="AF42" s="107"/>
      <c r="AG42" s="106"/>
      <c r="AH42" s="106"/>
      <c r="AI42" s="106"/>
      <c r="AJ42" s="106"/>
      <c r="AK42" s="106"/>
      <c r="AL42" s="106"/>
      <c r="AM42" s="106"/>
      <c r="AN42" s="108"/>
      <c r="AO42" s="108"/>
      <c r="AP42" s="107"/>
      <c r="AQ42" s="106"/>
      <c r="AR42" s="106"/>
      <c r="AS42" s="106"/>
      <c r="AT42" s="106"/>
      <c r="AU42" s="106"/>
      <c r="AV42" s="106"/>
      <c r="AW42" s="106"/>
      <c r="AX42" s="108"/>
      <c r="AY42" s="106"/>
      <c r="AZ42" s="107"/>
      <c r="BA42" s="106"/>
      <c r="BB42" s="106"/>
      <c r="BC42" s="106"/>
      <c r="BD42" s="106"/>
      <c r="BE42" s="106"/>
      <c r="BF42" s="106"/>
      <c r="BG42" s="106"/>
      <c r="BH42" s="108"/>
      <c r="BI42" s="106"/>
      <c r="BJ42" s="107"/>
      <c r="BK42" s="106"/>
      <c r="BL42" s="106"/>
      <c r="BM42" s="106"/>
      <c r="BN42" s="106"/>
      <c r="BO42" s="106"/>
      <c r="BP42" s="106"/>
      <c r="BQ42" s="106"/>
      <c r="BR42" s="108"/>
      <c r="BS42" s="38"/>
      <c r="BT42" s="38"/>
    </row>
    <row r="43" spans="1:72" s="39" customFormat="1" ht="9" customHeight="1" x14ac:dyDescent="0.25">
      <c r="B43" s="88"/>
      <c r="C43" s="87"/>
      <c r="D43" s="87"/>
      <c r="E43" s="87"/>
      <c r="F43" s="87"/>
      <c r="G43" s="87"/>
      <c r="H43" s="87"/>
      <c r="I43" s="87"/>
      <c r="J43" s="89"/>
      <c r="K43" s="106"/>
      <c r="L43" s="107"/>
      <c r="M43" s="106"/>
      <c r="N43" s="106"/>
      <c r="O43" s="106"/>
      <c r="P43" s="106"/>
      <c r="Q43" s="106"/>
      <c r="R43" s="106"/>
      <c r="S43" s="106"/>
      <c r="T43" s="108"/>
      <c r="U43" s="87"/>
      <c r="V43" s="107"/>
      <c r="W43" s="106"/>
      <c r="X43" s="106"/>
      <c r="Y43" s="106"/>
      <c r="Z43" s="106"/>
      <c r="AA43" s="106"/>
      <c r="AB43" s="106"/>
      <c r="AC43" s="106"/>
      <c r="AD43" s="108"/>
      <c r="AE43" s="106"/>
      <c r="AF43" s="107"/>
      <c r="AG43" s="106"/>
      <c r="AH43" s="106"/>
      <c r="AI43" s="106"/>
      <c r="AJ43" s="106"/>
      <c r="AK43" s="106"/>
      <c r="AL43" s="106"/>
      <c r="AM43" s="106"/>
      <c r="AN43" s="108"/>
      <c r="AO43" s="108"/>
      <c r="AP43" s="107"/>
      <c r="AQ43" s="106"/>
      <c r="AR43" s="106"/>
      <c r="AS43" s="106"/>
      <c r="AT43" s="106"/>
      <c r="AU43" s="106"/>
      <c r="AV43" s="106"/>
      <c r="AW43" s="106"/>
      <c r="AX43" s="108"/>
      <c r="AY43" s="106"/>
      <c r="AZ43" s="107"/>
      <c r="BA43" s="106"/>
      <c r="BB43" s="106"/>
      <c r="BC43" s="106"/>
      <c r="BD43" s="106"/>
      <c r="BE43" s="106"/>
      <c r="BF43" s="106"/>
      <c r="BG43" s="106"/>
      <c r="BH43" s="108"/>
      <c r="BI43" s="106"/>
      <c r="BJ43" s="107"/>
      <c r="BK43" s="106"/>
      <c r="BL43" s="106"/>
      <c r="BM43" s="106"/>
      <c r="BN43" s="106"/>
      <c r="BO43" s="106"/>
      <c r="BP43" s="106"/>
      <c r="BQ43" s="106"/>
      <c r="BR43" s="108"/>
      <c r="BS43" s="38"/>
      <c r="BT43" s="38"/>
    </row>
    <row r="44" spans="1:72" s="39" customFormat="1" ht="9" customHeight="1" x14ac:dyDescent="0.25">
      <c r="B44" s="88"/>
      <c r="C44" s="87"/>
      <c r="D44" s="87"/>
      <c r="E44" s="87"/>
      <c r="F44" s="87"/>
      <c r="G44" s="87"/>
      <c r="H44" s="87"/>
      <c r="I44" s="87"/>
      <c r="J44" s="89"/>
      <c r="K44" s="106"/>
      <c r="L44" s="107"/>
      <c r="M44" s="106"/>
      <c r="N44" s="106"/>
      <c r="O44" s="106"/>
      <c r="P44" s="106"/>
      <c r="Q44" s="106"/>
      <c r="R44" s="106"/>
      <c r="S44" s="106"/>
      <c r="T44" s="108"/>
      <c r="U44" s="87"/>
      <c r="V44" s="107"/>
      <c r="W44" s="106"/>
      <c r="X44" s="106"/>
      <c r="Y44" s="106"/>
      <c r="Z44" s="106"/>
      <c r="AA44" s="106"/>
      <c r="AB44" s="106"/>
      <c r="AC44" s="106"/>
      <c r="AD44" s="108"/>
      <c r="AE44" s="106"/>
      <c r="AF44" s="107"/>
      <c r="AG44" s="106"/>
      <c r="AH44" s="106"/>
      <c r="AI44" s="106"/>
      <c r="AJ44" s="106"/>
      <c r="AK44" s="106"/>
      <c r="AL44" s="106"/>
      <c r="AM44" s="106"/>
      <c r="AN44" s="108"/>
      <c r="AO44" s="108"/>
      <c r="AP44" s="107"/>
      <c r="AQ44" s="106"/>
      <c r="AR44" s="106"/>
      <c r="AS44" s="106"/>
      <c r="AT44" s="106"/>
      <c r="AU44" s="106"/>
      <c r="AV44" s="106"/>
      <c r="AW44" s="106"/>
      <c r="AX44" s="108"/>
      <c r="AY44" s="106"/>
      <c r="AZ44" s="107"/>
      <c r="BA44" s="106"/>
      <c r="BB44" s="106"/>
      <c r="BC44" s="106"/>
      <c r="BD44" s="106"/>
      <c r="BE44" s="106"/>
      <c r="BF44" s="106"/>
      <c r="BG44" s="106"/>
      <c r="BH44" s="108"/>
      <c r="BI44" s="106"/>
      <c r="BJ44" s="107"/>
      <c r="BK44" s="106"/>
      <c r="BL44" s="106"/>
      <c r="BM44" s="106"/>
      <c r="BN44" s="106"/>
      <c r="BO44" s="106"/>
      <c r="BP44" s="106"/>
      <c r="BQ44" s="106"/>
      <c r="BR44" s="108"/>
      <c r="BS44" s="38"/>
      <c r="BT44" s="38"/>
    </row>
    <row r="45" spans="1:72" s="39" customFormat="1" ht="9" customHeight="1" x14ac:dyDescent="0.25">
      <c r="B45" s="107"/>
      <c r="C45" s="106"/>
      <c r="D45" s="106"/>
      <c r="E45" s="106"/>
      <c r="F45" s="106"/>
      <c r="G45" s="106"/>
      <c r="H45" s="106"/>
      <c r="I45" s="106"/>
      <c r="J45" s="108"/>
      <c r="K45" s="106"/>
      <c r="L45" s="107"/>
      <c r="M45" s="106"/>
      <c r="N45" s="106"/>
      <c r="O45" s="106"/>
      <c r="P45" s="106"/>
      <c r="Q45" s="106"/>
      <c r="R45" s="106"/>
      <c r="S45" s="106"/>
      <c r="T45" s="108"/>
      <c r="U45" s="87"/>
      <c r="V45" s="88"/>
      <c r="W45" s="87"/>
      <c r="X45" s="87"/>
      <c r="Y45" s="87"/>
      <c r="Z45" s="87"/>
      <c r="AA45" s="87"/>
      <c r="AB45" s="87"/>
      <c r="AC45" s="87"/>
      <c r="AD45" s="89"/>
      <c r="AE45" s="106"/>
      <c r="AF45" s="88"/>
      <c r="AG45" s="87"/>
      <c r="AH45" s="87"/>
      <c r="AI45" s="87"/>
      <c r="AJ45" s="87"/>
      <c r="AK45" s="87"/>
      <c r="AL45" s="87"/>
      <c r="AM45" s="87"/>
      <c r="AN45" s="89"/>
      <c r="AO45" s="108"/>
      <c r="AP45" s="88"/>
      <c r="AQ45" s="87"/>
      <c r="AR45" s="87"/>
      <c r="AS45" s="87"/>
      <c r="AT45" s="87"/>
      <c r="AU45" s="87"/>
      <c r="AV45" s="87"/>
      <c r="AW45" s="87"/>
      <c r="AX45" s="89"/>
      <c r="AY45" s="106"/>
      <c r="AZ45" s="88"/>
      <c r="BA45" s="87"/>
      <c r="BB45" s="87"/>
      <c r="BC45" s="87"/>
      <c r="BD45" s="87"/>
      <c r="BE45" s="87"/>
      <c r="BF45" s="87"/>
      <c r="BG45" s="87"/>
      <c r="BH45" s="89"/>
      <c r="BI45" s="106"/>
      <c r="BJ45" s="88"/>
      <c r="BK45" s="87"/>
      <c r="BL45" s="87"/>
      <c r="BM45" s="87"/>
      <c r="BN45" s="87"/>
      <c r="BO45" s="87"/>
      <c r="BP45" s="87"/>
      <c r="BQ45" s="87"/>
      <c r="BR45" s="89"/>
      <c r="BS45" s="38"/>
      <c r="BT45" s="38"/>
    </row>
    <row r="46" spans="1:72" s="39" customFormat="1" ht="9" customHeight="1" x14ac:dyDescent="0.25">
      <c r="B46" s="492" t="s">
        <v>409</v>
      </c>
      <c r="C46" s="492"/>
      <c r="D46" s="492"/>
      <c r="E46" s="492"/>
      <c r="F46" s="492"/>
      <c r="G46" s="493">
        <f>CEILING(2433*B5,1)</f>
        <v>3407</v>
      </c>
      <c r="H46" s="493"/>
      <c r="I46" s="493"/>
      <c r="J46" s="493"/>
      <c r="K46" s="227"/>
      <c r="L46" s="492" t="s">
        <v>409</v>
      </c>
      <c r="M46" s="492"/>
      <c r="N46" s="492"/>
      <c r="O46" s="492"/>
      <c r="P46" s="492"/>
      <c r="Q46" s="493">
        <f>CEILING(2693*B5,1)</f>
        <v>3771</v>
      </c>
      <c r="R46" s="493"/>
      <c r="S46" s="493"/>
      <c r="T46" s="493"/>
      <c r="U46" s="87"/>
      <c r="V46" s="116"/>
      <c r="W46" s="96"/>
      <c r="X46" s="96"/>
      <c r="Y46" s="96"/>
      <c r="Z46" s="96"/>
      <c r="AA46" s="96"/>
      <c r="AB46" s="96"/>
      <c r="AC46" s="96"/>
      <c r="AD46" s="97"/>
      <c r="AE46" s="106"/>
      <c r="AF46" s="116"/>
      <c r="AG46" s="96"/>
      <c r="AH46" s="96"/>
      <c r="AI46" s="96"/>
      <c r="AJ46" s="96"/>
      <c r="AK46" s="96"/>
      <c r="AL46" s="96"/>
      <c r="AM46" s="96"/>
      <c r="AN46" s="97"/>
      <c r="AO46" s="106"/>
      <c r="AP46" s="116"/>
      <c r="AQ46" s="96"/>
      <c r="AR46" s="96"/>
      <c r="AS46" s="96"/>
      <c r="AT46" s="96"/>
      <c r="AU46" s="96"/>
      <c r="AV46" s="96"/>
      <c r="AW46" s="96"/>
      <c r="AX46" s="97"/>
      <c r="AY46" s="106"/>
      <c r="AZ46" s="116"/>
      <c r="BA46" s="96"/>
      <c r="BB46" s="96"/>
      <c r="BC46" s="96"/>
      <c r="BD46" s="96"/>
      <c r="BE46" s="96"/>
      <c r="BF46" s="96"/>
      <c r="BG46" s="96"/>
      <c r="BH46" s="97"/>
      <c r="BI46" s="106"/>
      <c r="BJ46" s="116"/>
      <c r="BK46" s="96"/>
      <c r="BL46" s="96"/>
      <c r="BM46" s="96"/>
      <c r="BN46" s="96"/>
      <c r="BO46" s="96"/>
      <c r="BP46" s="96"/>
      <c r="BQ46" s="96"/>
      <c r="BR46" s="97"/>
      <c r="BS46" s="38"/>
      <c r="BT46" s="38"/>
    </row>
    <row r="47" spans="1:72" s="39" customFormat="1" ht="9" customHeight="1" x14ac:dyDescent="0.25">
      <c r="B47" s="492" t="s">
        <v>410</v>
      </c>
      <c r="C47" s="492"/>
      <c r="D47" s="492"/>
      <c r="E47" s="492"/>
      <c r="F47" s="492"/>
      <c r="G47" s="493">
        <f>CEILING(2932*B5,1)</f>
        <v>4105</v>
      </c>
      <c r="H47" s="493"/>
      <c r="I47" s="493"/>
      <c r="J47" s="493"/>
      <c r="K47" s="227"/>
      <c r="L47" s="492" t="s">
        <v>410</v>
      </c>
      <c r="M47" s="492"/>
      <c r="N47" s="492"/>
      <c r="O47" s="492"/>
      <c r="P47" s="492"/>
      <c r="Q47" s="493">
        <f>CEILING(3250*B5,1)</f>
        <v>4550</v>
      </c>
      <c r="R47" s="493"/>
      <c r="S47" s="493"/>
      <c r="T47" s="493"/>
      <c r="U47" s="222"/>
      <c r="V47" s="492" t="s">
        <v>411</v>
      </c>
      <c r="W47" s="492"/>
      <c r="X47" s="492"/>
      <c r="Y47" s="492"/>
      <c r="Z47" s="492"/>
      <c r="AA47" s="493">
        <f>CEILING(1740*B5,1)</f>
        <v>2436</v>
      </c>
      <c r="AB47" s="493"/>
      <c r="AC47" s="493"/>
      <c r="AD47" s="493"/>
      <c r="AE47" s="227"/>
      <c r="AF47" s="492" t="s">
        <v>411</v>
      </c>
      <c r="AG47" s="492"/>
      <c r="AH47" s="492"/>
      <c r="AI47" s="492"/>
      <c r="AJ47" s="492"/>
      <c r="AK47" s="493">
        <f>CEILING(2045*B5,1)</f>
        <v>2863</v>
      </c>
      <c r="AL47" s="493"/>
      <c r="AM47" s="493"/>
      <c r="AN47" s="493"/>
      <c r="AO47" s="227"/>
      <c r="AP47" s="492" t="s">
        <v>411</v>
      </c>
      <c r="AQ47" s="492"/>
      <c r="AR47" s="492"/>
      <c r="AS47" s="492"/>
      <c r="AT47" s="492"/>
      <c r="AU47" s="493">
        <f>CEILING(2330*B5,1)</f>
        <v>3262</v>
      </c>
      <c r="AV47" s="493"/>
      <c r="AW47" s="493"/>
      <c r="AX47" s="493"/>
      <c r="AY47" s="227"/>
      <c r="AZ47" s="492" t="s">
        <v>411</v>
      </c>
      <c r="BA47" s="492"/>
      <c r="BB47" s="492"/>
      <c r="BC47" s="492"/>
      <c r="BD47" s="492"/>
      <c r="BE47" s="493">
        <f>CEILING(2226*B5,1)</f>
        <v>3117</v>
      </c>
      <c r="BF47" s="493"/>
      <c r="BG47" s="493"/>
      <c r="BH47" s="493"/>
      <c r="BI47" s="227"/>
      <c r="BJ47" s="492" t="s">
        <v>411</v>
      </c>
      <c r="BK47" s="492"/>
      <c r="BL47" s="492"/>
      <c r="BM47" s="492"/>
      <c r="BN47" s="492"/>
      <c r="BO47" s="493">
        <f>CEILING(2501*B5,1)</f>
        <v>3502</v>
      </c>
      <c r="BP47" s="493"/>
      <c r="BQ47" s="493"/>
      <c r="BR47" s="493"/>
      <c r="BS47" s="38"/>
      <c r="BT47" s="38"/>
    </row>
    <row r="48" spans="1:72" s="23" customFormat="1" ht="1.5" customHeight="1" x14ac:dyDescent="0.25"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94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26"/>
      <c r="BT48" s="26"/>
    </row>
    <row r="49" spans="1:72" s="23" customFormat="1" ht="9" customHeight="1" x14ac:dyDescent="0.25">
      <c r="B49" s="474" t="s">
        <v>375</v>
      </c>
      <c r="C49" s="475"/>
      <c r="D49" s="476"/>
      <c r="E49" s="505" t="s">
        <v>332</v>
      </c>
      <c r="F49" s="505"/>
      <c r="G49" s="505"/>
      <c r="H49" s="505"/>
      <c r="I49" s="505"/>
      <c r="J49" s="506"/>
      <c r="K49" s="87"/>
      <c r="L49" s="474" t="s">
        <v>376</v>
      </c>
      <c r="M49" s="475"/>
      <c r="N49" s="476"/>
      <c r="O49" s="505" t="s">
        <v>332</v>
      </c>
      <c r="P49" s="505"/>
      <c r="Q49" s="505"/>
      <c r="R49" s="505"/>
      <c r="S49" s="505"/>
      <c r="T49" s="506"/>
      <c r="U49" s="87"/>
      <c r="V49" s="474" t="s">
        <v>377</v>
      </c>
      <c r="W49" s="475"/>
      <c r="X49" s="476"/>
      <c r="Y49" s="505" t="s">
        <v>332</v>
      </c>
      <c r="Z49" s="505"/>
      <c r="AA49" s="505"/>
      <c r="AB49" s="505"/>
      <c r="AC49" s="505"/>
      <c r="AD49" s="506"/>
      <c r="AE49" s="87"/>
      <c r="AF49" s="474" t="s">
        <v>378</v>
      </c>
      <c r="AG49" s="475"/>
      <c r="AH49" s="476"/>
      <c r="AI49" s="505" t="s">
        <v>332</v>
      </c>
      <c r="AJ49" s="505"/>
      <c r="AK49" s="505"/>
      <c r="AL49" s="505"/>
      <c r="AM49" s="505"/>
      <c r="AN49" s="506"/>
      <c r="AO49" s="87"/>
      <c r="AP49" s="474" t="s">
        <v>379</v>
      </c>
      <c r="AQ49" s="475"/>
      <c r="AR49" s="476"/>
      <c r="AS49" s="505" t="s">
        <v>332</v>
      </c>
      <c r="AT49" s="505"/>
      <c r="AU49" s="505"/>
      <c r="AV49" s="505"/>
      <c r="AW49" s="505"/>
      <c r="AX49" s="506"/>
      <c r="AY49" s="87"/>
      <c r="AZ49" s="474" t="s">
        <v>380</v>
      </c>
      <c r="BA49" s="475"/>
      <c r="BB49" s="476"/>
      <c r="BC49" s="505" t="s">
        <v>396</v>
      </c>
      <c r="BD49" s="505"/>
      <c r="BE49" s="505"/>
      <c r="BF49" s="505"/>
      <c r="BG49" s="505"/>
      <c r="BH49" s="506"/>
      <c r="BI49" s="87"/>
      <c r="BJ49" s="474" t="s">
        <v>381</v>
      </c>
      <c r="BK49" s="475"/>
      <c r="BL49" s="476"/>
      <c r="BM49" s="505" t="s">
        <v>396</v>
      </c>
      <c r="BN49" s="505"/>
      <c r="BO49" s="505"/>
      <c r="BP49" s="505"/>
      <c r="BQ49" s="505"/>
      <c r="BR49" s="506"/>
      <c r="BS49" s="26"/>
      <c r="BT49" s="26"/>
    </row>
    <row r="50" spans="1:72" s="32" customFormat="1" ht="9" customHeight="1" x14ac:dyDescent="0.25">
      <c r="B50" s="116"/>
      <c r="C50" s="96"/>
      <c r="D50" s="96"/>
      <c r="E50" s="96"/>
      <c r="F50" s="96"/>
      <c r="G50" s="96"/>
      <c r="H50" s="96"/>
      <c r="I50" s="96"/>
      <c r="J50" s="97"/>
      <c r="K50" s="90"/>
      <c r="L50" s="116"/>
      <c r="M50" s="96"/>
      <c r="N50" s="96"/>
      <c r="O50" s="96"/>
      <c r="P50" s="96"/>
      <c r="Q50" s="96"/>
      <c r="R50" s="96"/>
      <c r="S50" s="96"/>
      <c r="T50" s="97"/>
      <c r="U50" s="90"/>
      <c r="V50" s="116"/>
      <c r="W50" s="96"/>
      <c r="X50" s="96"/>
      <c r="Y50" s="96"/>
      <c r="Z50" s="96"/>
      <c r="AA50" s="96"/>
      <c r="AB50" s="96"/>
      <c r="AC50" s="96"/>
      <c r="AD50" s="97"/>
      <c r="AE50" s="90"/>
      <c r="AF50" s="116"/>
      <c r="AG50" s="96"/>
      <c r="AH50" s="96"/>
      <c r="AI50" s="96"/>
      <c r="AJ50" s="96"/>
      <c r="AK50" s="96"/>
      <c r="AL50" s="96"/>
      <c r="AM50" s="96"/>
      <c r="AN50" s="97"/>
      <c r="AO50" s="90"/>
      <c r="AP50" s="116"/>
      <c r="AQ50" s="96"/>
      <c r="AR50" s="96"/>
      <c r="AS50" s="96"/>
      <c r="AT50" s="96"/>
      <c r="AU50" s="96"/>
      <c r="AV50" s="96"/>
      <c r="AW50" s="96"/>
      <c r="AX50" s="97"/>
      <c r="AY50" s="90"/>
      <c r="AZ50" s="489" t="s">
        <v>735</v>
      </c>
      <c r="BA50" s="490"/>
      <c r="BB50" s="490"/>
      <c r="BC50" s="490"/>
      <c r="BD50" s="490"/>
      <c r="BE50" s="490"/>
      <c r="BF50" s="490"/>
      <c r="BG50" s="490"/>
      <c r="BH50" s="491"/>
      <c r="BI50" s="90"/>
      <c r="BJ50" s="489" t="s">
        <v>735</v>
      </c>
      <c r="BK50" s="490"/>
      <c r="BL50" s="490"/>
      <c r="BM50" s="490"/>
      <c r="BN50" s="490"/>
      <c r="BO50" s="490"/>
      <c r="BP50" s="490"/>
      <c r="BQ50" s="490"/>
      <c r="BR50" s="491"/>
      <c r="BS50" s="34"/>
      <c r="BT50" s="34"/>
    </row>
    <row r="51" spans="1:72" s="32" customFormat="1" ht="9" customHeight="1" x14ac:dyDescent="0.25">
      <c r="B51" s="103"/>
      <c r="C51" s="90"/>
      <c r="D51" s="90"/>
      <c r="E51" s="90"/>
      <c r="F51" s="90"/>
      <c r="G51" s="90"/>
      <c r="H51" s="90"/>
      <c r="I51" s="90"/>
      <c r="J51" s="91"/>
      <c r="K51" s="90"/>
      <c r="L51" s="103"/>
      <c r="M51" s="90"/>
      <c r="N51" s="90"/>
      <c r="O51" s="90"/>
      <c r="P51" s="90"/>
      <c r="Q51" s="90"/>
      <c r="R51" s="90"/>
      <c r="S51" s="90"/>
      <c r="T51" s="91"/>
      <c r="U51" s="90"/>
      <c r="V51" s="103"/>
      <c r="W51" s="90"/>
      <c r="X51" s="90"/>
      <c r="Y51" s="90"/>
      <c r="Z51" s="90"/>
      <c r="AA51" s="90"/>
      <c r="AB51" s="90"/>
      <c r="AC51" s="90"/>
      <c r="AD51" s="91"/>
      <c r="AE51" s="90"/>
      <c r="AF51" s="103"/>
      <c r="AG51" s="90"/>
      <c r="AH51" s="90"/>
      <c r="AI51" s="90"/>
      <c r="AJ51" s="90"/>
      <c r="AK51" s="90"/>
      <c r="AL51" s="90"/>
      <c r="AM51" s="90"/>
      <c r="AN51" s="91"/>
      <c r="AO51" s="90"/>
      <c r="AP51" s="103"/>
      <c r="AQ51" s="90"/>
      <c r="AR51" s="90"/>
      <c r="AS51" s="90"/>
      <c r="AT51" s="90"/>
      <c r="AU51" s="90"/>
      <c r="AV51" s="90"/>
      <c r="AW51" s="90"/>
      <c r="AX51" s="91"/>
      <c r="AY51" s="90"/>
      <c r="AZ51" s="489" t="s">
        <v>733</v>
      </c>
      <c r="BA51" s="490"/>
      <c r="BB51" s="490"/>
      <c r="BC51" s="490"/>
      <c r="BD51" s="490"/>
      <c r="BE51" s="490"/>
      <c r="BF51" s="490"/>
      <c r="BG51" s="490"/>
      <c r="BH51" s="491"/>
      <c r="BI51" s="90"/>
      <c r="BJ51" s="489" t="s">
        <v>733</v>
      </c>
      <c r="BK51" s="490"/>
      <c r="BL51" s="490"/>
      <c r="BM51" s="490"/>
      <c r="BN51" s="490"/>
      <c r="BO51" s="490"/>
      <c r="BP51" s="490"/>
      <c r="BQ51" s="490"/>
      <c r="BR51" s="491"/>
      <c r="BS51" s="34"/>
      <c r="BT51" s="34"/>
    </row>
    <row r="52" spans="1:72" s="32" customFormat="1" ht="9" customHeight="1" x14ac:dyDescent="0.25">
      <c r="B52" s="103"/>
      <c r="C52" s="90"/>
      <c r="D52" s="90"/>
      <c r="E52" s="90"/>
      <c r="F52" s="90"/>
      <c r="G52" s="90"/>
      <c r="H52" s="90"/>
      <c r="I52" s="90"/>
      <c r="J52" s="91"/>
      <c r="K52" s="90"/>
      <c r="L52" s="103"/>
      <c r="M52" s="90"/>
      <c r="N52" s="90"/>
      <c r="O52" s="90"/>
      <c r="P52" s="90"/>
      <c r="Q52" s="90"/>
      <c r="R52" s="90"/>
      <c r="S52" s="90"/>
      <c r="T52" s="91"/>
      <c r="U52" s="90"/>
      <c r="V52" s="103"/>
      <c r="W52" s="90"/>
      <c r="X52" s="90"/>
      <c r="Y52" s="90"/>
      <c r="Z52" s="90"/>
      <c r="AA52" s="90"/>
      <c r="AB52" s="90"/>
      <c r="AC52" s="90"/>
      <c r="AD52" s="91"/>
      <c r="AE52" s="90"/>
      <c r="AF52" s="103"/>
      <c r="AG52" s="90"/>
      <c r="AH52" s="90"/>
      <c r="AI52" s="90"/>
      <c r="AJ52" s="90"/>
      <c r="AK52" s="90"/>
      <c r="AL52" s="90"/>
      <c r="AM52" s="90"/>
      <c r="AN52" s="91"/>
      <c r="AO52" s="90"/>
      <c r="AP52" s="103"/>
      <c r="AQ52" s="90"/>
      <c r="AR52" s="90"/>
      <c r="AS52" s="90"/>
      <c r="AT52" s="90"/>
      <c r="AU52" s="90"/>
      <c r="AV52" s="90"/>
      <c r="AW52" s="90"/>
      <c r="AX52" s="91"/>
      <c r="AY52" s="90"/>
      <c r="AZ52" s="103"/>
      <c r="BA52" s="90"/>
      <c r="BB52" s="90"/>
      <c r="BC52" s="90"/>
      <c r="BD52" s="90"/>
      <c r="BE52" s="90"/>
      <c r="BF52" s="90"/>
      <c r="BG52" s="90"/>
      <c r="BH52" s="91"/>
      <c r="BI52" s="90"/>
      <c r="BJ52" s="103"/>
      <c r="BK52" s="90"/>
      <c r="BL52" s="90"/>
      <c r="BM52" s="90"/>
      <c r="BN52" s="90"/>
      <c r="BO52" s="90"/>
      <c r="BP52" s="90"/>
      <c r="BQ52" s="90"/>
      <c r="BR52" s="91"/>
      <c r="BS52" s="34"/>
      <c r="BT52" s="34"/>
    </row>
    <row r="53" spans="1:72" s="23" customFormat="1" ht="9" customHeight="1" x14ac:dyDescent="0.25">
      <c r="B53" s="88"/>
      <c r="C53" s="87"/>
      <c r="D53" s="87"/>
      <c r="E53" s="87"/>
      <c r="F53" s="87"/>
      <c r="G53" s="87"/>
      <c r="H53" s="87"/>
      <c r="I53" s="87"/>
      <c r="J53" s="89"/>
      <c r="K53" s="87"/>
      <c r="L53" s="88"/>
      <c r="M53" s="87"/>
      <c r="N53" s="87"/>
      <c r="O53" s="87"/>
      <c r="P53" s="87"/>
      <c r="Q53" s="87"/>
      <c r="R53" s="87"/>
      <c r="S53" s="87"/>
      <c r="T53" s="89"/>
      <c r="U53" s="87"/>
      <c r="V53" s="88"/>
      <c r="W53" s="87"/>
      <c r="X53" s="87"/>
      <c r="Y53" s="87"/>
      <c r="Z53" s="87"/>
      <c r="AA53" s="87"/>
      <c r="AB53" s="87"/>
      <c r="AC53" s="87"/>
      <c r="AD53" s="89"/>
      <c r="AE53" s="87"/>
      <c r="AF53" s="88"/>
      <c r="AG53" s="87"/>
      <c r="AH53" s="87"/>
      <c r="AI53" s="87"/>
      <c r="AJ53" s="87"/>
      <c r="AK53" s="87"/>
      <c r="AL53" s="87"/>
      <c r="AM53" s="87"/>
      <c r="AN53" s="89"/>
      <c r="AO53" s="87"/>
      <c r="AP53" s="88"/>
      <c r="AQ53" s="87"/>
      <c r="AR53" s="87"/>
      <c r="AS53" s="87"/>
      <c r="AT53" s="87"/>
      <c r="AU53" s="87"/>
      <c r="AV53" s="87"/>
      <c r="AW53" s="87"/>
      <c r="AX53" s="89"/>
      <c r="AY53" s="87"/>
      <c r="AZ53" s="88"/>
      <c r="BA53" s="87"/>
      <c r="BB53" s="87"/>
      <c r="BC53" s="87"/>
      <c r="BD53" s="87"/>
      <c r="BE53" s="87"/>
      <c r="BF53" s="87"/>
      <c r="BG53" s="87"/>
      <c r="BH53" s="89"/>
      <c r="BI53" s="87"/>
      <c r="BJ53" s="88"/>
      <c r="BK53" s="87"/>
      <c r="BL53" s="87"/>
      <c r="BM53" s="87"/>
      <c r="BN53" s="87"/>
      <c r="BO53" s="87"/>
      <c r="BP53" s="87"/>
      <c r="BQ53" s="87"/>
      <c r="BR53" s="89"/>
      <c r="BS53" s="26"/>
      <c r="BT53" s="26"/>
    </row>
    <row r="54" spans="1:72" s="39" customFormat="1" ht="9" customHeight="1" x14ac:dyDescent="0.25">
      <c r="B54" s="107"/>
      <c r="C54" s="106"/>
      <c r="D54" s="106"/>
      <c r="E54" s="106"/>
      <c r="F54" s="106"/>
      <c r="G54" s="106"/>
      <c r="H54" s="106"/>
      <c r="I54" s="106"/>
      <c r="J54" s="108"/>
      <c r="K54" s="106"/>
      <c r="L54" s="107"/>
      <c r="M54" s="106"/>
      <c r="N54" s="106"/>
      <c r="O54" s="106"/>
      <c r="P54" s="106"/>
      <c r="Q54" s="106"/>
      <c r="R54" s="106"/>
      <c r="S54" s="106"/>
      <c r="T54" s="108"/>
      <c r="U54" s="106"/>
      <c r="V54" s="107"/>
      <c r="W54" s="106"/>
      <c r="X54" s="106"/>
      <c r="Y54" s="106"/>
      <c r="Z54" s="106"/>
      <c r="AA54" s="106"/>
      <c r="AB54" s="106"/>
      <c r="AC54" s="106"/>
      <c r="AD54" s="108"/>
      <c r="AE54" s="106"/>
      <c r="AF54" s="107"/>
      <c r="AG54" s="106"/>
      <c r="AH54" s="106"/>
      <c r="AI54" s="106"/>
      <c r="AJ54" s="106"/>
      <c r="AK54" s="106"/>
      <c r="AL54" s="106"/>
      <c r="AM54" s="106"/>
      <c r="AN54" s="108"/>
      <c r="AO54" s="106"/>
      <c r="AP54" s="107"/>
      <c r="AQ54" s="106"/>
      <c r="AR54" s="106"/>
      <c r="AS54" s="106"/>
      <c r="AT54" s="106"/>
      <c r="AU54" s="106"/>
      <c r="AV54" s="106"/>
      <c r="AW54" s="106"/>
      <c r="AX54" s="108"/>
      <c r="AY54" s="106"/>
      <c r="AZ54" s="107"/>
      <c r="BA54" s="106"/>
      <c r="BB54" s="106"/>
      <c r="BC54" s="106"/>
      <c r="BD54" s="106"/>
      <c r="BE54" s="106"/>
      <c r="BF54" s="106"/>
      <c r="BG54" s="106"/>
      <c r="BH54" s="108"/>
      <c r="BI54" s="106"/>
      <c r="BJ54" s="107"/>
      <c r="BK54" s="106"/>
      <c r="BL54" s="106"/>
      <c r="BM54" s="106"/>
      <c r="BN54" s="106"/>
      <c r="BO54" s="106"/>
      <c r="BP54" s="106"/>
      <c r="BQ54" s="106"/>
      <c r="BR54" s="108"/>
      <c r="BS54" s="38"/>
      <c r="BT54" s="38"/>
    </row>
    <row r="55" spans="1:72" s="39" customFormat="1" ht="9" customHeight="1" x14ac:dyDescent="0.25">
      <c r="A55" s="38"/>
      <c r="B55" s="107"/>
      <c r="C55" s="106"/>
      <c r="D55" s="106"/>
      <c r="E55" s="106"/>
      <c r="F55" s="106"/>
      <c r="G55" s="106"/>
      <c r="H55" s="106"/>
      <c r="I55" s="106"/>
      <c r="J55" s="108"/>
      <c r="K55" s="106"/>
      <c r="L55" s="107"/>
      <c r="M55" s="106"/>
      <c r="N55" s="106"/>
      <c r="O55" s="106"/>
      <c r="P55" s="106"/>
      <c r="Q55" s="106"/>
      <c r="R55" s="106"/>
      <c r="S55" s="106"/>
      <c r="T55" s="108"/>
      <c r="U55" s="106"/>
      <c r="V55" s="107"/>
      <c r="W55" s="106"/>
      <c r="X55" s="106"/>
      <c r="Y55" s="106"/>
      <c r="Z55" s="106"/>
      <c r="AA55" s="106"/>
      <c r="AB55" s="106"/>
      <c r="AC55" s="106"/>
      <c r="AD55" s="108"/>
      <c r="AE55" s="106"/>
      <c r="AF55" s="107"/>
      <c r="AG55" s="106"/>
      <c r="AH55" s="106"/>
      <c r="AI55" s="106"/>
      <c r="AJ55" s="106"/>
      <c r="AK55" s="106"/>
      <c r="AL55" s="106"/>
      <c r="AM55" s="106"/>
      <c r="AN55" s="108"/>
      <c r="AO55" s="106"/>
      <c r="AP55" s="107"/>
      <c r="AQ55" s="106"/>
      <c r="AR55" s="106"/>
      <c r="AS55" s="106"/>
      <c r="AT55" s="106"/>
      <c r="AU55" s="106"/>
      <c r="AV55" s="106"/>
      <c r="AW55" s="106"/>
      <c r="AX55" s="108"/>
      <c r="AY55" s="106"/>
      <c r="AZ55" s="107"/>
      <c r="BA55" s="106"/>
      <c r="BB55" s="106"/>
      <c r="BC55" s="106"/>
      <c r="BD55" s="106"/>
      <c r="BE55" s="106"/>
      <c r="BF55" s="106"/>
      <c r="BG55" s="106"/>
      <c r="BH55" s="108"/>
      <c r="BI55" s="106"/>
      <c r="BJ55" s="107"/>
      <c r="BK55" s="106"/>
      <c r="BL55" s="106"/>
      <c r="BM55" s="106"/>
      <c r="BN55" s="106"/>
      <c r="BO55" s="106"/>
      <c r="BP55" s="106"/>
      <c r="BQ55" s="106"/>
      <c r="BR55" s="108"/>
      <c r="BS55" s="38"/>
      <c r="BT55" s="38"/>
    </row>
    <row r="56" spans="1:72" s="23" customFormat="1" ht="9" customHeight="1" x14ac:dyDescent="0.25">
      <c r="A56" s="26"/>
      <c r="B56" s="88"/>
      <c r="C56" s="87"/>
      <c r="D56" s="87"/>
      <c r="E56" s="87"/>
      <c r="F56" s="87"/>
      <c r="G56" s="87"/>
      <c r="H56" s="87"/>
      <c r="I56" s="87"/>
      <c r="J56" s="89"/>
      <c r="K56" s="87"/>
      <c r="L56" s="88"/>
      <c r="M56" s="87"/>
      <c r="N56" s="87"/>
      <c r="O56" s="87"/>
      <c r="P56" s="87"/>
      <c r="Q56" s="87"/>
      <c r="R56" s="87"/>
      <c r="S56" s="87"/>
      <c r="T56" s="89"/>
      <c r="U56" s="87"/>
      <c r="V56" s="88"/>
      <c r="W56" s="87"/>
      <c r="X56" s="87"/>
      <c r="Y56" s="87"/>
      <c r="Z56" s="87"/>
      <c r="AA56" s="87"/>
      <c r="AB56" s="87"/>
      <c r="AC56" s="87"/>
      <c r="AD56" s="89"/>
      <c r="AE56" s="87"/>
      <c r="AF56" s="88"/>
      <c r="AG56" s="87"/>
      <c r="AH56" s="87"/>
      <c r="AI56" s="87"/>
      <c r="AJ56" s="87"/>
      <c r="AK56" s="87"/>
      <c r="AL56" s="87"/>
      <c r="AM56" s="87"/>
      <c r="AN56" s="89"/>
      <c r="AO56" s="87"/>
      <c r="AP56" s="88"/>
      <c r="AQ56" s="87"/>
      <c r="AR56" s="87"/>
      <c r="AS56" s="87"/>
      <c r="AT56" s="87"/>
      <c r="AU56" s="87"/>
      <c r="AV56" s="87"/>
      <c r="AW56" s="87"/>
      <c r="AX56" s="89"/>
      <c r="AY56" s="87"/>
      <c r="AZ56" s="88"/>
      <c r="BA56" s="87"/>
      <c r="BB56" s="87"/>
      <c r="BC56" s="87"/>
      <c r="BD56" s="87"/>
      <c r="BE56" s="87"/>
      <c r="BF56" s="87"/>
      <c r="BG56" s="87"/>
      <c r="BH56" s="89"/>
      <c r="BI56" s="87"/>
      <c r="BJ56" s="88"/>
      <c r="BK56" s="87"/>
      <c r="BL56" s="87"/>
      <c r="BM56" s="87"/>
      <c r="BN56" s="87"/>
      <c r="BO56" s="87"/>
      <c r="BP56" s="87"/>
      <c r="BQ56" s="87"/>
      <c r="BR56" s="89"/>
      <c r="BS56" s="26"/>
      <c r="BT56" s="26"/>
    </row>
    <row r="57" spans="1:72" s="23" customFormat="1" ht="9" customHeight="1" x14ac:dyDescent="0.25">
      <c r="A57" s="26"/>
      <c r="B57" s="88"/>
      <c r="C57" s="87"/>
      <c r="D57" s="87"/>
      <c r="E57" s="87"/>
      <c r="F57" s="87"/>
      <c r="G57" s="87"/>
      <c r="H57" s="87"/>
      <c r="I57" s="87"/>
      <c r="J57" s="89"/>
      <c r="K57" s="87"/>
      <c r="L57" s="88"/>
      <c r="M57" s="87"/>
      <c r="N57" s="87"/>
      <c r="O57" s="87"/>
      <c r="P57" s="87"/>
      <c r="Q57" s="87"/>
      <c r="R57" s="87"/>
      <c r="S57" s="87"/>
      <c r="T57" s="89"/>
      <c r="U57" s="87"/>
      <c r="V57" s="88"/>
      <c r="W57" s="87"/>
      <c r="X57" s="87"/>
      <c r="Y57" s="87"/>
      <c r="Z57" s="87"/>
      <c r="AA57" s="87"/>
      <c r="AB57" s="87"/>
      <c r="AC57" s="87"/>
      <c r="AD57" s="89"/>
      <c r="AE57" s="87"/>
      <c r="AF57" s="88"/>
      <c r="AG57" s="87"/>
      <c r="AH57" s="87"/>
      <c r="AI57" s="87"/>
      <c r="AJ57" s="87"/>
      <c r="AK57" s="87"/>
      <c r="AL57" s="87"/>
      <c r="AM57" s="87"/>
      <c r="AN57" s="89"/>
      <c r="AO57" s="87"/>
      <c r="AP57" s="88"/>
      <c r="AQ57" s="87"/>
      <c r="AR57" s="87"/>
      <c r="AS57" s="87"/>
      <c r="AT57" s="87"/>
      <c r="AU57" s="87"/>
      <c r="AV57" s="87"/>
      <c r="AW57" s="87"/>
      <c r="AX57" s="89"/>
      <c r="AY57" s="87"/>
      <c r="AZ57" s="88"/>
      <c r="BA57" s="87"/>
      <c r="BB57" s="87"/>
      <c r="BC57" s="87"/>
      <c r="BD57" s="87"/>
      <c r="BE57" s="87"/>
      <c r="BF57" s="87"/>
      <c r="BG57" s="87"/>
      <c r="BH57" s="89"/>
      <c r="BI57" s="87"/>
      <c r="BJ57" s="88"/>
      <c r="BK57" s="87"/>
      <c r="BL57" s="87"/>
      <c r="BM57" s="87"/>
      <c r="BN57" s="87"/>
      <c r="BO57" s="87"/>
      <c r="BP57" s="87"/>
      <c r="BQ57" s="87"/>
      <c r="BR57" s="89"/>
      <c r="BS57" s="26"/>
      <c r="BT57" s="26"/>
    </row>
    <row r="58" spans="1:72" s="23" customFormat="1" ht="9" customHeight="1" x14ac:dyDescent="0.25">
      <c r="A58" s="26"/>
      <c r="B58" s="88"/>
      <c r="C58" s="87"/>
      <c r="D58" s="87"/>
      <c r="E58" s="87"/>
      <c r="F58" s="87"/>
      <c r="G58" s="87"/>
      <c r="H58" s="87"/>
      <c r="I58" s="87"/>
      <c r="J58" s="89"/>
      <c r="K58" s="87"/>
      <c r="L58" s="88"/>
      <c r="M58" s="87"/>
      <c r="N58" s="87"/>
      <c r="O58" s="87"/>
      <c r="P58" s="87"/>
      <c r="Q58" s="87"/>
      <c r="R58" s="87"/>
      <c r="S58" s="87"/>
      <c r="T58" s="89"/>
      <c r="U58" s="87"/>
      <c r="V58" s="88"/>
      <c r="W58" s="87"/>
      <c r="X58" s="87"/>
      <c r="Y58" s="87"/>
      <c r="Z58" s="87"/>
      <c r="AA58" s="87"/>
      <c r="AB58" s="87"/>
      <c r="AC58" s="87"/>
      <c r="AD58" s="89"/>
      <c r="AE58" s="87"/>
      <c r="AF58" s="88"/>
      <c r="AG58" s="87"/>
      <c r="AH58" s="87"/>
      <c r="AI58" s="87"/>
      <c r="AJ58" s="87"/>
      <c r="AK58" s="87"/>
      <c r="AL58" s="87"/>
      <c r="AM58" s="87"/>
      <c r="AN58" s="89"/>
      <c r="AO58" s="87"/>
      <c r="AP58" s="88"/>
      <c r="AQ58" s="87"/>
      <c r="AR58" s="87"/>
      <c r="AS58" s="87"/>
      <c r="AT58" s="87"/>
      <c r="AU58" s="87"/>
      <c r="AV58" s="87"/>
      <c r="AW58" s="87"/>
      <c r="AX58" s="89"/>
      <c r="AY58" s="87"/>
      <c r="AZ58" s="88"/>
      <c r="BA58" s="87"/>
      <c r="BB58" s="87"/>
      <c r="BC58" s="87"/>
      <c r="BD58" s="87"/>
      <c r="BE58" s="87"/>
      <c r="BF58" s="87"/>
      <c r="BG58" s="87"/>
      <c r="BH58" s="89"/>
      <c r="BI58" s="87"/>
      <c r="BJ58" s="88"/>
      <c r="BK58" s="87"/>
      <c r="BL58" s="87"/>
      <c r="BM58" s="87"/>
      <c r="BN58" s="87"/>
      <c r="BO58" s="87"/>
      <c r="BP58" s="87"/>
      <c r="BQ58" s="87"/>
      <c r="BR58" s="89"/>
      <c r="BS58" s="26"/>
      <c r="BT58" s="26"/>
    </row>
    <row r="59" spans="1:72" s="23" customFormat="1" ht="9" customHeight="1" x14ac:dyDescent="0.25">
      <c r="A59" s="26"/>
      <c r="B59" s="88"/>
      <c r="C59" s="87"/>
      <c r="D59" s="87"/>
      <c r="E59" s="87"/>
      <c r="F59" s="87"/>
      <c r="G59" s="87"/>
      <c r="H59" s="87"/>
      <c r="I59" s="87"/>
      <c r="J59" s="89"/>
      <c r="K59" s="87"/>
      <c r="L59" s="88"/>
      <c r="M59" s="87"/>
      <c r="N59" s="87"/>
      <c r="O59" s="87"/>
      <c r="P59" s="87"/>
      <c r="Q59" s="87"/>
      <c r="R59" s="87"/>
      <c r="S59" s="87"/>
      <c r="T59" s="89"/>
      <c r="U59" s="87"/>
      <c r="V59" s="88"/>
      <c r="W59" s="87"/>
      <c r="X59" s="87"/>
      <c r="Y59" s="87"/>
      <c r="Z59" s="87"/>
      <c r="AA59" s="87"/>
      <c r="AB59" s="87"/>
      <c r="AC59" s="87"/>
      <c r="AD59" s="89"/>
      <c r="AE59" s="87"/>
      <c r="AF59" s="88"/>
      <c r="AG59" s="87"/>
      <c r="AH59" s="87"/>
      <c r="AI59" s="87"/>
      <c r="AJ59" s="87"/>
      <c r="AK59" s="87"/>
      <c r="AL59" s="87"/>
      <c r="AM59" s="87"/>
      <c r="AN59" s="89"/>
      <c r="AO59" s="87"/>
      <c r="AP59" s="88"/>
      <c r="AQ59" s="87"/>
      <c r="AR59" s="87"/>
      <c r="AS59" s="87"/>
      <c r="AT59" s="87"/>
      <c r="AU59" s="87"/>
      <c r="AV59" s="87"/>
      <c r="AW59" s="87"/>
      <c r="AX59" s="89"/>
      <c r="AY59" s="87"/>
      <c r="AZ59" s="88"/>
      <c r="BA59" s="87"/>
      <c r="BB59" s="87"/>
      <c r="BC59" s="87"/>
      <c r="BD59" s="87"/>
      <c r="BE59" s="87"/>
      <c r="BF59" s="87"/>
      <c r="BG59" s="87"/>
      <c r="BH59" s="89"/>
      <c r="BI59" s="87"/>
      <c r="BJ59" s="88"/>
      <c r="BK59" s="87"/>
      <c r="BL59" s="87"/>
      <c r="BM59" s="87"/>
      <c r="BN59" s="87"/>
      <c r="BO59" s="87"/>
      <c r="BP59" s="87"/>
      <c r="BQ59" s="87"/>
      <c r="BR59" s="89"/>
      <c r="BS59" s="26"/>
      <c r="BT59" s="26"/>
    </row>
    <row r="60" spans="1:72" s="23" customFormat="1" ht="9" customHeight="1" x14ac:dyDescent="0.25">
      <c r="A60" s="26"/>
      <c r="B60" s="116"/>
      <c r="C60" s="96"/>
      <c r="D60" s="96"/>
      <c r="E60" s="96"/>
      <c r="F60" s="96"/>
      <c r="G60" s="96"/>
      <c r="H60" s="96"/>
      <c r="I60" s="96"/>
      <c r="J60" s="97"/>
      <c r="K60" s="87"/>
      <c r="L60" s="116"/>
      <c r="M60" s="96"/>
      <c r="N60" s="96"/>
      <c r="O60" s="96"/>
      <c r="P60" s="96"/>
      <c r="Q60" s="96"/>
      <c r="R60" s="96"/>
      <c r="S60" s="96"/>
      <c r="T60" s="97"/>
      <c r="U60" s="87"/>
      <c r="V60" s="116"/>
      <c r="W60" s="96"/>
      <c r="X60" s="96"/>
      <c r="Y60" s="96"/>
      <c r="Z60" s="96"/>
      <c r="AA60" s="96"/>
      <c r="AB60" s="96"/>
      <c r="AC60" s="96"/>
      <c r="AD60" s="97"/>
      <c r="AE60" s="87"/>
      <c r="AF60" s="116"/>
      <c r="AG60" s="96"/>
      <c r="AH60" s="96"/>
      <c r="AI60" s="96"/>
      <c r="AJ60" s="96"/>
      <c r="AK60" s="96"/>
      <c r="AL60" s="96"/>
      <c r="AM60" s="96"/>
      <c r="AN60" s="97"/>
      <c r="AO60" s="87"/>
      <c r="AP60" s="116"/>
      <c r="AQ60" s="96"/>
      <c r="AR60" s="96"/>
      <c r="AS60" s="96"/>
      <c r="AT60" s="96"/>
      <c r="AU60" s="96"/>
      <c r="AV60" s="96"/>
      <c r="AW60" s="96"/>
      <c r="AX60" s="97"/>
      <c r="AY60" s="87"/>
      <c r="AZ60" s="539" t="s">
        <v>727</v>
      </c>
      <c r="BA60" s="540"/>
      <c r="BB60" s="540"/>
      <c r="BC60" s="540"/>
      <c r="BD60" s="540"/>
      <c r="BE60" s="540"/>
      <c r="BF60" s="540"/>
      <c r="BG60" s="540"/>
      <c r="BH60" s="541"/>
      <c r="BI60" s="87"/>
      <c r="BJ60" s="539" t="s">
        <v>727</v>
      </c>
      <c r="BK60" s="540"/>
      <c r="BL60" s="540"/>
      <c r="BM60" s="540"/>
      <c r="BN60" s="540"/>
      <c r="BO60" s="540"/>
      <c r="BP60" s="540"/>
      <c r="BQ60" s="540"/>
      <c r="BR60" s="541"/>
      <c r="BS60" s="26"/>
      <c r="BT60" s="26"/>
    </row>
    <row r="61" spans="1:72" s="23" customFormat="1" ht="9" customHeight="1" x14ac:dyDescent="0.25">
      <c r="A61" s="26"/>
      <c r="B61" s="492" t="s">
        <v>411</v>
      </c>
      <c r="C61" s="492"/>
      <c r="D61" s="492"/>
      <c r="E61" s="492"/>
      <c r="F61" s="492"/>
      <c r="G61" s="493">
        <f>CEILING(2682*B5,1)</f>
        <v>3755</v>
      </c>
      <c r="H61" s="493"/>
      <c r="I61" s="493"/>
      <c r="J61" s="493"/>
      <c r="K61" s="223"/>
      <c r="L61" s="492" t="s">
        <v>411</v>
      </c>
      <c r="M61" s="492"/>
      <c r="N61" s="492"/>
      <c r="O61" s="492"/>
      <c r="P61" s="492"/>
      <c r="Q61" s="493">
        <f>CEILING(2932*B5,1)</f>
        <v>4105</v>
      </c>
      <c r="R61" s="493"/>
      <c r="S61" s="493"/>
      <c r="T61" s="493"/>
      <c r="U61" s="223"/>
      <c r="V61" s="492" t="s">
        <v>411</v>
      </c>
      <c r="W61" s="492"/>
      <c r="X61" s="492"/>
      <c r="Y61" s="492"/>
      <c r="Z61" s="492"/>
      <c r="AA61" s="493">
        <f>CEILING(2298*B5,1)</f>
        <v>3218</v>
      </c>
      <c r="AB61" s="493"/>
      <c r="AC61" s="493"/>
      <c r="AD61" s="493"/>
      <c r="AE61" s="223"/>
      <c r="AF61" s="492" t="s">
        <v>411</v>
      </c>
      <c r="AG61" s="492"/>
      <c r="AH61" s="492"/>
      <c r="AI61" s="492"/>
      <c r="AJ61" s="492"/>
      <c r="AK61" s="493">
        <f>CEILING(2411*B5,1)</f>
        <v>3376</v>
      </c>
      <c r="AL61" s="493"/>
      <c r="AM61" s="493"/>
      <c r="AN61" s="493"/>
      <c r="AO61" s="223"/>
      <c r="AP61" s="492" t="s">
        <v>411</v>
      </c>
      <c r="AQ61" s="492"/>
      <c r="AR61" s="492"/>
      <c r="AS61" s="492"/>
      <c r="AT61" s="492"/>
      <c r="AU61" s="493">
        <f>CEILING(2479*B5,1)</f>
        <v>3471</v>
      </c>
      <c r="AV61" s="493"/>
      <c r="AW61" s="493"/>
      <c r="AX61" s="493"/>
      <c r="AY61" s="223"/>
      <c r="AZ61" s="492" t="s">
        <v>412</v>
      </c>
      <c r="BA61" s="492"/>
      <c r="BB61" s="492"/>
      <c r="BC61" s="492"/>
      <c r="BD61" s="492"/>
      <c r="BE61" s="493">
        <f>CEILING(2182*B5,1)</f>
        <v>3055</v>
      </c>
      <c r="BF61" s="493"/>
      <c r="BG61" s="493"/>
      <c r="BH61" s="493"/>
      <c r="BI61" s="223"/>
      <c r="BJ61" s="492" t="s">
        <v>412</v>
      </c>
      <c r="BK61" s="492"/>
      <c r="BL61" s="492"/>
      <c r="BM61" s="492"/>
      <c r="BN61" s="492"/>
      <c r="BO61" s="493">
        <f>CEILING(2523*B5,1)</f>
        <v>3533</v>
      </c>
      <c r="BP61" s="493"/>
      <c r="BQ61" s="493"/>
      <c r="BR61" s="493"/>
      <c r="BS61" s="26"/>
      <c r="BT61" s="26"/>
    </row>
    <row r="62" spans="1:72" s="23" customFormat="1" ht="1.5" customHeight="1" x14ac:dyDescent="0.25">
      <c r="A62" s="26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26"/>
      <c r="BT62" s="26"/>
    </row>
    <row r="63" spans="1:72" s="23" customFormat="1" ht="9" customHeight="1" x14ac:dyDescent="0.25">
      <c r="A63" s="26"/>
      <c r="B63" s="474" t="s">
        <v>382</v>
      </c>
      <c r="C63" s="475"/>
      <c r="D63" s="476"/>
      <c r="E63" s="505" t="s">
        <v>396</v>
      </c>
      <c r="F63" s="505"/>
      <c r="G63" s="505"/>
      <c r="H63" s="505"/>
      <c r="I63" s="505"/>
      <c r="J63" s="506"/>
      <c r="K63" s="87"/>
      <c r="L63" s="474" t="s">
        <v>383</v>
      </c>
      <c r="M63" s="475"/>
      <c r="N63" s="476"/>
      <c r="O63" s="505" t="s">
        <v>396</v>
      </c>
      <c r="P63" s="505"/>
      <c r="Q63" s="505"/>
      <c r="R63" s="505"/>
      <c r="S63" s="505"/>
      <c r="T63" s="506"/>
      <c r="U63" s="87"/>
      <c r="V63" s="474" t="s">
        <v>384</v>
      </c>
      <c r="W63" s="475"/>
      <c r="X63" s="476"/>
      <c r="Y63" s="505" t="s">
        <v>396</v>
      </c>
      <c r="Z63" s="505"/>
      <c r="AA63" s="505"/>
      <c r="AB63" s="505"/>
      <c r="AC63" s="505"/>
      <c r="AD63" s="506"/>
      <c r="AE63" s="87"/>
      <c r="AF63" s="474" t="s">
        <v>385</v>
      </c>
      <c r="AG63" s="475"/>
      <c r="AH63" s="476"/>
      <c r="AI63" s="505" t="s">
        <v>397</v>
      </c>
      <c r="AJ63" s="505"/>
      <c r="AK63" s="505"/>
      <c r="AL63" s="505"/>
      <c r="AM63" s="505"/>
      <c r="AN63" s="506"/>
      <c r="AO63" s="87"/>
      <c r="AP63" s="474" t="s">
        <v>386</v>
      </c>
      <c r="AQ63" s="475"/>
      <c r="AR63" s="476"/>
      <c r="AS63" s="505" t="s">
        <v>397</v>
      </c>
      <c r="AT63" s="505"/>
      <c r="AU63" s="505"/>
      <c r="AV63" s="505"/>
      <c r="AW63" s="505"/>
      <c r="AX63" s="506"/>
      <c r="AY63" s="87"/>
      <c r="AZ63" s="474" t="s">
        <v>387</v>
      </c>
      <c r="BA63" s="475"/>
      <c r="BB63" s="476"/>
      <c r="BC63" s="505" t="s">
        <v>397</v>
      </c>
      <c r="BD63" s="505"/>
      <c r="BE63" s="505"/>
      <c r="BF63" s="505"/>
      <c r="BG63" s="505"/>
      <c r="BH63" s="506"/>
      <c r="BI63" s="106"/>
      <c r="BJ63" s="474" t="s">
        <v>388</v>
      </c>
      <c r="BK63" s="475"/>
      <c r="BL63" s="476"/>
      <c r="BM63" s="505" t="s">
        <v>398</v>
      </c>
      <c r="BN63" s="505"/>
      <c r="BO63" s="505"/>
      <c r="BP63" s="505"/>
      <c r="BQ63" s="505"/>
      <c r="BR63" s="506"/>
      <c r="BS63" s="26"/>
      <c r="BT63" s="26"/>
    </row>
    <row r="64" spans="1:72" s="23" customFormat="1" ht="9" customHeight="1" x14ac:dyDescent="0.25">
      <c r="A64" s="26"/>
      <c r="B64" s="489" t="s">
        <v>735</v>
      </c>
      <c r="C64" s="490"/>
      <c r="D64" s="490"/>
      <c r="E64" s="490"/>
      <c r="F64" s="490"/>
      <c r="G64" s="490"/>
      <c r="H64" s="490"/>
      <c r="I64" s="490"/>
      <c r="J64" s="491"/>
      <c r="K64" s="90"/>
      <c r="L64" s="489" t="s">
        <v>735</v>
      </c>
      <c r="M64" s="490"/>
      <c r="N64" s="490"/>
      <c r="O64" s="490"/>
      <c r="P64" s="490"/>
      <c r="Q64" s="490"/>
      <c r="R64" s="490"/>
      <c r="S64" s="490"/>
      <c r="T64" s="491"/>
      <c r="U64" s="90"/>
      <c r="V64" s="489" t="s">
        <v>735</v>
      </c>
      <c r="W64" s="490"/>
      <c r="X64" s="490"/>
      <c r="Y64" s="490"/>
      <c r="Z64" s="490"/>
      <c r="AA64" s="490"/>
      <c r="AB64" s="490"/>
      <c r="AC64" s="490"/>
      <c r="AD64" s="491"/>
      <c r="AE64" s="90"/>
      <c r="AF64" s="116"/>
      <c r="AG64" s="96"/>
      <c r="AH64" s="96"/>
      <c r="AI64" s="96"/>
      <c r="AJ64" s="96"/>
      <c r="AK64" s="96"/>
      <c r="AL64" s="96"/>
      <c r="AM64" s="96"/>
      <c r="AN64" s="97"/>
      <c r="AO64" s="90"/>
      <c r="AP64" s="116"/>
      <c r="AQ64" s="96"/>
      <c r="AR64" s="96"/>
      <c r="AS64" s="96"/>
      <c r="AT64" s="96"/>
      <c r="AU64" s="96"/>
      <c r="AV64" s="96"/>
      <c r="AW64" s="96"/>
      <c r="AX64" s="97"/>
      <c r="AY64" s="87"/>
      <c r="AZ64" s="116"/>
      <c r="BA64" s="96"/>
      <c r="BB64" s="96"/>
      <c r="BC64" s="96"/>
      <c r="BD64" s="96"/>
      <c r="BE64" s="96"/>
      <c r="BF64" s="96"/>
      <c r="BG64" s="96"/>
      <c r="BH64" s="97"/>
      <c r="BI64" s="106"/>
      <c r="BJ64" s="116"/>
      <c r="BK64" s="96"/>
      <c r="BL64" s="96"/>
      <c r="BM64" s="96"/>
      <c r="BN64" s="96"/>
      <c r="BO64" s="96"/>
      <c r="BP64" s="96"/>
      <c r="BQ64" s="96"/>
      <c r="BR64" s="97"/>
      <c r="BS64" s="26"/>
      <c r="BT64" s="26"/>
    </row>
    <row r="65" spans="1:80" s="23" customFormat="1" ht="9" customHeight="1" x14ac:dyDescent="0.25">
      <c r="A65" s="26"/>
      <c r="B65" s="489" t="s">
        <v>733</v>
      </c>
      <c r="C65" s="490"/>
      <c r="D65" s="490"/>
      <c r="E65" s="490"/>
      <c r="F65" s="490"/>
      <c r="G65" s="490"/>
      <c r="H65" s="490"/>
      <c r="I65" s="490"/>
      <c r="J65" s="491"/>
      <c r="K65" s="90"/>
      <c r="L65" s="489" t="s">
        <v>733</v>
      </c>
      <c r="M65" s="490"/>
      <c r="N65" s="490"/>
      <c r="O65" s="490"/>
      <c r="P65" s="490"/>
      <c r="Q65" s="490"/>
      <c r="R65" s="490"/>
      <c r="S65" s="490"/>
      <c r="T65" s="491"/>
      <c r="U65" s="90"/>
      <c r="V65" s="489" t="s">
        <v>733</v>
      </c>
      <c r="W65" s="490"/>
      <c r="X65" s="490"/>
      <c r="Y65" s="490"/>
      <c r="Z65" s="490"/>
      <c r="AA65" s="490"/>
      <c r="AB65" s="490"/>
      <c r="AC65" s="490"/>
      <c r="AD65" s="491"/>
      <c r="AE65" s="90"/>
      <c r="AF65" s="103"/>
      <c r="AG65" s="90"/>
      <c r="AH65" s="90"/>
      <c r="AI65" s="90"/>
      <c r="AJ65" s="90"/>
      <c r="AK65" s="90"/>
      <c r="AL65" s="90"/>
      <c r="AM65" s="90"/>
      <c r="AN65" s="91"/>
      <c r="AO65" s="90"/>
      <c r="AP65" s="103"/>
      <c r="AQ65" s="90"/>
      <c r="AR65" s="90"/>
      <c r="AS65" s="90"/>
      <c r="AT65" s="90"/>
      <c r="AU65" s="90"/>
      <c r="AV65" s="90"/>
      <c r="AW65" s="90"/>
      <c r="AX65" s="91"/>
      <c r="AY65" s="87"/>
      <c r="AZ65" s="116"/>
      <c r="BA65" s="96"/>
      <c r="BB65" s="96"/>
      <c r="BC65" s="90"/>
      <c r="BD65" s="90"/>
      <c r="BE65" s="90"/>
      <c r="BF65" s="90"/>
      <c r="BG65" s="90"/>
      <c r="BH65" s="91"/>
      <c r="BI65" s="106"/>
      <c r="BJ65" s="116"/>
      <c r="BK65" s="96"/>
      <c r="BL65" s="96"/>
      <c r="BM65" s="90"/>
      <c r="BN65" s="90"/>
      <c r="BO65" s="90"/>
      <c r="BP65" s="90"/>
      <c r="BQ65" s="90"/>
      <c r="BR65" s="91"/>
      <c r="BS65" s="26"/>
      <c r="BT65" s="26"/>
    </row>
    <row r="66" spans="1:80" s="23" customFormat="1" ht="9" customHeight="1" x14ac:dyDescent="0.25">
      <c r="A66" s="26"/>
      <c r="B66" s="103"/>
      <c r="C66" s="90"/>
      <c r="D66" s="90"/>
      <c r="E66" s="90"/>
      <c r="F66" s="90"/>
      <c r="G66" s="90"/>
      <c r="H66" s="90"/>
      <c r="I66" s="90"/>
      <c r="J66" s="91"/>
      <c r="K66" s="90"/>
      <c r="L66" s="103"/>
      <c r="M66" s="90"/>
      <c r="N66" s="90"/>
      <c r="O66" s="90"/>
      <c r="P66" s="90"/>
      <c r="Q66" s="90"/>
      <c r="R66" s="90"/>
      <c r="S66" s="90"/>
      <c r="T66" s="91"/>
      <c r="U66" s="90"/>
      <c r="V66" s="103"/>
      <c r="W66" s="90"/>
      <c r="X66" s="90"/>
      <c r="Y66" s="90"/>
      <c r="Z66" s="90"/>
      <c r="AA66" s="90"/>
      <c r="AB66" s="90"/>
      <c r="AC66" s="90"/>
      <c r="AD66" s="91"/>
      <c r="AE66" s="90"/>
      <c r="AF66" s="103"/>
      <c r="AG66" s="90"/>
      <c r="AH66" s="90"/>
      <c r="AI66" s="90"/>
      <c r="AJ66" s="90"/>
      <c r="AK66" s="90"/>
      <c r="AL66" s="90"/>
      <c r="AM66" s="90"/>
      <c r="AN66" s="91"/>
      <c r="AO66" s="90"/>
      <c r="AP66" s="103"/>
      <c r="AQ66" s="90"/>
      <c r="AR66" s="90"/>
      <c r="AS66" s="90"/>
      <c r="AT66" s="90"/>
      <c r="AU66" s="90"/>
      <c r="AV66" s="90"/>
      <c r="AW66" s="90"/>
      <c r="AX66" s="91"/>
      <c r="AY66" s="87"/>
      <c r="AZ66" s="116"/>
      <c r="BA66" s="96"/>
      <c r="BB66" s="96"/>
      <c r="BC66" s="96"/>
      <c r="BD66" s="96"/>
      <c r="BE66" s="96"/>
      <c r="BF66" s="96"/>
      <c r="BG66" s="96"/>
      <c r="BH66" s="97"/>
      <c r="BI66" s="106"/>
      <c r="BJ66" s="103"/>
      <c r="BK66" s="90"/>
      <c r="BL66" s="90"/>
      <c r="BM66" s="90"/>
      <c r="BN66" s="90"/>
      <c r="BO66" s="90"/>
      <c r="BP66" s="90"/>
      <c r="BQ66" s="90"/>
      <c r="BR66" s="91"/>
      <c r="BS66" s="26"/>
      <c r="BT66" s="26"/>
    </row>
    <row r="67" spans="1:80" s="23" customFormat="1" ht="9" customHeight="1" x14ac:dyDescent="0.25">
      <c r="A67" s="26"/>
      <c r="B67" s="88"/>
      <c r="C67" s="87"/>
      <c r="D67" s="87"/>
      <c r="E67" s="87"/>
      <c r="F67" s="87"/>
      <c r="G67" s="87"/>
      <c r="H67" s="87"/>
      <c r="I67" s="87"/>
      <c r="J67" s="89"/>
      <c r="K67" s="87"/>
      <c r="L67" s="88"/>
      <c r="M67" s="87"/>
      <c r="N67" s="87"/>
      <c r="O67" s="87"/>
      <c r="P67" s="87"/>
      <c r="Q67" s="87"/>
      <c r="R67" s="87"/>
      <c r="S67" s="87"/>
      <c r="T67" s="89"/>
      <c r="U67" s="87"/>
      <c r="V67" s="88"/>
      <c r="W67" s="87"/>
      <c r="X67" s="87"/>
      <c r="Y67" s="87"/>
      <c r="Z67" s="87"/>
      <c r="AA67" s="87"/>
      <c r="AB67" s="87"/>
      <c r="AC67" s="87"/>
      <c r="AD67" s="89"/>
      <c r="AE67" s="87"/>
      <c r="AF67" s="88"/>
      <c r="AG67" s="87"/>
      <c r="AH67" s="87"/>
      <c r="AI67" s="87"/>
      <c r="AJ67" s="87"/>
      <c r="AK67" s="87"/>
      <c r="AL67" s="87"/>
      <c r="AM67" s="87"/>
      <c r="AN67" s="89"/>
      <c r="AO67" s="87"/>
      <c r="AP67" s="88"/>
      <c r="AQ67" s="87"/>
      <c r="AR67" s="87"/>
      <c r="AS67" s="87"/>
      <c r="AT67" s="87"/>
      <c r="AU67" s="87"/>
      <c r="AV67" s="87"/>
      <c r="AW67" s="87"/>
      <c r="AX67" s="89"/>
      <c r="AY67" s="87"/>
      <c r="AZ67" s="116"/>
      <c r="BA67" s="96"/>
      <c r="BB67" s="96"/>
      <c r="BC67" s="96"/>
      <c r="BD67" s="96"/>
      <c r="BE67" s="96"/>
      <c r="BF67" s="96"/>
      <c r="BG67" s="96"/>
      <c r="BH67" s="97"/>
      <c r="BI67" s="106"/>
      <c r="BJ67" s="116"/>
      <c r="BK67" s="96"/>
      <c r="BL67" s="96"/>
      <c r="BM67" s="96"/>
      <c r="BN67" s="96"/>
      <c r="BO67" s="96"/>
      <c r="BP67" s="96"/>
      <c r="BQ67" s="96"/>
      <c r="BR67" s="97"/>
      <c r="BS67" s="26"/>
      <c r="BT67" s="26"/>
    </row>
    <row r="68" spans="1:80" s="23" customFormat="1" ht="9" customHeight="1" x14ac:dyDescent="0.25">
      <c r="A68" s="26"/>
      <c r="B68" s="107"/>
      <c r="C68" s="106"/>
      <c r="D68" s="106"/>
      <c r="E68" s="106"/>
      <c r="F68" s="106"/>
      <c r="G68" s="106"/>
      <c r="H68" s="106"/>
      <c r="I68" s="106"/>
      <c r="J68" s="108"/>
      <c r="K68" s="87"/>
      <c r="L68" s="107"/>
      <c r="M68" s="106"/>
      <c r="N68" s="106"/>
      <c r="O68" s="106"/>
      <c r="P68" s="106"/>
      <c r="Q68" s="106"/>
      <c r="R68" s="106"/>
      <c r="S68" s="106"/>
      <c r="T68" s="108"/>
      <c r="U68" s="87"/>
      <c r="V68" s="107"/>
      <c r="W68" s="106"/>
      <c r="X68" s="106"/>
      <c r="Y68" s="106"/>
      <c r="Z68" s="106"/>
      <c r="AA68" s="106"/>
      <c r="AB68" s="106"/>
      <c r="AC68" s="106"/>
      <c r="AD68" s="108"/>
      <c r="AE68" s="87"/>
      <c r="AF68" s="88"/>
      <c r="AG68" s="87"/>
      <c r="AH68" s="87"/>
      <c r="AI68" s="87"/>
      <c r="AJ68" s="87"/>
      <c r="AK68" s="87"/>
      <c r="AL68" s="87"/>
      <c r="AM68" s="87"/>
      <c r="AN68" s="89"/>
      <c r="AO68" s="87"/>
      <c r="AP68" s="88"/>
      <c r="AQ68" s="87"/>
      <c r="AR68" s="87"/>
      <c r="AS68" s="87"/>
      <c r="AT68" s="87"/>
      <c r="AU68" s="87"/>
      <c r="AV68" s="87"/>
      <c r="AW68" s="87"/>
      <c r="AX68" s="89"/>
      <c r="AY68" s="87"/>
      <c r="AZ68" s="116"/>
      <c r="BA68" s="96"/>
      <c r="BB68" s="96"/>
      <c r="BC68" s="96"/>
      <c r="BD68" s="96"/>
      <c r="BE68" s="96"/>
      <c r="BF68" s="96"/>
      <c r="BG68" s="96"/>
      <c r="BH68" s="97"/>
      <c r="BI68" s="106"/>
      <c r="BJ68" s="116"/>
      <c r="BK68" s="96"/>
      <c r="BL68" s="96"/>
      <c r="BM68" s="96"/>
      <c r="BN68" s="96"/>
      <c r="BO68" s="96"/>
      <c r="BP68" s="96"/>
      <c r="BQ68" s="96"/>
      <c r="BR68" s="97"/>
      <c r="BS68" s="26"/>
      <c r="BT68" s="26"/>
    </row>
    <row r="69" spans="1:80" s="23" customFormat="1" ht="9" customHeight="1" x14ac:dyDescent="0.25">
      <c r="A69" s="26"/>
      <c r="B69" s="107"/>
      <c r="C69" s="106"/>
      <c r="D69" s="106"/>
      <c r="E69" s="106"/>
      <c r="F69" s="106"/>
      <c r="G69" s="106"/>
      <c r="H69" s="106"/>
      <c r="I69" s="106"/>
      <c r="J69" s="108"/>
      <c r="K69" s="87"/>
      <c r="L69" s="107"/>
      <c r="M69" s="106"/>
      <c r="N69" s="106"/>
      <c r="O69" s="106"/>
      <c r="P69" s="106"/>
      <c r="Q69" s="106"/>
      <c r="R69" s="106"/>
      <c r="S69" s="106"/>
      <c r="T69" s="108"/>
      <c r="U69" s="87"/>
      <c r="V69" s="107"/>
      <c r="W69" s="106"/>
      <c r="X69" s="106"/>
      <c r="Y69" s="106"/>
      <c r="Z69" s="106"/>
      <c r="AA69" s="106"/>
      <c r="AB69" s="106"/>
      <c r="AC69" s="106"/>
      <c r="AD69" s="108"/>
      <c r="AE69" s="87"/>
      <c r="AF69" s="88"/>
      <c r="AG69" s="87"/>
      <c r="AH69" s="87"/>
      <c r="AI69" s="87"/>
      <c r="AJ69" s="87"/>
      <c r="AK69" s="87"/>
      <c r="AL69" s="87"/>
      <c r="AM69" s="87"/>
      <c r="AN69" s="89"/>
      <c r="AO69" s="87"/>
      <c r="AP69" s="88"/>
      <c r="AQ69" s="87"/>
      <c r="AR69" s="87"/>
      <c r="AS69" s="87"/>
      <c r="AT69" s="87"/>
      <c r="AU69" s="87"/>
      <c r="AV69" s="87"/>
      <c r="AW69" s="87"/>
      <c r="AX69" s="89"/>
      <c r="AY69" s="87"/>
      <c r="AZ69" s="116"/>
      <c r="BA69" s="96"/>
      <c r="BB69" s="96"/>
      <c r="BC69" s="96"/>
      <c r="BD69" s="96"/>
      <c r="BE69" s="96"/>
      <c r="BF69" s="96"/>
      <c r="BG69" s="96"/>
      <c r="BH69" s="97"/>
      <c r="BI69" s="106"/>
      <c r="BJ69" s="116"/>
      <c r="BK69" s="96"/>
      <c r="BL69" s="96"/>
      <c r="BM69" s="96"/>
      <c r="BN69" s="96"/>
      <c r="BO69" s="96"/>
      <c r="BP69" s="96"/>
      <c r="BQ69" s="96"/>
      <c r="BR69" s="97"/>
      <c r="BS69" s="26"/>
      <c r="BT69" s="26"/>
    </row>
    <row r="70" spans="1:80" s="23" customFormat="1" ht="9" customHeight="1" x14ac:dyDescent="0.25">
      <c r="A70" s="26"/>
      <c r="B70" s="107"/>
      <c r="C70" s="106"/>
      <c r="D70" s="106"/>
      <c r="E70" s="106"/>
      <c r="F70" s="106"/>
      <c r="G70" s="106"/>
      <c r="H70" s="106"/>
      <c r="I70" s="106"/>
      <c r="J70" s="108"/>
      <c r="K70" s="87"/>
      <c r="L70" s="107"/>
      <c r="M70" s="106"/>
      <c r="N70" s="106"/>
      <c r="O70" s="106"/>
      <c r="P70" s="106"/>
      <c r="Q70" s="106"/>
      <c r="R70" s="106"/>
      <c r="S70" s="106"/>
      <c r="T70" s="108"/>
      <c r="U70" s="87"/>
      <c r="V70" s="107"/>
      <c r="W70" s="106"/>
      <c r="X70" s="106"/>
      <c r="Y70" s="106"/>
      <c r="Z70" s="106"/>
      <c r="AA70" s="106"/>
      <c r="AB70" s="106"/>
      <c r="AC70" s="106"/>
      <c r="AD70" s="108"/>
      <c r="AE70" s="87"/>
      <c r="AF70" s="88"/>
      <c r="AG70" s="87"/>
      <c r="AH70" s="87"/>
      <c r="AI70" s="87"/>
      <c r="AJ70" s="87"/>
      <c r="AK70" s="87"/>
      <c r="AL70" s="87"/>
      <c r="AM70" s="87"/>
      <c r="AN70" s="89"/>
      <c r="AO70" s="87"/>
      <c r="AP70" s="88"/>
      <c r="AQ70" s="87"/>
      <c r="AR70" s="87"/>
      <c r="AS70" s="87"/>
      <c r="AT70" s="87"/>
      <c r="AU70" s="87"/>
      <c r="AV70" s="87"/>
      <c r="AW70" s="87"/>
      <c r="AX70" s="89"/>
      <c r="AY70" s="87"/>
      <c r="AZ70" s="116"/>
      <c r="BA70" s="96"/>
      <c r="BB70" s="96"/>
      <c r="BC70" s="96"/>
      <c r="BD70" s="96"/>
      <c r="BE70" s="96"/>
      <c r="BF70" s="96"/>
      <c r="BG70" s="96"/>
      <c r="BH70" s="97"/>
      <c r="BI70" s="106"/>
      <c r="BJ70" s="116"/>
      <c r="BK70" s="96"/>
      <c r="BL70" s="96"/>
      <c r="BM70" s="96"/>
      <c r="BN70" s="96"/>
      <c r="BO70" s="96"/>
      <c r="BP70" s="96"/>
      <c r="BQ70" s="96"/>
      <c r="BR70" s="97"/>
      <c r="BS70" s="26"/>
      <c r="BT70" s="26"/>
    </row>
    <row r="71" spans="1:80" s="23" customFormat="1" ht="9" customHeight="1" x14ac:dyDescent="0.25">
      <c r="A71" s="26"/>
      <c r="B71" s="107"/>
      <c r="C71" s="106"/>
      <c r="D71" s="106"/>
      <c r="E71" s="106"/>
      <c r="F71" s="106"/>
      <c r="G71" s="106"/>
      <c r="H71" s="106"/>
      <c r="I71" s="106"/>
      <c r="J71" s="108"/>
      <c r="K71" s="87"/>
      <c r="L71" s="107"/>
      <c r="M71" s="106"/>
      <c r="N71" s="106"/>
      <c r="O71" s="106"/>
      <c r="P71" s="106"/>
      <c r="Q71" s="106"/>
      <c r="R71" s="106"/>
      <c r="S71" s="106"/>
      <c r="T71" s="108"/>
      <c r="U71" s="87"/>
      <c r="V71" s="107"/>
      <c r="W71" s="106"/>
      <c r="X71" s="106"/>
      <c r="Y71" s="106"/>
      <c r="Z71" s="106"/>
      <c r="AA71" s="106"/>
      <c r="AB71" s="106"/>
      <c r="AC71" s="106"/>
      <c r="AD71" s="108"/>
      <c r="AE71" s="87"/>
      <c r="AF71" s="88"/>
      <c r="AG71" s="87"/>
      <c r="AH71" s="87"/>
      <c r="AI71" s="87"/>
      <c r="AJ71" s="87"/>
      <c r="AK71" s="87"/>
      <c r="AL71" s="87"/>
      <c r="AM71" s="87"/>
      <c r="AN71" s="89"/>
      <c r="AO71" s="87"/>
      <c r="AP71" s="88"/>
      <c r="AQ71" s="87"/>
      <c r="AR71" s="87"/>
      <c r="AS71" s="87"/>
      <c r="AT71" s="87"/>
      <c r="AU71" s="87"/>
      <c r="AV71" s="87"/>
      <c r="AW71" s="87"/>
      <c r="AX71" s="89"/>
      <c r="AY71" s="87"/>
      <c r="AZ71" s="116"/>
      <c r="BA71" s="96"/>
      <c r="BB71" s="96"/>
      <c r="BC71" s="96"/>
      <c r="BD71" s="96"/>
      <c r="BE71" s="96"/>
      <c r="BF71" s="96"/>
      <c r="BG71" s="96"/>
      <c r="BH71" s="97"/>
      <c r="BI71" s="106"/>
      <c r="BJ71" s="116"/>
      <c r="BK71" s="96"/>
      <c r="BL71" s="96"/>
      <c r="BM71" s="96"/>
      <c r="BN71" s="96"/>
      <c r="BO71" s="96"/>
      <c r="BP71" s="96"/>
      <c r="BQ71" s="96"/>
      <c r="BR71" s="97"/>
      <c r="BS71" s="26"/>
      <c r="BT71" s="26"/>
    </row>
    <row r="72" spans="1:80" s="39" customFormat="1" ht="9" customHeight="1" x14ac:dyDescent="0.25">
      <c r="A72" s="38"/>
      <c r="B72" s="107"/>
      <c r="C72" s="106"/>
      <c r="D72" s="106"/>
      <c r="E72" s="106"/>
      <c r="F72" s="106"/>
      <c r="G72" s="106"/>
      <c r="H72" s="106"/>
      <c r="I72" s="106"/>
      <c r="J72" s="108"/>
      <c r="K72" s="106"/>
      <c r="L72" s="107"/>
      <c r="M72" s="106"/>
      <c r="N72" s="106"/>
      <c r="O72" s="106"/>
      <c r="P72" s="106"/>
      <c r="Q72" s="106"/>
      <c r="R72" s="106"/>
      <c r="S72" s="106"/>
      <c r="T72" s="108"/>
      <c r="U72" s="106"/>
      <c r="V72" s="107"/>
      <c r="W72" s="106"/>
      <c r="X72" s="106"/>
      <c r="Y72" s="106"/>
      <c r="Z72" s="106"/>
      <c r="AA72" s="106"/>
      <c r="AB72" s="106"/>
      <c r="AC72" s="106"/>
      <c r="AD72" s="108"/>
      <c r="AE72" s="106"/>
      <c r="AF72" s="107"/>
      <c r="AG72" s="106"/>
      <c r="AH72" s="106"/>
      <c r="AI72" s="106"/>
      <c r="AJ72" s="106"/>
      <c r="AK72" s="106"/>
      <c r="AL72" s="106"/>
      <c r="AM72" s="106"/>
      <c r="AN72" s="108"/>
      <c r="AO72" s="106"/>
      <c r="AP72" s="107"/>
      <c r="AQ72" s="106"/>
      <c r="AR72" s="106"/>
      <c r="AS72" s="106"/>
      <c r="AT72" s="106"/>
      <c r="AU72" s="106"/>
      <c r="AV72" s="106"/>
      <c r="AW72" s="106"/>
      <c r="AX72" s="108"/>
      <c r="AY72" s="106"/>
      <c r="AZ72" s="116"/>
      <c r="BA72" s="96"/>
      <c r="BB72" s="96"/>
      <c r="BC72" s="96"/>
      <c r="BD72" s="96"/>
      <c r="BE72" s="96"/>
      <c r="BF72" s="96"/>
      <c r="BG72" s="96"/>
      <c r="BH72" s="97"/>
      <c r="BI72" s="87"/>
      <c r="BJ72" s="116"/>
      <c r="BK72" s="96"/>
      <c r="BL72" s="96"/>
      <c r="BM72" s="96"/>
      <c r="BN72" s="96"/>
      <c r="BO72" s="96"/>
      <c r="BP72" s="96"/>
      <c r="BQ72" s="96"/>
      <c r="BR72" s="97"/>
      <c r="BS72" s="38"/>
      <c r="BT72" s="38"/>
    </row>
    <row r="73" spans="1:80" s="23" customFormat="1" ht="8.25" customHeight="1" x14ac:dyDescent="0.25">
      <c r="A73" s="26"/>
      <c r="B73" s="88"/>
      <c r="C73" s="87"/>
      <c r="D73" s="87"/>
      <c r="E73" s="87"/>
      <c r="F73" s="87"/>
      <c r="G73" s="87"/>
      <c r="H73" s="87"/>
      <c r="I73" s="87"/>
      <c r="J73" s="89"/>
      <c r="K73" s="87"/>
      <c r="L73" s="88"/>
      <c r="M73" s="87"/>
      <c r="N73" s="87"/>
      <c r="O73" s="87"/>
      <c r="P73" s="87"/>
      <c r="Q73" s="87"/>
      <c r="R73" s="87"/>
      <c r="S73" s="87"/>
      <c r="T73" s="89"/>
      <c r="U73" s="87"/>
      <c r="V73" s="88"/>
      <c r="W73" s="87"/>
      <c r="X73" s="87"/>
      <c r="Y73" s="87"/>
      <c r="Z73" s="87"/>
      <c r="AA73" s="87"/>
      <c r="AB73" s="87"/>
      <c r="AC73" s="87"/>
      <c r="AD73" s="89"/>
      <c r="AE73" s="87"/>
      <c r="AF73" s="88"/>
      <c r="AG73" s="202"/>
      <c r="AH73" s="202"/>
      <c r="AI73" s="202"/>
      <c r="AJ73" s="202"/>
      <c r="AK73" s="202"/>
      <c r="AL73" s="202"/>
      <c r="AM73" s="202"/>
      <c r="AN73" s="203"/>
      <c r="AO73" s="87"/>
      <c r="AP73" s="88"/>
      <c r="AQ73" s="202"/>
      <c r="AR73" s="202"/>
      <c r="AS73" s="202"/>
      <c r="AT73" s="202"/>
      <c r="AU73" s="202"/>
      <c r="AV73" s="202"/>
      <c r="AW73" s="202"/>
      <c r="AX73" s="203"/>
      <c r="AY73" s="87"/>
      <c r="AZ73" s="116"/>
      <c r="BA73" s="96"/>
      <c r="BB73" s="96"/>
      <c r="BC73" s="96"/>
      <c r="BD73" s="96"/>
      <c r="BE73" s="96"/>
      <c r="BF73" s="96"/>
      <c r="BG73" s="96"/>
      <c r="BH73" s="97"/>
      <c r="BI73" s="106"/>
      <c r="BJ73" s="492" t="s">
        <v>413</v>
      </c>
      <c r="BK73" s="492"/>
      <c r="BL73" s="492"/>
      <c r="BM73" s="492"/>
      <c r="BN73" s="492"/>
      <c r="BO73" s="493">
        <f>CEILING(991*B5,1)</f>
        <v>1388</v>
      </c>
      <c r="BP73" s="493"/>
      <c r="BQ73" s="493"/>
      <c r="BR73" s="493"/>
      <c r="BS73" s="26"/>
      <c r="BT73" s="26"/>
    </row>
    <row r="74" spans="1:80" s="23" customFormat="1" ht="9" customHeight="1" x14ac:dyDescent="0.25">
      <c r="A74" s="26"/>
      <c r="B74" s="539" t="s">
        <v>727</v>
      </c>
      <c r="C74" s="540"/>
      <c r="D74" s="540"/>
      <c r="E74" s="540"/>
      <c r="F74" s="540"/>
      <c r="G74" s="540"/>
      <c r="H74" s="540"/>
      <c r="I74" s="540"/>
      <c r="J74" s="541"/>
      <c r="K74" s="87"/>
      <c r="L74" s="539" t="s">
        <v>727</v>
      </c>
      <c r="M74" s="540"/>
      <c r="N74" s="540"/>
      <c r="O74" s="540"/>
      <c r="P74" s="540"/>
      <c r="Q74" s="540"/>
      <c r="R74" s="540"/>
      <c r="S74" s="540"/>
      <c r="T74" s="541"/>
      <c r="U74" s="87"/>
      <c r="V74" s="539" t="s">
        <v>727</v>
      </c>
      <c r="W74" s="540"/>
      <c r="X74" s="540"/>
      <c r="Y74" s="540"/>
      <c r="Z74" s="540"/>
      <c r="AA74" s="540"/>
      <c r="AB74" s="540"/>
      <c r="AC74" s="540"/>
      <c r="AD74" s="541"/>
      <c r="AE74" s="87"/>
      <c r="AF74" s="492" t="s">
        <v>764</v>
      </c>
      <c r="AG74" s="492"/>
      <c r="AH74" s="492"/>
      <c r="AI74" s="492"/>
      <c r="AJ74" s="492"/>
      <c r="AK74" s="493">
        <f>CEILING(547*B5,1)</f>
        <v>766</v>
      </c>
      <c r="AL74" s="493"/>
      <c r="AM74" s="493"/>
      <c r="AN74" s="493"/>
      <c r="AO74" s="223"/>
      <c r="AP74" s="492" t="s">
        <v>766</v>
      </c>
      <c r="AQ74" s="492"/>
      <c r="AR74" s="492"/>
      <c r="AS74" s="492"/>
      <c r="AT74" s="492"/>
      <c r="AU74" s="493">
        <f>CEILING(231*B5,1)</f>
        <v>324</v>
      </c>
      <c r="AV74" s="493"/>
      <c r="AW74" s="493"/>
      <c r="AX74" s="493"/>
      <c r="AY74" s="223"/>
      <c r="AZ74" s="492" t="s">
        <v>768</v>
      </c>
      <c r="BA74" s="492"/>
      <c r="BB74" s="492"/>
      <c r="BC74" s="492"/>
      <c r="BD74" s="492"/>
      <c r="BE74" s="493">
        <f>CEILING(275*B5,1)</f>
        <v>385</v>
      </c>
      <c r="BF74" s="493"/>
      <c r="BG74" s="493"/>
      <c r="BH74" s="493"/>
      <c r="BI74" s="228"/>
      <c r="BJ74" s="492" t="s">
        <v>414</v>
      </c>
      <c r="BK74" s="492"/>
      <c r="BL74" s="492"/>
      <c r="BM74" s="492"/>
      <c r="BN74" s="492"/>
      <c r="BO74" s="493">
        <f>CEILING(1423*B5,1)</f>
        <v>1993</v>
      </c>
      <c r="BP74" s="493"/>
      <c r="BQ74" s="493"/>
      <c r="BR74" s="493"/>
      <c r="BS74" s="26"/>
      <c r="BT74" s="26"/>
    </row>
    <row r="75" spans="1:80" s="23" customFormat="1" ht="9" customHeight="1" x14ac:dyDescent="0.25">
      <c r="A75" s="26"/>
      <c r="B75" s="492" t="s">
        <v>412</v>
      </c>
      <c r="C75" s="492"/>
      <c r="D75" s="492"/>
      <c r="E75" s="492"/>
      <c r="F75" s="492"/>
      <c r="G75" s="493">
        <f>CEILING(2501*B5,1)</f>
        <v>3502</v>
      </c>
      <c r="H75" s="493"/>
      <c r="I75" s="493"/>
      <c r="J75" s="493"/>
      <c r="K75" s="223"/>
      <c r="L75" s="492" t="s">
        <v>412</v>
      </c>
      <c r="M75" s="492"/>
      <c r="N75" s="492"/>
      <c r="O75" s="492"/>
      <c r="P75" s="492"/>
      <c r="Q75" s="493">
        <f>CEILING(2670*B5,1)</f>
        <v>3738</v>
      </c>
      <c r="R75" s="493"/>
      <c r="S75" s="493"/>
      <c r="T75" s="493"/>
      <c r="U75" s="223"/>
      <c r="V75" s="492" t="s">
        <v>412</v>
      </c>
      <c r="W75" s="492"/>
      <c r="X75" s="492"/>
      <c r="Y75" s="492"/>
      <c r="Z75" s="492"/>
      <c r="AA75" s="493">
        <f>CEILING(2841*B5,1)</f>
        <v>3978</v>
      </c>
      <c r="AB75" s="493"/>
      <c r="AC75" s="493"/>
      <c r="AD75" s="493"/>
      <c r="AE75" s="222"/>
      <c r="AF75" s="492" t="s">
        <v>765</v>
      </c>
      <c r="AG75" s="492"/>
      <c r="AH75" s="492"/>
      <c r="AI75" s="492"/>
      <c r="AJ75" s="492"/>
      <c r="AK75" s="493">
        <f>CEILING(787*B5,1)</f>
        <v>1102</v>
      </c>
      <c r="AL75" s="493"/>
      <c r="AM75" s="493"/>
      <c r="AN75" s="493"/>
      <c r="AO75" s="223"/>
      <c r="AP75" s="492" t="s">
        <v>767</v>
      </c>
      <c r="AQ75" s="492"/>
      <c r="AR75" s="492"/>
      <c r="AS75" s="492"/>
      <c r="AT75" s="492"/>
      <c r="AU75" s="493">
        <f>CEILING(253*B5,1)</f>
        <v>355</v>
      </c>
      <c r="AV75" s="493"/>
      <c r="AW75" s="493"/>
      <c r="AX75" s="493"/>
      <c r="AY75" s="223"/>
      <c r="AZ75" s="492" t="s">
        <v>769</v>
      </c>
      <c r="BA75" s="492"/>
      <c r="BB75" s="492"/>
      <c r="BC75" s="492"/>
      <c r="BD75" s="492"/>
      <c r="BE75" s="493">
        <f>CEILING(333*B5,1)</f>
        <v>467</v>
      </c>
      <c r="BF75" s="493"/>
      <c r="BG75" s="493"/>
      <c r="BH75" s="493"/>
      <c r="BI75" s="222"/>
      <c r="BJ75" s="492" t="s">
        <v>415</v>
      </c>
      <c r="BK75" s="492"/>
      <c r="BL75" s="492"/>
      <c r="BM75" s="492"/>
      <c r="BN75" s="492"/>
      <c r="BO75" s="493">
        <f>CEILING(1888*B5,1)</f>
        <v>2644</v>
      </c>
      <c r="BP75" s="493"/>
      <c r="BQ75" s="493"/>
      <c r="BR75" s="493"/>
      <c r="BS75" s="26"/>
      <c r="BT75" s="26"/>
    </row>
    <row r="76" spans="1:80" s="23" customFormat="1" ht="1.5" customHeight="1" x14ac:dyDescent="0.25">
      <c r="A76" s="26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202"/>
      <c r="BO76" s="202"/>
      <c r="BP76" s="202"/>
      <c r="BQ76" s="202"/>
      <c r="BR76" s="202"/>
      <c r="BS76" s="26"/>
      <c r="BT76" s="26"/>
    </row>
    <row r="77" spans="1:80" s="23" customFormat="1" ht="9" customHeight="1" x14ac:dyDescent="0.25">
      <c r="A77" s="26"/>
      <c r="B77" s="474" t="s">
        <v>389</v>
      </c>
      <c r="C77" s="475"/>
      <c r="D77" s="476"/>
      <c r="E77" s="505" t="s">
        <v>399</v>
      </c>
      <c r="F77" s="505"/>
      <c r="G77" s="505"/>
      <c r="H77" s="505"/>
      <c r="I77" s="505"/>
      <c r="J77" s="506"/>
      <c r="K77" s="87"/>
      <c r="L77" s="474" t="s">
        <v>390</v>
      </c>
      <c r="M77" s="475"/>
      <c r="N77" s="476"/>
      <c r="O77" s="505" t="s">
        <v>400</v>
      </c>
      <c r="P77" s="505"/>
      <c r="Q77" s="505"/>
      <c r="R77" s="505"/>
      <c r="S77" s="505"/>
      <c r="T77" s="506"/>
      <c r="U77" s="87"/>
      <c r="V77" s="474" t="s">
        <v>391</v>
      </c>
      <c r="W77" s="475"/>
      <c r="X77" s="476"/>
      <c r="Y77" s="505" t="s">
        <v>401</v>
      </c>
      <c r="Z77" s="505"/>
      <c r="AA77" s="505"/>
      <c r="AB77" s="505"/>
      <c r="AC77" s="505"/>
      <c r="AD77" s="506"/>
      <c r="AE77" s="87"/>
      <c r="AF77" s="474" t="s">
        <v>392</v>
      </c>
      <c r="AG77" s="475"/>
      <c r="AH77" s="476"/>
      <c r="AI77" s="505" t="s">
        <v>403</v>
      </c>
      <c r="AJ77" s="505"/>
      <c r="AK77" s="505"/>
      <c r="AL77" s="505"/>
      <c r="AM77" s="505"/>
      <c r="AN77" s="506"/>
      <c r="AO77" s="87"/>
      <c r="AP77" s="542" t="s">
        <v>393</v>
      </c>
      <c r="AQ77" s="543"/>
      <c r="AR77" s="544"/>
      <c r="AS77" s="505" t="s">
        <v>401</v>
      </c>
      <c r="AT77" s="505"/>
      <c r="AU77" s="505"/>
      <c r="AV77" s="505"/>
      <c r="AW77" s="505"/>
      <c r="AX77" s="506"/>
      <c r="AY77" s="87"/>
      <c r="AZ77" s="474" t="s">
        <v>394</v>
      </c>
      <c r="BA77" s="475"/>
      <c r="BB77" s="476"/>
      <c r="BC77" s="545" t="s">
        <v>405</v>
      </c>
      <c r="BD77" s="545"/>
      <c r="BE77" s="545"/>
      <c r="BF77" s="545"/>
      <c r="BG77" s="545"/>
      <c r="BH77" s="546"/>
      <c r="BI77" s="106"/>
      <c r="BJ77" s="474" t="s">
        <v>395</v>
      </c>
      <c r="BK77" s="475"/>
      <c r="BL77" s="476"/>
      <c r="BM77" s="545" t="s">
        <v>405</v>
      </c>
      <c r="BN77" s="545"/>
      <c r="BO77" s="545"/>
      <c r="BP77" s="545"/>
      <c r="BQ77" s="545"/>
      <c r="BR77" s="546"/>
      <c r="BS77" s="26"/>
      <c r="BT77" s="530"/>
      <c r="BU77" s="530"/>
      <c r="BV77" s="530"/>
      <c r="BW77" s="530"/>
      <c r="BX77" s="530"/>
      <c r="BY77" s="530"/>
      <c r="BZ77" s="530"/>
      <c r="CA77" s="530"/>
      <c r="CB77" s="530"/>
    </row>
    <row r="78" spans="1:80" s="23" customFormat="1" ht="9" customHeight="1" x14ac:dyDescent="0.25">
      <c r="A78" s="26"/>
      <c r="B78" s="116"/>
      <c r="C78" s="96"/>
      <c r="D78" s="96"/>
      <c r="E78" s="96"/>
      <c r="F78" s="96"/>
      <c r="G78" s="96"/>
      <c r="H78" s="96"/>
      <c r="I78" s="96"/>
      <c r="J78" s="97"/>
      <c r="K78" s="87"/>
      <c r="L78" s="116"/>
      <c r="M78" s="96"/>
      <c r="N78" s="96"/>
      <c r="O78" s="96"/>
      <c r="P78" s="96"/>
      <c r="Q78" s="96"/>
      <c r="R78" s="96"/>
      <c r="S78" s="96"/>
      <c r="T78" s="97"/>
      <c r="U78" s="87"/>
      <c r="V78" s="489" t="s">
        <v>402</v>
      </c>
      <c r="W78" s="490"/>
      <c r="X78" s="490"/>
      <c r="Y78" s="490"/>
      <c r="Z78" s="490"/>
      <c r="AA78" s="490"/>
      <c r="AB78" s="490"/>
      <c r="AC78" s="490"/>
      <c r="AD78" s="491"/>
      <c r="AE78" s="87"/>
      <c r="AF78" s="489" t="s">
        <v>402</v>
      </c>
      <c r="AG78" s="490"/>
      <c r="AH78" s="490"/>
      <c r="AI78" s="490"/>
      <c r="AJ78" s="490"/>
      <c r="AK78" s="490"/>
      <c r="AL78" s="490"/>
      <c r="AM78" s="490"/>
      <c r="AN78" s="491"/>
      <c r="AO78" s="87"/>
      <c r="AP78" s="547" t="s">
        <v>728</v>
      </c>
      <c r="AQ78" s="549" t="s">
        <v>730</v>
      </c>
      <c r="AR78" s="490" t="s">
        <v>404</v>
      </c>
      <c r="AS78" s="490"/>
      <c r="AT78" s="490"/>
      <c r="AU78" s="490"/>
      <c r="AV78" s="490"/>
      <c r="AW78" s="490"/>
      <c r="AX78" s="491"/>
      <c r="AY78" s="87"/>
      <c r="AZ78" s="489" t="s">
        <v>406</v>
      </c>
      <c r="BA78" s="490"/>
      <c r="BB78" s="490"/>
      <c r="BC78" s="490"/>
      <c r="BD78" s="490"/>
      <c r="BE78" s="490"/>
      <c r="BF78" s="490"/>
      <c r="BG78" s="490"/>
      <c r="BH78" s="491"/>
      <c r="BI78" s="108"/>
      <c r="BJ78" s="490" t="s">
        <v>407</v>
      </c>
      <c r="BK78" s="490"/>
      <c r="BL78" s="490"/>
      <c r="BM78" s="490"/>
      <c r="BN78" s="490"/>
      <c r="BO78" s="490"/>
      <c r="BP78" s="490"/>
      <c r="BQ78" s="490"/>
      <c r="BR78" s="491"/>
      <c r="BS78" s="26"/>
      <c r="BT78" s="33"/>
      <c r="BU78" s="33"/>
      <c r="BV78" s="33"/>
      <c r="BW78" s="33"/>
      <c r="BX78" s="33"/>
      <c r="BY78" s="33"/>
      <c r="BZ78" s="33"/>
      <c r="CA78" s="33"/>
      <c r="CB78" s="33"/>
    </row>
    <row r="79" spans="1:80" s="23" customFormat="1" ht="9" customHeight="1" x14ac:dyDescent="0.25">
      <c r="A79" s="26"/>
      <c r="B79" s="88"/>
      <c r="C79" s="87"/>
      <c r="D79" s="87"/>
      <c r="E79" s="87"/>
      <c r="F79" s="87"/>
      <c r="G79" s="87"/>
      <c r="H79" s="87"/>
      <c r="I79" s="87"/>
      <c r="J79" s="89"/>
      <c r="K79" s="87"/>
      <c r="L79" s="88"/>
      <c r="M79" s="87"/>
      <c r="N79" s="87"/>
      <c r="O79" s="87"/>
      <c r="P79" s="87"/>
      <c r="Q79" s="87"/>
      <c r="R79" s="87"/>
      <c r="S79" s="87"/>
      <c r="T79" s="89"/>
      <c r="U79" s="87"/>
      <c r="V79" s="88"/>
      <c r="W79" s="87"/>
      <c r="X79" s="87"/>
      <c r="Y79" s="87"/>
      <c r="Z79" s="87"/>
      <c r="AA79" s="87"/>
      <c r="AB79" s="87"/>
      <c r="AC79" s="87"/>
      <c r="AD79" s="89"/>
      <c r="AE79" s="87"/>
      <c r="AF79" s="88"/>
      <c r="AG79" s="87"/>
      <c r="AH79" s="87"/>
      <c r="AI79" s="87"/>
      <c r="AJ79" s="87"/>
      <c r="AK79" s="87"/>
      <c r="AL79" s="87"/>
      <c r="AM79" s="87"/>
      <c r="AN79" s="89"/>
      <c r="AO79" s="87"/>
      <c r="AP79" s="548"/>
      <c r="AQ79" s="550"/>
      <c r="AR79" s="87"/>
      <c r="AS79" s="87"/>
      <c r="AT79" s="87"/>
      <c r="AU79" s="87"/>
      <c r="AV79" s="87"/>
      <c r="AW79" s="87"/>
      <c r="AX79" s="89"/>
      <c r="AY79" s="87"/>
      <c r="AZ79" s="551" t="s">
        <v>731</v>
      </c>
      <c r="BA79" s="96"/>
      <c r="BB79" s="96"/>
      <c r="BC79" s="90"/>
      <c r="BD79" s="90"/>
      <c r="BE79" s="90"/>
      <c r="BF79" s="90"/>
      <c r="BG79" s="90"/>
      <c r="BH79" s="91"/>
      <c r="BI79" s="108"/>
      <c r="BJ79" s="551" t="s">
        <v>731</v>
      </c>
      <c r="BK79" s="96"/>
      <c r="BL79" s="96"/>
      <c r="BM79" s="90"/>
      <c r="BN79" s="90"/>
      <c r="BO79" s="90"/>
      <c r="BP79" s="90"/>
      <c r="BQ79" s="90"/>
      <c r="BR79" s="91"/>
      <c r="BS79" s="26"/>
      <c r="BT79" s="33"/>
      <c r="BU79" s="33"/>
      <c r="BV79" s="33"/>
      <c r="BW79" s="34"/>
      <c r="BX79" s="34"/>
      <c r="BY79" s="34"/>
      <c r="BZ79" s="34"/>
      <c r="CA79" s="34"/>
      <c r="CB79" s="34"/>
    </row>
    <row r="80" spans="1:80" s="23" customFormat="1" ht="9" customHeight="1" x14ac:dyDescent="0.25">
      <c r="A80" s="26"/>
      <c r="B80" s="88"/>
      <c r="C80" s="87"/>
      <c r="D80" s="87"/>
      <c r="E80" s="87"/>
      <c r="F80" s="87"/>
      <c r="G80" s="87"/>
      <c r="H80" s="87"/>
      <c r="I80" s="87"/>
      <c r="J80" s="89"/>
      <c r="K80" s="87"/>
      <c r="L80" s="88"/>
      <c r="M80" s="87"/>
      <c r="N80" s="87"/>
      <c r="O80" s="87"/>
      <c r="P80" s="87"/>
      <c r="Q80" s="87"/>
      <c r="R80" s="87"/>
      <c r="S80" s="87"/>
      <c r="T80" s="89"/>
      <c r="U80" s="87"/>
      <c r="V80" s="88"/>
      <c r="W80" s="87"/>
      <c r="X80" s="87"/>
      <c r="Y80" s="87"/>
      <c r="Z80" s="87"/>
      <c r="AA80" s="87"/>
      <c r="AB80" s="87"/>
      <c r="AC80" s="87"/>
      <c r="AD80" s="89"/>
      <c r="AE80" s="87"/>
      <c r="AF80" s="88"/>
      <c r="AG80" s="87"/>
      <c r="AH80" s="87"/>
      <c r="AI80" s="87"/>
      <c r="AJ80" s="87"/>
      <c r="AK80" s="87"/>
      <c r="AL80" s="87"/>
      <c r="AM80" s="87"/>
      <c r="AN80" s="89"/>
      <c r="AO80" s="87"/>
      <c r="AP80" s="548"/>
      <c r="AQ80" s="550"/>
      <c r="AR80" s="87"/>
      <c r="AS80" s="87"/>
      <c r="AT80" s="87"/>
      <c r="AU80" s="87"/>
      <c r="AV80" s="87"/>
      <c r="AW80" s="87"/>
      <c r="AX80" s="89"/>
      <c r="AY80" s="87"/>
      <c r="AZ80" s="551"/>
      <c r="BA80" s="96"/>
      <c r="BB80" s="96"/>
      <c r="BC80" s="90"/>
      <c r="BD80" s="90"/>
      <c r="BE80" s="90"/>
      <c r="BF80" s="90"/>
      <c r="BG80" s="90"/>
      <c r="BH80" s="91"/>
      <c r="BI80" s="108"/>
      <c r="BJ80" s="551"/>
      <c r="BK80" s="96"/>
      <c r="BL80" s="96"/>
      <c r="BM80" s="90"/>
      <c r="BN80" s="90"/>
      <c r="BO80" s="90"/>
      <c r="BP80" s="90"/>
      <c r="BQ80" s="90"/>
      <c r="BR80" s="91"/>
      <c r="BS80" s="26"/>
      <c r="BT80" s="33"/>
      <c r="BU80" s="33"/>
      <c r="BV80" s="33"/>
      <c r="BW80" s="34"/>
      <c r="BX80" s="34"/>
      <c r="BY80" s="34"/>
      <c r="BZ80" s="34"/>
      <c r="CA80" s="34"/>
      <c r="CB80" s="34"/>
    </row>
    <row r="81" spans="1:80" s="23" customFormat="1" ht="9" customHeight="1" x14ac:dyDescent="0.25">
      <c r="A81" s="26"/>
      <c r="B81" s="88"/>
      <c r="C81" s="87"/>
      <c r="D81" s="87"/>
      <c r="E81" s="87"/>
      <c r="F81" s="87"/>
      <c r="G81" s="87"/>
      <c r="H81" s="87"/>
      <c r="I81" s="87"/>
      <c r="J81" s="89"/>
      <c r="K81" s="87"/>
      <c r="L81" s="88"/>
      <c r="M81" s="87"/>
      <c r="N81" s="87"/>
      <c r="O81" s="87"/>
      <c r="P81" s="87"/>
      <c r="Q81" s="87"/>
      <c r="R81" s="87"/>
      <c r="S81" s="87"/>
      <c r="T81" s="89"/>
      <c r="U81" s="87"/>
      <c r="V81" s="88"/>
      <c r="W81" s="87"/>
      <c r="X81" s="87"/>
      <c r="Y81" s="87"/>
      <c r="Z81" s="87"/>
      <c r="AA81" s="87"/>
      <c r="AB81" s="87"/>
      <c r="AC81" s="87"/>
      <c r="AD81" s="89"/>
      <c r="AE81" s="87"/>
      <c r="AF81" s="88"/>
      <c r="AG81" s="87"/>
      <c r="AH81" s="87"/>
      <c r="AI81" s="87"/>
      <c r="AJ81" s="87"/>
      <c r="AK81" s="87"/>
      <c r="AL81" s="87"/>
      <c r="AM81" s="87"/>
      <c r="AN81" s="89"/>
      <c r="AO81" s="87"/>
      <c r="AP81" s="548"/>
      <c r="AQ81" s="550"/>
      <c r="AR81" s="87"/>
      <c r="AS81" s="87"/>
      <c r="AT81" s="87"/>
      <c r="AU81" s="87"/>
      <c r="AV81" s="87"/>
      <c r="AW81" s="87"/>
      <c r="AX81" s="89"/>
      <c r="AY81" s="87"/>
      <c r="AZ81" s="551"/>
      <c r="BA81" s="96"/>
      <c r="BB81" s="96"/>
      <c r="BC81" s="90"/>
      <c r="BD81" s="90"/>
      <c r="BE81" s="90"/>
      <c r="BF81" s="90"/>
      <c r="BG81" s="90"/>
      <c r="BH81" s="91"/>
      <c r="BI81" s="108"/>
      <c r="BJ81" s="551"/>
      <c r="BK81" s="96"/>
      <c r="BL81" s="96"/>
      <c r="BM81" s="90"/>
      <c r="BN81" s="90"/>
      <c r="BO81" s="90"/>
      <c r="BP81" s="90"/>
      <c r="BQ81" s="90"/>
      <c r="BR81" s="91"/>
      <c r="BS81" s="26"/>
      <c r="BT81" s="33"/>
      <c r="BU81" s="33"/>
      <c r="BV81" s="33"/>
      <c r="BW81" s="34"/>
      <c r="BX81" s="34"/>
      <c r="BY81" s="34"/>
      <c r="BZ81" s="34"/>
      <c r="CA81" s="34"/>
      <c r="CB81" s="34"/>
    </row>
    <row r="82" spans="1:80" s="23" customFormat="1" ht="9" customHeight="1" x14ac:dyDescent="0.25">
      <c r="A82" s="26"/>
      <c r="B82" s="88"/>
      <c r="C82" s="87"/>
      <c r="D82" s="87"/>
      <c r="E82" s="87"/>
      <c r="F82" s="87"/>
      <c r="G82" s="87"/>
      <c r="H82" s="87"/>
      <c r="I82" s="87"/>
      <c r="J82" s="89"/>
      <c r="K82" s="87"/>
      <c r="L82" s="88"/>
      <c r="M82" s="87"/>
      <c r="N82" s="87"/>
      <c r="O82" s="87"/>
      <c r="P82" s="87"/>
      <c r="Q82" s="87"/>
      <c r="R82" s="87"/>
      <c r="S82" s="87"/>
      <c r="T82" s="89"/>
      <c r="U82" s="87"/>
      <c r="V82" s="88"/>
      <c r="W82" s="87"/>
      <c r="X82" s="87"/>
      <c r="Y82" s="87"/>
      <c r="Z82" s="87"/>
      <c r="AA82" s="87"/>
      <c r="AB82" s="87"/>
      <c r="AC82" s="87"/>
      <c r="AD82" s="89"/>
      <c r="AE82" s="87"/>
      <c r="AF82" s="88"/>
      <c r="AG82" s="87"/>
      <c r="AH82" s="87"/>
      <c r="AI82" s="87"/>
      <c r="AJ82" s="87"/>
      <c r="AK82" s="87"/>
      <c r="AL82" s="87"/>
      <c r="AM82" s="87"/>
      <c r="AN82" s="89"/>
      <c r="AO82" s="87"/>
      <c r="AP82" s="548"/>
      <c r="AQ82" s="550"/>
      <c r="AR82" s="87"/>
      <c r="AS82" s="87"/>
      <c r="AT82" s="87"/>
      <c r="AU82" s="87"/>
      <c r="AV82" s="87"/>
      <c r="AW82" s="87"/>
      <c r="AX82" s="89"/>
      <c r="AY82" s="87"/>
      <c r="AZ82" s="551"/>
      <c r="BA82" s="96"/>
      <c r="BB82" s="96"/>
      <c r="BC82" s="90"/>
      <c r="BD82" s="90"/>
      <c r="BE82" s="90"/>
      <c r="BF82" s="90"/>
      <c r="BG82" s="90"/>
      <c r="BH82" s="91"/>
      <c r="BI82" s="108"/>
      <c r="BJ82" s="551"/>
      <c r="BK82" s="96"/>
      <c r="BL82" s="96"/>
      <c r="BM82" s="90"/>
      <c r="BN82" s="90"/>
      <c r="BO82" s="90"/>
      <c r="BP82" s="90"/>
      <c r="BQ82" s="90"/>
      <c r="BR82" s="91"/>
      <c r="BS82" s="26"/>
      <c r="BT82" s="33"/>
      <c r="BU82" s="33"/>
      <c r="BV82" s="33"/>
      <c r="BW82" s="34"/>
      <c r="BX82" s="34"/>
      <c r="BY82" s="34"/>
      <c r="BZ82" s="34"/>
      <c r="CA82" s="34"/>
      <c r="CB82" s="34"/>
    </row>
    <row r="83" spans="1:80" s="23" customFormat="1" ht="9" customHeight="1" x14ac:dyDescent="0.25">
      <c r="A83" s="26"/>
      <c r="B83" s="88"/>
      <c r="C83" s="87"/>
      <c r="D83" s="87"/>
      <c r="E83" s="87"/>
      <c r="F83" s="87"/>
      <c r="G83" s="87"/>
      <c r="H83" s="87"/>
      <c r="I83" s="87"/>
      <c r="J83" s="89"/>
      <c r="K83" s="87"/>
      <c r="L83" s="88"/>
      <c r="M83" s="87"/>
      <c r="N83" s="87"/>
      <c r="O83" s="87"/>
      <c r="P83" s="87"/>
      <c r="Q83" s="87"/>
      <c r="R83" s="87"/>
      <c r="S83" s="87"/>
      <c r="T83" s="89"/>
      <c r="U83" s="87"/>
      <c r="V83" s="88"/>
      <c r="W83" s="87"/>
      <c r="X83" s="87"/>
      <c r="Y83" s="87"/>
      <c r="Z83" s="87"/>
      <c r="AA83" s="87"/>
      <c r="AB83" s="87"/>
      <c r="AC83" s="87"/>
      <c r="AD83" s="89"/>
      <c r="AE83" s="87"/>
      <c r="AF83" s="88"/>
      <c r="AG83" s="87"/>
      <c r="AH83" s="87"/>
      <c r="AI83" s="87"/>
      <c r="AJ83" s="87"/>
      <c r="AK83" s="87"/>
      <c r="AL83" s="87"/>
      <c r="AM83" s="87"/>
      <c r="AN83" s="89"/>
      <c r="AO83" s="87"/>
      <c r="AP83" s="548"/>
      <c r="AQ83" s="550"/>
      <c r="AR83" s="87"/>
      <c r="AS83" s="87"/>
      <c r="AT83" s="87"/>
      <c r="AU83" s="87"/>
      <c r="AV83" s="87"/>
      <c r="AW83" s="87"/>
      <c r="AX83" s="89"/>
      <c r="AY83" s="87"/>
      <c r="AZ83" s="551"/>
      <c r="BA83" s="96"/>
      <c r="BB83" s="96"/>
      <c r="BC83" s="90"/>
      <c r="BD83" s="90"/>
      <c r="BE83" s="90"/>
      <c r="BF83" s="90"/>
      <c r="BG83" s="90"/>
      <c r="BH83" s="91"/>
      <c r="BI83" s="108"/>
      <c r="BJ83" s="551"/>
      <c r="BK83" s="96"/>
      <c r="BL83" s="96"/>
      <c r="BM83" s="90"/>
      <c r="BN83" s="90"/>
      <c r="BO83" s="90"/>
      <c r="BP83" s="90"/>
      <c r="BQ83" s="90"/>
      <c r="BR83" s="91"/>
      <c r="BS83" s="26"/>
      <c r="BT83" s="33"/>
      <c r="BU83" s="33"/>
      <c r="BV83" s="33"/>
      <c r="BW83" s="34"/>
      <c r="BX83" s="34"/>
      <c r="BY83" s="34"/>
      <c r="BZ83" s="34"/>
      <c r="CA83" s="34"/>
      <c r="CB83" s="34"/>
    </row>
    <row r="84" spans="1:80" s="23" customFormat="1" ht="9" customHeight="1" x14ac:dyDescent="0.25">
      <c r="A84" s="26"/>
      <c r="B84" s="88"/>
      <c r="C84" s="87"/>
      <c r="D84" s="87"/>
      <c r="E84" s="87"/>
      <c r="F84" s="87"/>
      <c r="G84" s="87"/>
      <c r="H84" s="87"/>
      <c r="I84" s="87"/>
      <c r="J84" s="89"/>
      <c r="K84" s="87"/>
      <c r="L84" s="88"/>
      <c r="M84" s="87"/>
      <c r="N84" s="87"/>
      <c r="O84" s="87"/>
      <c r="P84" s="87"/>
      <c r="Q84" s="87"/>
      <c r="R84" s="87"/>
      <c r="S84" s="87"/>
      <c r="T84" s="89"/>
      <c r="U84" s="87"/>
      <c r="V84" s="88"/>
      <c r="W84" s="87"/>
      <c r="X84" s="87"/>
      <c r="Y84" s="87"/>
      <c r="Z84" s="87"/>
      <c r="AA84" s="87"/>
      <c r="AB84" s="87"/>
      <c r="AC84" s="87"/>
      <c r="AD84" s="89"/>
      <c r="AE84" s="87"/>
      <c r="AF84" s="88"/>
      <c r="AG84" s="87"/>
      <c r="AH84" s="87"/>
      <c r="AI84" s="87"/>
      <c r="AJ84" s="87"/>
      <c r="AK84" s="87"/>
      <c r="AL84" s="87"/>
      <c r="AM84" s="87"/>
      <c r="AN84" s="89"/>
      <c r="AO84" s="87"/>
      <c r="AP84" s="548"/>
      <c r="AQ84" s="550"/>
      <c r="AR84" s="87"/>
      <c r="AS84" s="87"/>
      <c r="AT84" s="87"/>
      <c r="AU84" s="87"/>
      <c r="AV84" s="87"/>
      <c r="AW84" s="87"/>
      <c r="AX84" s="89"/>
      <c r="AY84" s="87"/>
      <c r="AZ84" s="551"/>
      <c r="BA84" s="90"/>
      <c r="BB84" s="90"/>
      <c r="BC84" s="90"/>
      <c r="BD84" s="90"/>
      <c r="BE84" s="90"/>
      <c r="BF84" s="90"/>
      <c r="BG84" s="90"/>
      <c r="BH84" s="91"/>
      <c r="BI84" s="108"/>
      <c r="BJ84" s="551"/>
      <c r="BK84" s="90"/>
      <c r="BL84" s="90"/>
      <c r="BM84" s="90"/>
      <c r="BN84" s="90"/>
      <c r="BO84" s="90"/>
      <c r="BP84" s="90"/>
      <c r="BQ84" s="90"/>
      <c r="BR84" s="91"/>
      <c r="BS84" s="26"/>
      <c r="BT84" s="33"/>
      <c r="BU84" s="33"/>
      <c r="BV84" s="33"/>
      <c r="BW84" s="33"/>
      <c r="BX84" s="33"/>
      <c r="BY84" s="33"/>
      <c r="BZ84" s="33"/>
      <c r="CA84" s="33"/>
      <c r="CB84" s="33"/>
    </row>
    <row r="85" spans="1:80" s="23" customFormat="1" ht="9" customHeight="1" x14ac:dyDescent="0.25">
      <c r="A85" s="26"/>
      <c r="B85" s="88"/>
      <c r="C85" s="87"/>
      <c r="D85" s="87"/>
      <c r="E85" s="87"/>
      <c r="F85" s="87"/>
      <c r="G85" s="87"/>
      <c r="H85" s="87"/>
      <c r="I85" s="87"/>
      <c r="J85" s="89"/>
      <c r="K85" s="87"/>
      <c r="L85" s="88"/>
      <c r="M85" s="87"/>
      <c r="N85" s="87"/>
      <c r="O85" s="87"/>
      <c r="P85" s="87"/>
      <c r="Q85" s="87"/>
      <c r="R85" s="87"/>
      <c r="S85" s="87"/>
      <c r="T85" s="89"/>
      <c r="U85" s="87"/>
      <c r="V85" s="88"/>
      <c r="W85" s="87"/>
      <c r="X85" s="87"/>
      <c r="Y85" s="87"/>
      <c r="Z85" s="87"/>
      <c r="AA85" s="87"/>
      <c r="AB85" s="87"/>
      <c r="AC85" s="87"/>
      <c r="AD85" s="89"/>
      <c r="AE85" s="87"/>
      <c r="AF85" s="88"/>
      <c r="AG85" s="87"/>
      <c r="AH85" s="87"/>
      <c r="AI85" s="87"/>
      <c r="AJ85" s="87"/>
      <c r="AK85" s="87"/>
      <c r="AL85" s="87"/>
      <c r="AM85" s="87"/>
      <c r="AN85" s="89"/>
      <c r="AO85" s="87"/>
      <c r="AP85" s="548"/>
      <c r="AQ85" s="550"/>
      <c r="AR85" s="87"/>
      <c r="AS85" s="87"/>
      <c r="AT85" s="87"/>
      <c r="AU85" s="87"/>
      <c r="AV85" s="87"/>
      <c r="AW85" s="87"/>
      <c r="AX85" s="89"/>
      <c r="AY85" s="87"/>
      <c r="AZ85" s="551"/>
      <c r="BA85" s="96"/>
      <c r="BB85" s="96"/>
      <c r="BC85" s="96"/>
      <c r="BD85" s="96"/>
      <c r="BE85" s="96"/>
      <c r="BF85" s="96"/>
      <c r="BG85" s="96"/>
      <c r="BH85" s="97"/>
      <c r="BI85" s="108"/>
      <c r="BJ85" s="551"/>
      <c r="BK85" s="96"/>
      <c r="BL85" s="96"/>
      <c r="BM85" s="96"/>
      <c r="BN85" s="96"/>
      <c r="BO85" s="96"/>
      <c r="BP85" s="96"/>
      <c r="BQ85" s="96"/>
      <c r="BR85" s="97"/>
      <c r="BS85" s="26"/>
      <c r="BT85" s="533"/>
      <c r="BU85" s="533"/>
      <c r="BV85" s="533"/>
      <c r="BW85" s="533"/>
      <c r="BX85" s="533"/>
      <c r="BY85" s="530"/>
      <c r="BZ85" s="530"/>
      <c r="CA85" s="530"/>
      <c r="CB85" s="530"/>
    </row>
    <row r="86" spans="1:80" s="23" customFormat="1" ht="9" customHeight="1" x14ac:dyDescent="0.25">
      <c r="A86" s="26"/>
      <c r="B86" s="88"/>
      <c r="C86" s="87"/>
      <c r="D86" s="87"/>
      <c r="E86" s="87"/>
      <c r="F86" s="87"/>
      <c r="G86" s="87"/>
      <c r="H86" s="87"/>
      <c r="I86" s="87"/>
      <c r="J86" s="89"/>
      <c r="K86" s="87"/>
      <c r="L86" s="88"/>
      <c r="M86" s="87"/>
      <c r="N86" s="87"/>
      <c r="O86" s="87"/>
      <c r="P86" s="87"/>
      <c r="Q86" s="87"/>
      <c r="R86" s="87"/>
      <c r="S86" s="87"/>
      <c r="T86" s="89"/>
      <c r="U86" s="87"/>
      <c r="V86" s="88"/>
      <c r="W86" s="87"/>
      <c r="X86" s="87"/>
      <c r="Y86" s="87"/>
      <c r="Z86" s="87"/>
      <c r="AA86" s="87"/>
      <c r="AB86" s="87"/>
      <c r="AC86" s="87"/>
      <c r="AD86" s="89"/>
      <c r="AE86" s="87"/>
      <c r="AF86" s="88"/>
      <c r="AG86" s="87"/>
      <c r="AH86" s="87"/>
      <c r="AI86" s="87"/>
      <c r="AJ86" s="87"/>
      <c r="AK86" s="87"/>
      <c r="AL86" s="87"/>
      <c r="AM86" s="87"/>
      <c r="AN86" s="89"/>
      <c r="AO86" s="87"/>
      <c r="AP86" s="548"/>
      <c r="AQ86" s="550"/>
      <c r="AR86" s="87"/>
      <c r="AS86" s="87"/>
      <c r="AT86" s="87"/>
      <c r="AU86" s="87"/>
      <c r="AV86" s="87"/>
      <c r="AW86" s="87"/>
      <c r="AX86" s="89"/>
      <c r="AY86" s="87"/>
      <c r="AZ86" s="551"/>
      <c r="BA86" s="96"/>
      <c r="BB86" s="96"/>
      <c r="BC86" s="96"/>
      <c r="BD86" s="96"/>
      <c r="BE86" s="96"/>
      <c r="BF86" s="96"/>
      <c r="BG86" s="96"/>
      <c r="BH86" s="97"/>
      <c r="BI86" s="106"/>
      <c r="BJ86" s="551"/>
      <c r="BK86" s="96"/>
      <c r="BL86" s="96"/>
      <c r="BM86" s="96"/>
      <c r="BN86" s="96"/>
      <c r="BO86" s="96"/>
      <c r="BP86" s="96"/>
      <c r="BQ86" s="96"/>
      <c r="BR86" s="97"/>
      <c r="BS86" s="26"/>
      <c r="BT86" s="38"/>
      <c r="BU86" s="38"/>
      <c r="BV86" s="38"/>
      <c r="BW86" s="38"/>
      <c r="BX86" s="38"/>
      <c r="BY86" s="26"/>
      <c r="BZ86" s="26"/>
      <c r="CA86" s="26"/>
      <c r="CB86" s="26"/>
    </row>
    <row r="87" spans="1:80" s="23" customFormat="1" ht="9" customHeight="1" x14ac:dyDescent="0.25">
      <c r="A87" s="26"/>
      <c r="B87" s="88"/>
      <c r="C87" s="87"/>
      <c r="D87" s="87"/>
      <c r="E87" s="87"/>
      <c r="F87" s="87"/>
      <c r="G87" s="87"/>
      <c r="H87" s="87"/>
      <c r="I87" s="87"/>
      <c r="J87" s="89"/>
      <c r="K87" s="87"/>
      <c r="L87" s="88"/>
      <c r="M87" s="87"/>
      <c r="N87" s="87"/>
      <c r="O87" s="87"/>
      <c r="P87" s="87"/>
      <c r="Q87" s="87"/>
      <c r="R87" s="87"/>
      <c r="S87" s="87"/>
      <c r="T87" s="89"/>
      <c r="U87" s="87"/>
      <c r="V87" s="88"/>
      <c r="W87" s="87"/>
      <c r="X87" s="87"/>
      <c r="Y87" s="87"/>
      <c r="Z87" s="87"/>
      <c r="AA87" s="87"/>
      <c r="AB87" s="87"/>
      <c r="AC87" s="87"/>
      <c r="AD87" s="89"/>
      <c r="AE87" s="87"/>
      <c r="AF87" s="88"/>
      <c r="AG87" s="87"/>
      <c r="AH87" s="87"/>
      <c r="AI87" s="87"/>
      <c r="AJ87" s="87"/>
      <c r="AK87" s="87"/>
      <c r="AL87" s="87"/>
      <c r="AM87" s="87"/>
      <c r="AN87" s="89"/>
      <c r="AO87" s="87"/>
      <c r="AP87" s="548"/>
      <c r="AQ87" s="550"/>
      <c r="AR87" s="87"/>
      <c r="AS87" s="87"/>
      <c r="AT87" s="87"/>
      <c r="AU87" s="87"/>
      <c r="AV87" s="87"/>
      <c r="AW87" s="87"/>
      <c r="AX87" s="89"/>
      <c r="AY87" s="87"/>
      <c r="AZ87" s="551"/>
      <c r="BA87" s="96"/>
      <c r="BB87" s="96"/>
      <c r="BC87" s="96"/>
      <c r="BD87" s="96"/>
      <c r="BE87" s="96"/>
      <c r="BF87" s="96"/>
      <c r="BG87" s="96"/>
      <c r="BH87" s="97"/>
      <c r="BI87" s="106"/>
      <c r="BJ87" s="551"/>
      <c r="BK87" s="96"/>
      <c r="BL87" s="96"/>
      <c r="BM87" s="96"/>
      <c r="BN87" s="96"/>
      <c r="BO87" s="96"/>
      <c r="BP87" s="96"/>
      <c r="BQ87" s="96"/>
      <c r="BR87" s="97"/>
      <c r="BS87" s="26"/>
      <c r="BT87" s="38"/>
      <c r="BU87" s="38"/>
      <c r="BV87" s="38"/>
      <c r="BW87" s="38"/>
      <c r="BX87" s="38"/>
      <c r="BY87" s="26"/>
      <c r="BZ87" s="26"/>
      <c r="CA87" s="26"/>
      <c r="CB87" s="26"/>
    </row>
    <row r="88" spans="1:80" s="23" customFormat="1" ht="9" customHeight="1" x14ac:dyDescent="0.25">
      <c r="A88" s="26"/>
      <c r="B88" s="88"/>
      <c r="C88" s="87"/>
      <c r="D88" s="87"/>
      <c r="E88" s="87"/>
      <c r="F88" s="87"/>
      <c r="G88" s="87"/>
      <c r="H88" s="87"/>
      <c r="I88" s="87"/>
      <c r="J88" s="89"/>
      <c r="K88" s="87"/>
      <c r="L88" s="88"/>
      <c r="M88" s="87"/>
      <c r="N88" s="87"/>
      <c r="O88" s="87"/>
      <c r="P88" s="87"/>
      <c r="Q88" s="87"/>
      <c r="R88" s="87"/>
      <c r="S88" s="87"/>
      <c r="T88" s="89"/>
      <c r="U88" s="87"/>
      <c r="V88" s="88"/>
      <c r="W88" s="87"/>
      <c r="X88" s="87"/>
      <c r="Y88" s="87"/>
      <c r="Z88" s="87"/>
      <c r="AA88" s="87"/>
      <c r="AB88" s="87"/>
      <c r="AC88" s="87"/>
      <c r="AD88" s="89"/>
      <c r="AE88" s="87"/>
      <c r="AF88" s="88"/>
      <c r="AG88" s="87"/>
      <c r="AH88" s="87"/>
      <c r="AI88" s="87"/>
      <c r="AJ88" s="87"/>
      <c r="AK88" s="87"/>
      <c r="AL88" s="87"/>
      <c r="AM88" s="87"/>
      <c r="AN88" s="89"/>
      <c r="AO88" s="87"/>
      <c r="AP88" s="548"/>
      <c r="AQ88" s="550"/>
      <c r="AR88" s="87"/>
      <c r="AS88" s="87"/>
      <c r="AT88" s="87"/>
      <c r="AU88" s="87"/>
      <c r="AV88" s="87"/>
      <c r="AW88" s="87"/>
      <c r="AX88" s="89"/>
      <c r="AY88" s="87"/>
      <c r="AZ88" s="551"/>
      <c r="BA88" s="96"/>
      <c r="BB88" s="96"/>
      <c r="BC88" s="96"/>
      <c r="BD88" s="96"/>
      <c r="BE88" s="96"/>
      <c r="BF88" s="96"/>
      <c r="BG88" s="96"/>
      <c r="BH88" s="97"/>
      <c r="BI88" s="106"/>
      <c r="BJ88" s="551"/>
      <c r="BK88" s="96"/>
      <c r="BL88" s="96"/>
      <c r="BM88" s="96"/>
      <c r="BN88" s="96"/>
      <c r="BO88" s="96"/>
      <c r="BP88" s="96"/>
      <c r="BQ88" s="96"/>
      <c r="BR88" s="97"/>
      <c r="BS88" s="26"/>
      <c r="BT88" s="38"/>
      <c r="BU88" s="38"/>
      <c r="BV88" s="38"/>
      <c r="BW88" s="38"/>
      <c r="BX88" s="38"/>
      <c r="BY88" s="26"/>
      <c r="BZ88" s="26"/>
      <c r="CA88" s="26"/>
      <c r="CB88" s="26"/>
    </row>
    <row r="89" spans="1:80" s="23" customFormat="1" ht="9" customHeight="1" x14ac:dyDescent="0.25">
      <c r="A89" s="26"/>
      <c r="B89" s="88"/>
      <c r="C89" s="87"/>
      <c r="D89" s="87"/>
      <c r="E89" s="87"/>
      <c r="F89" s="87"/>
      <c r="G89" s="87"/>
      <c r="H89" s="87"/>
      <c r="I89" s="87"/>
      <c r="J89" s="89"/>
      <c r="K89" s="87"/>
      <c r="L89" s="88"/>
      <c r="M89" s="87"/>
      <c r="N89" s="87"/>
      <c r="O89" s="87"/>
      <c r="P89" s="87"/>
      <c r="Q89" s="87"/>
      <c r="R89" s="87"/>
      <c r="S89" s="87"/>
      <c r="T89" s="89"/>
      <c r="U89" s="87"/>
      <c r="V89" s="88"/>
      <c r="W89" s="87"/>
      <c r="X89" s="87"/>
      <c r="Y89" s="87"/>
      <c r="Z89" s="87"/>
      <c r="AA89" s="87"/>
      <c r="AB89" s="87"/>
      <c r="AC89" s="87"/>
      <c r="AD89" s="89"/>
      <c r="AE89" s="87"/>
      <c r="AF89" s="88"/>
      <c r="AG89" s="87"/>
      <c r="AH89" s="87"/>
      <c r="AI89" s="87"/>
      <c r="AJ89" s="87"/>
      <c r="AK89" s="87"/>
      <c r="AL89" s="87"/>
      <c r="AM89" s="87"/>
      <c r="AN89" s="89"/>
      <c r="AO89" s="87"/>
      <c r="AP89" s="548"/>
      <c r="AQ89" s="550"/>
      <c r="AR89" s="87"/>
      <c r="AS89" s="87"/>
      <c r="AT89" s="87"/>
      <c r="AU89" s="87"/>
      <c r="AV89" s="87"/>
      <c r="AW89" s="87"/>
      <c r="AX89" s="89"/>
      <c r="AY89" s="87"/>
      <c r="AZ89" s="551"/>
      <c r="BA89" s="96"/>
      <c r="BB89" s="96"/>
      <c r="BC89" s="96"/>
      <c r="BD89" s="96"/>
      <c r="BE89" s="96"/>
      <c r="BF89" s="96"/>
      <c r="BG89" s="96"/>
      <c r="BH89" s="97"/>
      <c r="BI89" s="106"/>
      <c r="BJ89" s="551"/>
      <c r="BK89" s="96"/>
      <c r="BL89" s="96"/>
      <c r="BM89" s="96"/>
      <c r="BN89" s="96"/>
      <c r="BO89" s="96"/>
      <c r="BP89" s="96"/>
      <c r="BQ89" s="96"/>
      <c r="BR89" s="97"/>
      <c r="BS89" s="26"/>
      <c r="BT89" s="38"/>
      <c r="BU89" s="38"/>
      <c r="BV89" s="38"/>
      <c r="BW89" s="38"/>
      <c r="BX89" s="38"/>
      <c r="BY89" s="26"/>
      <c r="BZ89" s="26"/>
      <c r="CA89" s="26"/>
      <c r="CB89" s="26"/>
    </row>
    <row r="90" spans="1:80" s="23" customFormat="1" ht="9" customHeight="1" x14ac:dyDescent="0.25">
      <c r="A90" s="26"/>
      <c r="B90" s="88"/>
      <c r="C90" s="87"/>
      <c r="D90" s="87"/>
      <c r="E90" s="87"/>
      <c r="F90" s="87"/>
      <c r="G90" s="87"/>
      <c r="H90" s="87"/>
      <c r="I90" s="87"/>
      <c r="J90" s="89"/>
      <c r="K90" s="87"/>
      <c r="L90" s="88"/>
      <c r="M90" s="87"/>
      <c r="N90" s="87"/>
      <c r="O90" s="87"/>
      <c r="P90" s="87"/>
      <c r="Q90" s="87"/>
      <c r="R90" s="87"/>
      <c r="S90" s="87"/>
      <c r="T90" s="89"/>
      <c r="U90" s="87"/>
      <c r="V90" s="88"/>
      <c r="W90" s="87"/>
      <c r="X90" s="87"/>
      <c r="Y90" s="87"/>
      <c r="Z90" s="87"/>
      <c r="AA90" s="87"/>
      <c r="AB90" s="87"/>
      <c r="AC90" s="87"/>
      <c r="AD90" s="89"/>
      <c r="AE90" s="87"/>
      <c r="AF90" s="88"/>
      <c r="AG90" s="87"/>
      <c r="AH90" s="87"/>
      <c r="AI90" s="87"/>
      <c r="AJ90" s="87"/>
      <c r="AK90" s="87"/>
      <c r="AL90" s="87"/>
      <c r="AM90" s="87"/>
      <c r="AN90" s="89"/>
      <c r="AO90" s="87"/>
      <c r="AP90" s="548"/>
      <c r="AQ90" s="550"/>
      <c r="AR90" s="87"/>
      <c r="AS90" s="87"/>
      <c r="AT90" s="87"/>
      <c r="AU90" s="87"/>
      <c r="AV90" s="87"/>
      <c r="AW90" s="87"/>
      <c r="AX90" s="89"/>
      <c r="AY90" s="87"/>
      <c r="AZ90" s="551"/>
      <c r="BA90" s="96"/>
      <c r="BB90" s="96"/>
      <c r="BC90" s="96"/>
      <c r="BD90" s="96"/>
      <c r="BE90" s="96"/>
      <c r="BF90" s="96"/>
      <c r="BG90" s="96"/>
      <c r="BH90" s="97"/>
      <c r="BI90" s="106"/>
      <c r="BJ90" s="551"/>
      <c r="BK90" s="96"/>
      <c r="BL90" s="96"/>
      <c r="BM90" s="96"/>
      <c r="BN90" s="96"/>
      <c r="BO90" s="96"/>
      <c r="BP90" s="96"/>
      <c r="BQ90" s="96"/>
      <c r="BR90" s="97"/>
      <c r="BS90" s="26"/>
      <c r="BT90" s="530"/>
      <c r="BU90" s="530"/>
      <c r="BV90" s="530"/>
      <c r="BW90" s="530"/>
      <c r="BX90" s="530"/>
      <c r="BY90" s="530"/>
      <c r="BZ90" s="530"/>
      <c r="CA90" s="530"/>
      <c r="CB90" s="530"/>
    </row>
    <row r="91" spans="1:80" s="23" customFormat="1" ht="9" customHeight="1" x14ac:dyDescent="0.25">
      <c r="A91" s="26"/>
      <c r="B91" s="88"/>
      <c r="C91" s="87"/>
      <c r="D91" s="87"/>
      <c r="E91" s="87"/>
      <c r="F91" s="87"/>
      <c r="G91" s="87"/>
      <c r="H91" s="87"/>
      <c r="I91" s="87"/>
      <c r="J91" s="89"/>
      <c r="K91" s="87"/>
      <c r="L91" s="88"/>
      <c r="M91" s="87"/>
      <c r="N91" s="87"/>
      <c r="O91" s="87"/>
      <c r="P91" s="87"/>
      <c r="Q91" s="87"/>
      <c r="R91" s="87"/>
      <c r="S91" s="87"/>
      <c r="T91" s="89"/>
      <c r="U91" s="87"/>
      <c r="V91" s="88"/>
      <c r="W91" s="87"/>
      <c r="X91" s="87"/>
      <c r="Y91" s="87"/>
      <c r="Z91" s="87"/>
      <c r="AA91" s="87"/>
      <c r="AB91" s="87"/>
      <c r="AC91" s="87"/>
      <c r="AD91" s="89"/>
      <c r="AE91" s="87"/>
      <c r="AF91" s="88"/>
      <c r="AG91" s="87"/>
      <c r="AH91" s="87"/>
      <c r="AI91" s="87"/>
      <c r="AJ91" s="87"/>
      <c r="AK91" s="87"/>
      <c r="AL91" s="87"/>
      <c r="AM91" s="87"/>
      <c r="AN91" s="89"/>
      <c r="AO91" s="87"/>
      <c r="AP91" s="539"/>
      <c r="AQ91" s="540"/>
      <c r="AR91" s="540"/>
      <c r="AS91" s="540"/>
      <c r="AT91" s="540"/>
      <c r="AU91" s="540"/>
      <c r="AV91" s="540"/>
      <c r="AW91" s="540"/>
      <c r="AX91" s="541"/>
      <c r="AY91" s="87"/>
      <c r="AZ91" s="551"/>
      <c r="BA91" s="96"/>
      <c r="BB91" s="96"/>
      <c r="BC91" s="96"/>
      <c r="BD91" s="96"/>
      <c r="BE91" s="96"/>
      <c r="BF91" s="96"/>
      <c r="BG91" s="96"/>
      <c r="BH91" s="97"/>
      <c r="BI91" s="89"/>
      <c r="BJ91" s="551"/>
      <c r="BK91" s="96"/>
      <c r="BL91" s="96"/>
      <c r="BM91" s="96"/>
      <c r="BN91" s="96"/>
      <c r="BO91" s="96"/>
      <c r="BP91" s="96"/>
      <c r="BQ91" s="96"/>
      <c r="BR91" s="97"/>
      <c r="BS91" s="26"/>
      <c r="BT91" s="33"/>
      <c r="BU91" s="33"/>
      <c r="BV91" s="33"/>
      <c r="BW91" s="33"/>
      <c r="BX91" s="33"/>
      <c r="BY91" s="33"/>
      <c r="BZ91" s="33"/>
      <c r="CA91" s="33"/>
      <c r="CB91" s="33"/>
    </row>
    <row r="92" spans="1:80" s="23" customFormat="1" ht="9" customHeight="1" x14ac:dyDescent="0.25">
      <c r="A92" s="26"/>
      <c r="B92" s="194"/>
      <c r="C92" s="199"/>
      <c r="D92" s="199"/>
      <c r="E92" s="199"/>
      <c r="F92" s="199"/>
      <c r="G92" s="199"/>
      <c r="H92" s="199"/>
      <c r="I92" s="199"/>
      <c r="J92" s="200"/>
      <c r="K92" s="182"/>
      <c r="L92" s="492" t="s">
        <v>416</v>
      </c>
      <c r="M92" s="492"/>
      <c r="N92" s="492"/>
      <c r="O92" s="492"/>
      <c r="P92" s="492"/>
      <c r="Q92" s="493">
        <f>CEILING(1466*B5,1)</f>
        <v>2053</v>
      </c>
      <c r="R92" s="493"/>
      <c r="S92" s="493"/>
      <c r="T92" s="493"/>
      <c r="U92" s="223"/>
      <c r="V92" s="492" t="s">
        <v>417</v>
      </c>
      <c r="W92" s="492"/>
      <c r="X92" s="492"/>
      <c r="Y92" s="492"/>
      <c r="Z92" s="492"/>
      <c r="AA92" s="493">
        <f>CEILING(2887*B5,1)</f>
        <v>4042</v>
      </c>
      <c r="AB92" s="493"/>
      <c r="AC92" s="493"/>
      <c r="AD92" s="493"/>
      <c r="AE92" s="223"/>
      <c r="AF92" s="492" t="s">
        <v>417</v>
      </c>
      <c r="AG92" s="492"/>
      <c r="AH92" s="492"/>
      <c r="AI92" s="492"/>
      <c r="AJ92" s="492"/>
      <c r="AK92" s="493">
        <f>CEILING(3409*B5,1)</f>
        <v>4773</v>
      </c>
      <c r="AL92" s="493"/>
      <c r="AM92" s="493"/>
      <c r="AN92" s="493"/>
      <c r="AO92" s="223"/>
      <c r="AP92" s="492" t="s">
        <v>418</v>
      </c>
      <c r="AQ92" s="492"/>
      <c r="AR92" s="492"/>
      <c r="AS92" s="492"/>
      <c r="AT92" s="492"/>
      <c r="AU92" s="493">
        <f>CEILING(3239*B5,1)</f>
        <v>4535</v>
      </c>
      <c r="AV92" s="493"/>
      <c r="AW92" s="493"/>
      <c r="AX92" s="493"/>
      <c r="AY92" s="223"/>
      <c r="AZ92" s="492" t="s">
        <v>419</v>
      </c>
      <c r="BA92" s="492"/>
      <c r="BB92" s="492"/>
      <c r="BC92" s="492"/>
      <c r="BD92" s="492"/>
      <c r="BE92" s="493">
        <f>CEILING(7497*B5,1)</f>
        <v>10496</v>
      </c>
      <c r="BF92" s="493"/>
      <c r="BG92" s="493"/>
      <c r="BH92" s="493"/>
      <c r="BI92" s="181"/>
      <c r="BJ92" s="229"/>
      <c r="BK92" s="185"/>
      <c r="BL92" s="185"/>
      <c r="BM92" s="185"/>
      <c r="BN92" s="185"/>
      <c r="BO92" s="185"/>
      <c r="BP92" s="185"/>
      <c r="BQ92" s="185"/>
      <c r="BR92" s="186"/>
      <c r="BS92" s="26"/>
      <c r="BT92" s="33"/>
      <c r="BU92" s="33"/>
      <c r="BV92" s="33"/>
      <c r="BW92" s="33"/>
      <c r="BX92" s="33"/>
      <c r="BY92" s="33"/>
      <c r="BZ92" s="33"/>
      <c r="CA92" s="33"/>
      <c r="CB92" s="33"/>
    </row>
    <row r="93" spans="1:80" s="23" customFormat="1" ht="9" customHeight="1" x14ac:dyDescent="0.25">
      <c r="A93" s="26"/>
      <c r="B93" s="492" t="s">
        <v>420</v>
      </c>
      <c r="C93" s="492"/>
      <c r="D93" s="492"/>
      <c r="E93" s="492"/>
      <c r="F93" s="492"/>
      <c r="G93" s="493">
        <f>CEILING(6397*B5,1)</f>
        <v>8956</v>
      </c>
      <c r="H93" s="493"/>
      <c r="I93" s="493"/>
      <c r="J93" s="493"/>
      <c r="K93" s="223"/>
      <c r="L93" s="492" t="s">
        <v>421</v>
      </c>
      <c r="M93" s="492"/>
      <c r="N93" s="492"/>
      <c r="O93" s="492"/>
      <c r="P93" s="492"/>
      <c r="Q93" s="493">
        <f>CEILING(2160*B5,1)</f>
        <v>3024</v>
      </c>
      <c r="R93" s="493"/>
      <c r="S93" s="493"/>
      <c r="T93" s="493"/>
      <c r="U93" s="223"/>
      <c r="V93" s="492" t="s">
        <v>422</v>
      </c>
      <c r="W93" s="492"/>
      <c r="X93" s="492"/>
      <c r="Y93" s="492"/>
      <c r="Z93" s="492"/>
      <c r="AA93" s="493">
        <f>CEILING(3297*B5,1)</f>
        <v>4616</v>
      </c>
      <c r="AB93" s="493"/>
      <c r="AC93" s="493"/>
      <c r="AD93" s="493"/>
      <c r="AE93" s="223"/>
      <c r="AF93" s="492" t="s">
        <v>422</v>
      </c>
      <c r="AG93" s="492"/>
      <c r="AH93" s="492"/>
      <c r="AI93" s="492"/>
      <c r="AJ93" s="492"/>
      <c r="AK93" s="493">
        <f>CEILING(3863*B5,1)</f>
        <v>5409</v>
      </c>
      <c r="AL93" s="493"/>
      <c r="AM93" s="493"/>
      <c r="AN93" s="493"/>
      <c r="AO93" s="223"/>
      <c r="AP93" s="492" t="s">
        <v>423</v>
      </c>
      <c r="AQ93" s="492"/>
      <c r="AR93" s="492"/>
      <c r="AS93" s="492"/>
      <c r="AT93" s="492"/>
      <c r="AU93" s="493">
        <f>CEILING(4334*B5,1)</f>
        <v>6068</v>
      </c>
      <c r="AV93" s="493"/>
      <c r="AW93" s="493"/>
      <c r="AX93" s="493"/>
      <c r="AY93" s="223"/>
      <c r="AZ93" s="492" t="s">
        <v>424</v>
      </c>
      <c r="BA93" s="492"/>
      <c r="BB93" s="492"/>
      <c r="BC93" s="492"/>
      <c r="BD93" s="492"/>
      <c r="BE93" s="493">
        <f>CEILING(8271*B5,1)</f>
        <v>11580</v>
      </c>
      <c r="BF93" s="493"/>
      <c r="BG93" s="493"/>
      <c r="BH93" s="493"/>
      <c r="BI93" s="223"/>
      <c r="BJ93" s="492" t="s">
        <v>422</v>
      </c>
      <c r="BK93" s="492"/>
      <c r="BL93" s="492"/>
      <c r="BM93" s="492"/>
      <c r="BN93" s="492"/>
      <c r="BO93" s="493">
        <f>CEILING(7725*B5,1)</f>
        <v>10815</v>
      </c>
      <c r="BP93" s="493"/>
      <c r="BQ93" s="493"/>
      <c r="BR93" s="493"/>
      <c r="BS93" s="26"/>
      <c r="BT93" s="33"/>
      <c r="BU93" s="33"/>
      <c r="BV93" s="33"/>
      <c r="BW93" s="33"/>
      <c r="BX93" s="33"/>
      <c r="BY93" s="33"/>
      <c r="BZ93" s="33"/>
      <c r="CA93" s="33"/>
      <c r="CB93" s="33"/>
    </row>
    <row r="94" spans="1:80" s="23" customFormat="1" ht="9" customHeight="1" x14ac:dyDescent="0.25">
      <c r="A94" s="26"/>
      <c r="B94" s="492" t="s">
        <v>425</v>
      </c>
      <c r="C94" s="492"/>
      <c r="D94" s="492"/>
      <c r="E94" s="492"/>
      <c r="F94" s="492"/>
      <c r="G94" s="493">
        <f>CEILING(6758*B5,1)</f>
        <v>9462</v>
      </c>
      <c r="H94" s="493"/>
      <c r="I94" s="493"/>
      <c r="J94" s="493"/>
      <c r="K94" s="223"/>
      <c r="L94" s="492" t="s">
        <v>426</v>
      </c>
      <c r="M94" s="492"/>
      <c r="N94" s="492"/>
      <c r="O94" s="492"/>
      <c r="P94" s="492"/>
      <c r="Q94" s="493">
        <f>CEILING(2479*B5,1)</f>
        <v>3471</v>
      </c>
      <c r="R94" s="493"/>
      <c r="S94" s="493"/>
      <c r="T94" s="493"/>
      <c r="U94" s="223"/>
      <c r="V94" s="492" t="s">
        <v>219</v>
      </c>
      <c r="W94" s="492"/>
      <c r="X94" s="492"/>
      <c r="Y94" s="492"/>
      <c r="Z94" s="492"/>
      <c r="AA94" s="493">
        <f>CEILING(3795*B5,1)</f>
        <v>5313</v>
      </c>
      <c r="AB94" s="493"/>
      <c r="AC94" s="493"/>
      <c r="AD94" s="493"/>
      <c r="AE94" s="223"/>
      <c r="AF94" s="492" t="s">
        <v>219</v>
      </c>
      <c r="AG94" s="492"/>
      <c r="AH94" s="492"/>
      <c r="AI94" s="492"/>
      <c r="AJ94" s="492"/>
      <c r="AK94" s="493">
        <f>CEILING(4318*B5,1)</f>
        <v>6046</v>
      </c>
      <c r="AL94" s="493"/>
      <c r="AM94" s="493"/>
      <c r="AN94" s="493"/>
      <c r="AO94" s="223"/>
      <c r="AP94" s="492" t="s">
        <v>427</v>
      </c>
      <c r="AQ94" s="492"/>
      <c r="AR94" s="492"/>
      <c r="AS94" s="492"/>
      <c r="AT94" s="492"/>
      <c r="AU94" s="493">
        <f>CEILING(4544*B5,1)</f>
        <v>6362</v>
      </c>
      <c r="AV94" s="493"/>
      <c r="AW94" s="493"/>
      <c r="AX94" s="493"/>
      <c r="AY94" s="223"/>
      <c r="AZ94" s="492" t="s">
        <v>428</v>
      </c>
      <c r="BA94" s="492"/>
      <c r="BB94" s="492"/>
      <c r="BC94" s="492"/>
      <c r="BD94" s="492"/>
      <c r="BE94" s="493">
        <f>CEILING(9089*B5,1)</f>
        <v>12725</v>
      </c>
      <c r="BF94" s="493"/>
      <c r="BG94" s="493"/>
      <c r="BH94" s="493"/>
      <c r="BI94" s="223"/>
      <c r="BJ94" s="492" t="s">
        <v>219</v>
      </c>
      <c r="BK94" s="492"/>
      <c r="BL94" s="492"/>
      <c r="BM94" s="492"/>
      <c r="BN94" s="492"/>
      <c r="BO94" s="493">
        <f>CEILING(8586*B5,1)</f>
        <v>12021</v>
      </c>
      <c r="BP94" s="493"/>
      <c r="BQ94" s="493"/>
      <c r="BR94" s="493"/>
      <c r="BS94" s="26"/>
      <c r="BT94" s="533"/>
      <c r="BU94" s="533"/>
      <c r="BV94" s="533"/>
      <c r="BW94" s="533"/>
      <c r="BX94" s="533"/>
      <c r="BY94" s="530"/>
      <c r="BZ94" s="530"/>
      <c r="CA94" s="530"/>
      <c r="CB94" s="530"/>
    </row>
    <row r="95" spans="1:80" x14ac:dyDescent="0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</row>
    <row r="96" spans="1:80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</row>
    <row r="97" spans="1:71" x14ac:dyDescent="0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</row>
    <row r="98" spans="1:71" x14ac:dyDescent="0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</row>
    <row r="99" spans="1:71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</row>
    <row r="100" spans="1:71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</row>
    <row r="101" spans="1:71" x14ac:dyDescent="0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</row>
    <row r="102" spans="1:71" x14ac:dyDescent="0.25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</row>
    <row r="103" spans="1:71" x14ac:dyDescent="0.25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</row>
    <row r="104" spans="1:71" x14ac:dyDescent="0.25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</row>
    <row r="105" spans="1:71" x14ac:dyDescent="0.2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</row>
    <row r="106" spans="1:71" x14ac:dyDescent="0.2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</row>
    <row r="107" spans="1:71" x14ac:dyDescent="0.25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</row>
    <row r="108" spans="1:71" x14ac:dyDescent="0.2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</row>
    <row r="109" spans="1:71" x14ac:dyDescent="0.2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</row>
    <row r="110" spans="1:71" x14ac:dyDescent="0.25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</row>
    <row r="111" spans="1:71" x14ac:dyDescent="0.25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</row>
    <row r="112" spans="1:71" x14ac:dyDescent="0.25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</row>
    <row r="113" spans="1:71" x14ac:dyDescent="0.2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</row>
    <row r="114" spans="1:71" x14ac:dyDescent="0.2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</row>
    <row r="115" spans="1:71" x14ac:dyDescent="0.2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</row>
    <row r="116" spans="1:71" x14ac:dyDescent="0.25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</row>
    <row r="117" spans="1:71" x14ac:dyDescent="0.25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</row>
    <row r="118" spans="1:71" x14ac:dyDescent="0.25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</row>
    <row r="119" spans="1:71" x14ac:dyDescent="0.25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</row>
    <row r="120" spans="1:71" x14ac:dyDescent="0.2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</row>
    <row r="121" spans="1:71" x14ac:dyDescent="0.25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</row>
    <row r="122" spans="1:71" x14ac:dyDescent="0.2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</row>
    <row r="123" spans="1:71" x14ac:dyDescent="0.2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</row>
    <row r="124" spans="1:71" x14ac:dyDescent="0.2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</row>
    <row r="125" spans="1:71" x14ac:dyDescent="0.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</row>
    <row r="126" spans="1:71" x14ac:dyDescent="0.25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</row>
    <row r="127" spans="1:71" x14ac:dyDescent="0.25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</row>
    <row r="128" spans="1:71" x14ac:dyDescent="0.25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</row>
    <row r="129" spans="1:71" x14ac:dyDescent="0.25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</row>
    <row r="130" spans="1:71" x14ac:dyDescent="0.25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</row>
    <row r="131" spans="1:71" x14ac:dyDescent="0.25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</row>
    <row r="132" spans="1:71" x14ac:dyDescent="0.25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</row>
    <row r="133" spans="1:71" x14ac:dyDescent="0.25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</row>
    <row r="134" spans="1:71" x14ac:dyDescent="0.25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</row>
    <row r="135" spans="1:71" x14ac:dyDescent="0.2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</row>
    <row r="136" spans="1:71" x14ac:dyDescent="0.25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</row>
    <row r="137" spans="1:71" x14ac:dyDescent="0.2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</row>
    <row r="138" spans="1:71" x14ac:dyDescent="0.25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</row>
    <row r="139" spans="1:71" x14ac:dyDescent="0.25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</row>
    <row r="140" spans="1:71" x14ac:dyDescent="0.25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</row>
    <row r="141" spans="1:71" x14ac:dyDescent="0.25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</row>
    <row r="142" spans="1:71" x14ac:dyDescent="0.25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</row>
    <row r="143" spans="1:71" x14ac:dyDescent="0.25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</row>
    <row r="144" spans="1:71" x14ac:dyDescent="0.2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</row>
    <row r="145" spans="1:71" x14ac:dyDescent="0.2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</row>
    <row r="146" spans="1:71" x14ac:dyDescent="0.25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</row>
    <row r="147" spans="1:71" x14ac:dyDescent="0.25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</row>
    <row r="148" spans="1:71" x14ac:dyDescent="0.25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</row>
    <row r="149" spans="1:71" x14ac:dyDescent="0.25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</row>
    <row r="150" spans="1:71" x14ac:dyDescent="0.25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</row>
    <row r="151" spans="1:71" x14ac:dyDescent="0.25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</row>
    <row r="152" spans="1:71" x14ac:dyDescent="0.25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</row>
    <row r="153" spans="1:71" x14ac:dyDescent="0.25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</row>
    <row r="154" spans="1:71" x14ac:dyDescent="0.25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</row>
    <row r="155" spans="1:71" x14ac:dyDescent="0.2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</row>
    <row r="156" spans="1:71" x14ac:dyDescent="0.25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</row>
    <row r="157" spans="1:71" x14ac:dyDescent="0.25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</row>
    <row r="158" spans="1:71" x14ac:dyDescent="0.25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</row>
    <row r="159" spans="1:71" x14ac:dyDescent="0.25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</row>
    <row r="160" spans="1:71" x14ac:dyDescent="0.25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</row>
    <row r="161" spans="1:71" x14ac:dyDescent="0.25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</row>
    <row r="162" spans="1:71" x14ac:dyDescent="0.25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</row>
    <row r="163" spans="1:71" x14ac:dyDescent="0.2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</row>
    <row r="164" spans="1:71" x14ac:dyDescent="0.25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</row>
    <row r="165" spans="1:71" x14ac:dyDescent="0.2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</row>
    <row r="166" spans="1:71" x14ac:dyDescent="0.25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</row>
    <row r="167" spans="1:71" x14ac:dyDescent="0.2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</row>
    <row r="168" spans="1:71" x14ac:dyDescent="0.2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</row>
    <row r="169" spans="1:71" x14ac:dyDescent="0.25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</row>
    <row r="170" spans="1:71" x14ac:dyDescent="0.2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</row>
    <row r="171" spans="1:71" x14ac:dyDescent="0.25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</row>
    <row r="172" spans="1:71" x14ac:dyDescent="0.25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</row>
    <row r="173" spans="1:71" x14ac:dyDescent="0.25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</row>
    <row r="174" spans="1:71" x14ac:dyDescent="0.25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</row>
    <row r="175" spans="1:71" x14ac:dyDescent="0.2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</row>
    <row r="176" spans="1:71" x14ac:dyDescent="0.25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</row>
    <row r="177" spans="1:71" x14ac:dyDescent="0.2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</row>
    <row r="178" spans="1:71" x14ac:dyDescent="0.25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</row>
    <row r="179" spans="1:71" x14ac:dyDescent="0.25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</row>
    <row r="180" spans="1:71" x14ac:dyDescent="0.25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</row>
    <row r="181" spans="1:71" x14ac:dyDescent="0.25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</row>
    <row r="182" spans="1:71" x14ac:dyDescent="0.2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</row>
    <row r="183" spans="1:71" x14ac:dyDescent="0.25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</row>
    <row r="184" spans="1:71" x14ac:dyDescent="0.25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</row>
    <row r="185" spans="1:71" x14ac:dyDescent="0.2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</row>
    <row r="186" spans="1:71" x14ac:dyDescent="0.25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</row>
    <row r="187" spans="1:71" x14ac:dyDescent="0.25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</row>
    <row r="188" spans="1:71" x14ac:dyDescent="0.25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</row>
    <row r="189" spans="1:71" x14ac:dyDescent="0.25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</row>
    <row r="190" spans="1:71" x14ac:dyDescent="0.25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</row>
    <row r="191" spans="1:71" x14ac:dyDescent="0.25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</row>
    <row r="192" spans="1:71" x14ac:dyDescent="0.25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</row>
    <row r="193" spans="1:71" x14ac:dyDescent="0.25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</row>
    <row r="194" spans="1:71" x14ac:dyDescent="0.25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</row>
    <row r="195" spans="1:71" x14ac:dyDescent="0.2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</row>
    <row r="196" spans="1:71" x14ac:dyDescent="0.25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</row>
    <row r="197" spans="1:71" x14ac:dyDescent="0.25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</row>
    <row r="198" spans="1:71" x14ac:dyDescent="0.25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</row>
    <row r="199" spans="1:71" x14ac:dyDescent="0.25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</row>
    <row r="200" spans="1:71" x14ac:dyDescent="0.25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</row>
    <row r="201" spans="1:71" x14ac:dyDescent="0.25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</row>
    <row r="202" spans="1:71" x14ac:dyDescent="0.25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</row>
    <row r="203" spans="1:71" x14ac:dyDescent="0.25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</row>
    <row r="204" spans="1:71" x14ac:dyDescent="0.25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</row>
    <row r="205" spans="1:71" x14ac:dyDescent="0.2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</row>
    <row r="206" spans="1:71" x14ac:dyDescent="0.25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</row>
    <row r="207" spans="1:71" x14ac:dyDescent="0.2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</row>
    <row r="208" spans="1:71" x14ac:dyDescent="0.25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</row>
    <row r="209" spans="1:71" x14ac:dyDescent="0.2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</row>
    <row r="210" spans="1:71" x14ac:dyDescent="0.25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</row>
    <row r="211" spans="1:71" x14ac:dyDescent="0.25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</row>
    <row r="212" spans="1:71" x14ac:dyDescent="0.25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</row>
    <row r="213" spans="1:71" x14ac:dyDescent="0.25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</row>
    <row r="214" spans="1:71" x14ac:dyDescent="0.25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</row>
    <row r="215" spans="1:71" x14ac:dyDescent="0.2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</row>
    <row r="216" spans="1:71" x14ac:dyDescent="0.2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</row>
    <row r="217" spans="1:71" x14ac:dyDescent="0.25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</row>
    <row r="218" spans="1:71" x14ac:dyDescent="0.25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</row>
    <row r="219" spans="1:71" x14ac:dyDescent="0.25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</row>
    <row r="220" spans="1:71" x14ac:dyDescent="0.25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</row>
    <row r="221" spans="1:71" x14ac:dyDescent="0.25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</row>
    <row r="222" spans="1:71" x14ac:dyDescent="0.2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</row>
    <row r="223" spans="1:71" x14ac:dyDescent="0.2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</row>
    <row r="224" spans="1:71" x14ac:dyDescent="0.2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</row>
    <row r="225" spans="1:71" x14ac:dyDescent="0.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</row>
    <row r="226" spans="1:71" x14ac:dyDescent="0.25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</row>
    <row r="227" spans="1:71" x14ac:dyDescent="0.2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</row>
    <row r="228" spans="1:71" x14ac:dyDescent="0.2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</row>
    <row r="229" spans="1:71" x14ac:dyDescent="0.2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</row>
    <row r="230" spans="1:71" x14ac:dyDescent="0.2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</row>
    <row r="231" spans="1:71" x14ac:dyDescent="0.2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</row>
    <row r="232" spans="1:71" x14ac:dyDescent="0.25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</row>
    <row r="233" spans="1:71" x14ac:dyDescent="0.2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</row>
    <row r="234" spans="1:71" x14ac:dyDescent="0.2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</row>
    <row r="235" spans="1:71" x14ac:dyDescent="0.2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</row>
    <row r="236" spans="1:71" x14ac:dyDescent="0.2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</row>
    <row r="237" spans="1:71" x14ac:dyDescent="0.2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</row>
    <row r="238" spans="1:71" x14ac:dyDescent="0.25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</row>
    <row r="239" spans="1:71" x14ac:dyDescent="0.2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</row>
    <row r="240" spans="1:71" x14ac:dyDescent="0.2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</row>
    <row r="241" spans="1:71" x14ac:dyDescent="0.25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</row>
    <row r="242" spans="1:71" x14ac:dyDescent="0.2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</row>
    <row r="243" spans="1:71" x14ac:dyDescent="0.2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</row>
    <row r="244" spans="1:71" x14ac:dyDescent="0.25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</row>
    <row r="245" spans="1:71" x14ac:dyDescent="0.2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</row>
    <row r="246" spans="1:71" x14ac:dyDescent="0.25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</row>
    <row r="247" spans="1:71" x14ac:dyDescent="0.25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</row>
    <row r="248" spans="1:71" x14ac:dyDescent="0.25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</row>
    <row r="249" spans="1:71" x14ac:dyDescent="0.25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</row>
    <row r="250" spans="1:71" x14ac:dyDescent="0.25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</row>
    <row r="251" spans="1:71" x14ac:dyDescent="0.25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</row>
    <row r="252" spans="1:71" x14ac:dyDescent="0.25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</row>
    <row r="253" spans="1:71" x14ac:dyDescent="0.25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</row>
    <row r="254" spans="1:71" x14ac:dyDescent="0.25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</row>
    <row r="255" spans="1:71" x14ac:dyDescent="0.2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</row>
    <row r="256" spans="1:71" x14ac:dyDescent="0.25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</row>
    <row r="257" spans="1:71" x14ac:dyDescent="0.25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</row>
    <row r="258" spans="1:71" x14ac:dyDescent="0.25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</row>
    <row r="259" spans="1:71" x14ac:dyDescent="0.25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</row>
    <row r="260" spans="1:71" x14ac:dyDescent="0.25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</row>
    <row r="261" spans="1:71" x14ac:dyDescent="0.25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</row>
    <row r="262" spans="1:71" x14ac:dyDescent="0.25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</row>
    <row r="263" spans="1:71" x14ac:dyDescent="0.25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</row>
    <row r="264" spans="1:71" x14ac:dyDescent="0.25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</row>
    <row r="265" spans="1:71" x14ac:dyDescent="0.2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</row>
    <row r="266" spans="1:71" x14ac:dyDescent="0.25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</row>
    <row r="267" spans="1:71" x14ac:dyDescent="0.25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</row>
    <row r="268" spans="1:71" x14ac:dyDescent="0.25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</row>
    <row r="269" spans="1:71" x14ac:dyDescent="0.25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</row>
    <row r="270" spans="1:71" x14ac:dyDescent="0.2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</row>
    <row r="271" spans="1:71" x14ac:dyDescent="0.2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</row>
    <row r="272" spans="1:71" x14ac:dyDescent="0.2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</row>
    <row r="273" spans="1:71" x14ac:dyDescent="0.2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</row>
    <row r="274" spans="1:71" x14ac:dyDescent="0.25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</row>
    <row r="275" spans="1:71" x14ac:dyDescent="0.2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</row>
    <row r="276" spans="1:71" x14ac:dyDescent="0.2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</row>
    <row r="277" spans="1:71" x14ac:dyDescent="0.25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</row>
    <row r="278" spans="1:71" x14ac:dyDescent="0.2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</row>
    <row r="279" spans="1:71" x14ac:dyDescent="0.2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</row>
    <row r="280" spans="1:71" x14ac:dyDescent="0.25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</row>
    <row r="281" spans="1:71" x14ac:dyDescent="0.2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</row>
    <row r="282" spans="1:71" x14ac:dyDescent="0.2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</row>
    <row r="283" spans="1:71" x14ac:dyDescent="0.25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</row>
    <row r="284" spans="1:71" x14ac:dyDescent="0.25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</row>
    <row r="285" spans="1:71" x14ac:dyDescent="0.2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</row>
    <row r="286" spans="1:71" x14ac:dyDescent="0.25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</row>
    <row r="287" spans="1:71" x14ac:dyDescent="0.25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</row>
    <row r="288" spans="1:71" x14ac:dyDescent="0.2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</row>
    <row r="289" spans="1:71" x14ac:dyDescent="0.25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</row>
    <row r="290" spans="1:71" x14ac:dyDescent="0.2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</row>
    <row r="291" spans="1:71" x14ac:dyDescent="0.2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</row>
    <row r="292" spans="1:71" x14ac:dyDescent="0.25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</row>
    <row r="293" spans="1:71" x14ac:dyDescent="0.25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</row>
    <row r="294" spans="1:71" x14ac:dyDescent="0.25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</row>
    <row r="295" spans="1:71" x14ac:dyDescent="0.2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</row>
    <row r="296" spans="1:71" x14ac:dyDescent="0.25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</row>
    <row r="297" spans="1:71" x14ac:dyDescent="0.2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</row>
    <row r="298" spans="1:71" x14ac:dyDescent="0.2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</row>
    <row r="299" spans="1:71" x14ac:dyDescent="0.25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</row>
    <row r="300" spans="1:71" x14ac:dyDescent="0.25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</row>
    <row r="301" spans="1:71" x14ac:dyDescent="0.25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</row>
    <row r="302" spans="1:71" x14ac:dyDescent="0.25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</row>
    <row r="303" spans="1:71" x14ac:dyDescent="0.25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</row>
    <row r="304" spans="1:71" x14ac:dyDescent="0.25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</row>
    <row r="305" spans="1:71" x14ac:dyDescent="0.2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</row>
    <row r="306" spans="1:71" x14ac:dyDescent="0.25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</row>
    <row r="307" spans="1:71" x14ac:dyDescent="0.25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</row>
    <row r="308" spans="1:71" x14ac:dyDescent="0.25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</row>
    <row r="309" spans="1:71" x14ac:dyDescent="0.25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</row>
    <row r="310" spans="1:71" x14ac:dyDescent="0.25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</row>
    <row r="311" spans="1:71" x14ac:dyDescent="0.25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</row>
    <row r="312" spans="1:71" x14ac:dyDescent="0.25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</row>
    <row r="313" spans="1:71" x14ac:dyDescent="0.25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</row>
    <row r="314" spans="1:71" x14ac:dyDescent="0.25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</row>
    <row r="315" spans="1:71" x14ac:dyDescent="0.2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</row>
    <row r="316" spans="1:71" x14ac:dyDescent="0.25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</row>
    <row r="317" spans="1:71" x14ac:dyDescent="0.2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</row>
    <row r="318" spans="1:71" x14ac:dyDescent="0.25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</row>
    <row r="319" spans="1:71" x14ac:dyDescent="0.25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</row>
    <row r="320" spans="1:71" x14ac:dyDescent="0.25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</row>
    <row r="321" spans="1:71" x14ac:dyDescent="0.2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</row>
    <row r="322" spans="1:71" x14ac:dyDescent="0.2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</row>
    <row r="323" spans="1:71" x14ac:dyDescent="0.25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</row>
    <row r="324" spans="1:71" x14ac:dyDescent="0.25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</row>
    <row r="325" spans="1:71" x14ac:dyDescent="0.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</row>
    <row r="326" spans="1:71" x14ac:dyDescent="0.2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</row>
    <row r="327" spans="1:71" x14ac:dyDescent="0.2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</row>
    <row r="328" spans="1:71" x14ac:dyDescent="0.2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</row>
    <row r="329" spans="1:71" x14ac:dyDescent="0.2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</row>
    <row r="330" spans="1:71" x14ac:dyDescent="0.2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</row>
    <row r="331" spans="1:71" x14ac:dyDescent="0.2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</row>
    <row r="332" spans="1:71" x14ac:dyDescent="0.2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</row>
    <row r="333" spans="1:71" x14ac:dyDescent="0.2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</row>
    <row r="334" spans="1:71" x14ac:dyDescent="0.2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</row>
    <row r="335" spans="1:71" x14ac:dyDescent="0.2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</row>
    <row r="336" spans="1:71" x14ac:dyDescent="0.2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</row>
    <row r="337" spans="1:71" x14ac:dyDescent="0.2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</row>
    <row r="338" spans="1:71" x14ac:dyDescent="0.2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</row>
    <row r="339" spans="1:71" x14ac:dyDescent="0.2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</row>
    <row r="340" spans="1:71" x14ac:dyDescent="0.2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</row>
    <row r="341" spans="1:71" x14ac:dyDescent="0.2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</row>
    <row r="342" spans="1:71" x14ac:dyDescent="0.2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</row>
    <row r="343" spans="1:71" x14ac:dyDescent="0.2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</row>
    <row r="344" spans="1:71" x14ac:dyDescent="0.2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</row>
  </sheetData>
  <mergeCells count="277">
    <mergeCell ref="L5:BR5"/>
    <mergeCell ref="B5:J5"/>
    <mergeCell ref="B65:J65"/>
    <mergeCell ref="L65:T65"/>
    <mergeCell ref="V65:AD65"/>
    <mergeCell ref="B8:J8"/>
    <mergeCell ref="L8:T8"/>
    <mergeCell ref="V8:AD8"/>
    <mergeCell ref="AF8:AN8"/>
    <mergeCell ref="AP18:AX18"/>
    <mergeCell ref="AZ18:BH18"/>
    <mergeCell ref="B21:D21"/>
    <mergeCell ref="E21:J21"/>
    <mergeCell ref="L21:N21"/>
    <mergeCell ref="O21:T21"/>
    <mergeCell ref="V21:X21"/>
    <mergeCell ref="Y21:AD21"/>
    <mergeCell ref="AF21:AH21"/>
    <mergeCell ref="AI21:AN21"/>
    <mergeCell ref="AF19:AJ19"/>
    <mergeCell ref="AK19:AN19"/>
    <mergeCell ref="B19:F19"/>
    <mergeCell ref="G19:J19"/>
    <mergeCell ref="L19:P19"/>
    <mergeCell ref="Q19:T19"/>
    <mergeCell ref="V19:Z19"/>
    <mergeCell ref="AZ51:BH51"/>
    <mergeCell ref="BJ51:BR51"/>
    <mergeCell ref="BJ22:BR22"/>
    <mergeCell ref="B36:J36"/>
    <mergeCell ref="L36:T36"/>
    <mergeCell ref="B7:D7"/>
    <mergeCell ref="E7:J7"/>
    <mergeCell ref="L7:N7"/>
    <mergeCell ref="O7:T7"/>
    <mergeCell ref="V7:X7"/>
    <mergeCell ref="AA19:AD19"/>
    <mergeCell ref="BC7:BH7"/>
    <mergeCell ref="BJ7:BL7"/>
    <mergeCell ref="BM7:BR7"/>
    <mergeCell ref="Y7:AD7"/>
    <mergeCell ref="AF7:AH7"/>
    <mergeCell ref="AI7:AN7"/>
    <mergeCell ref="AP7:AR7"/>
    <mergeCell ref="AS7:AX7"/>
    <mergeCell ref="AZ7:BB7"/>
    <mergeCell ref="AP8:AX8"/>
    <mergeCell ref="AZ8:BH8"/>
    <mergeCell ref="BJ8:BR8"/>
    <mergeCell ref="BC21:BH21"/>
    <mergeCell ref="BJ21:BL21"/>
    <mergeCell ref="BM21:BR21"/>
    <mergeCell ref="BJ19:BN19"/>
    <mergeCell ref="BO19:BR19"/>
    <mergeCell ref="AP19:AT19"/>
    <mergeCell ref="AU19:AX19"/>
    <mergeCell ref="AZ19:BD19"/>
    <mergeCell ref="BE19:BH19"/>
    <mergeCell ref="BJ18:BR18"/>
    <mergeCell ref="G31:J31"/>
    <mergeCell ref="AK31:AN31"/>
    <mergeCell ref="AP21:AR21"/>
    <mergeCell ref="AS21:AX21"/>
    <mergeCell ref="AP33:AT33"/>
    <mergeCell ref="AU33:AX33"/>
    <mergeCell ref="AZ21:BB21"/>
    <mergeCell ref="B22:J22"/>
    <mergeCell ref="L22:T22"/>
    <mergeCell ref="V22:AD22"/>
    <mergeCell ref="AF22:AN22"/>
    <mergeCell ref="AP22:AX22"/>
    <mergeCell ref="AZ22:BH22"/>
    <mergeCell ref="AZ33:BD33"/>
    <mergeCell ref="BE33:BH33"/>
    <mergeCell ref="BJ33:BN33"/>
    <mergeCell ref="BO33:BR33"/>
    <mergeCell ref="BJ32:BN32"/>
    <mergeCell ref="BO32:BR32"/>
    <mergeCell ref="B33:F33"/>
    <mergeCell ref="G33:J33"/>
    <mergeCell ref="L33:P33"/>
    <mergeCell ref="Q33:T33"/>
    <mergeCell ref="V33:Z33"/>
    <mergeCell ref="AA33:AD33"/>
    <mergeCell ref="AF33:AJ33"/>
    <mergeCell ref="AK33:AN33"/>
    <mergeCell ref="AF32:AJ32"/>
    <mergeCell ref="AK32:AN32"/>
    <mergeCell ref="AP32:AT32"/>
    <mergeCell ref="AU32:AX32"/>
    <mergeCell ref="AZ32:BD32"/>
    <mergeCell ref="BE32:BH32"/>
    <mergeCell ref="B32:F32"/>
    <mergeCell ref="G32:J32"/>
    <mergeCell ref="L32:P32"/>
    <mergeCell ref="Q32:T32"/>
    <mergeCell ref="V32:Z32"/>
    <mergeCell ref="AA32:AD32"/>
    <mergeCell ref="B46:F46"/>
    <mergeCell ref="G46:J46"/>
    <mergeCell ref="L46:P46"/>
    <mergeCell ref="Q46:T46"/>
    <mergeCell ref="BJ35:BL35"/>
    <mergeCell ref="BM35:BR35"/>
    <mergeCell ref="AF35:AH35"/>
    <mergeCell ref="AI35:AN35"/>
    <mergeCell ref="AP35:AR35"/>
    <mergeCell ref="AS35:AX35"/>
    <mergeCell ref="AZ35:BB35"/>
    <mergeCell ref="BC35:BH35"/>
    <mergeCell ref="B35:D35"/>
    <mergeCell ref="E35:J35"/>
    <mergeCell ref="L35:N35"/>
    <mergeCell ref="O35:T35"/>
    <mergeCell ref="V35:X35"/>
    <mergeCell ref="Y35:AD35"/>
    <mergeCell ref="BE47:BH47"/>
    <mergeCell ref="BJ47:BN47"/>
    <mergeCell ref="BO47:BR47"/>
    <mergeCell ref="B47:F47"/>
    <mergeCell ref="G47:J47"/>
    <mergeCell ref="L47:P47"/>
    <mergeCell ref="Q47:T47"/>
    <mergeCell ref="V47:Z47"/>
    <mergeCell ref="AA47:AD47"/>
    <mergeCell ref="AF47:AJ47"/>
    <mergeCell ref="AK47:AN47"/>
    <mergeCell ref="B49:D49"/>
    <mergeCell ref="E49:J49"/>
    <mergeCell ref="L49:N49"/>
    <mergeCell ref="O49:T49"/>
    <mergeCell ref="V49:X49"/>
    <mergeCell ref="Y49:AD49"/>
    <mergeCell ref="AP47:AT47"/>
    <mergeCell ref="AU47:AX47"/>
    <mergeCell ref="AZ47:BD47"/>
    <mergeCell ref="BJ49:BL49"/>
    <mergeCell ref="BM49:BR49"/>
    <mergeCell ref="AZ50:BH50"/>
    <mergeCell ref="BJ50:BR50"/>
    <mergeCell ref="AF49:AH49"/>
    <mergeCell ref="AI49:AN49"/>
    <mergeCell ref="AP49:AR49"/>
    <mergeCell ref="AS49:AX49"/>
    <mergeCell ref="AZ49:BB49"/>
    <mergeCell ref="BC49:BH49"/>
    <mergeCell ref="BJ61:BN61"/>
    <mergeCell ref="BO61:BR61"/>
    <mergeCell ref="B63:D63"/>
    <mergeCell ref="E63:J63"/>
    <mergeCell ref="L63:N63"/>
    <mergeCell ref="O63:T63"/>
    <mergeCell ref="V63:X63"/>
    <mergeCell ref="Y63:AD63"/>
    <mergeCell ref="AF63:AH63"/>
    <mergeCell ref="AI63:AN63"/>
    <mergeCell ref="AF61:AJ61"/>
    <mergeCell ref="AK61:AN61"/>
    <mergeCell ref="AP61:AT61"/>
    <mergeCell ref="AU61:AX61"/>
    <mergeCell ref="AZ61:BD61"/>
    <mergeCell ref="BE61:BH61"/>
    <mergeCell ref="B61:F61"/>
    <mergeCell ref="G61:J61"/>
    <mergeCell ref="L61:P61"/>
    <mergeCell ref="Q61:T61"/>
    <mergeCell ref="V61:Z61"/>
    <mergeCell ref="AA61:AD61"/>
    <mergeCell ref="B64:J64"/>
    <mergeCell ref="L64:T64"/>
    <mergeCell ref="V64:AD64"/>
    <mergeCell ref="AP63:AR63"/>
    <mergeCell ref="AS63:AX63"/>
    <mergeCell ref="AZ63:BB63"/>
    <mergeCell ref="BC63:BH63"/>
    <mergeCell ref="BJ63:BL63"/>
    <mergeCell ref="BM63:BR63"/>
    <mergeCell ref="AP74:AT74"/>
    <mergeCell ref="AU74:AX74"/>
    <mergeCell ref="AZ74:BD74"/>
    <mergeCell ref="BE74:BH74"/>
    <mergeCell ref="BJ74:BN74"/>
    <mergeCell ref="BO74:BR74"/>
    <mergeCell ref="BJ73:BN73"/>
    <mergeCell ref="BO73:BR73"/>
    <mergeCell ref="AF74:AJ74"/>
    <mergeCell ref="AK74:AN74"/>
    <mergeCell ref="AF75:AJ75"/>
    <mergeCell ref="AK75:AN75"/>
    <mergeCell ref="AP75:AT75"/>
    <mergeCell ref="AU75:AX75"/>
    <mergeCell ref="AZ75:BD75"/>
    <mergeCell ref="BE75:BH75"/>
    <mergeCell ref="B75:F75"/>
    <mergeCell ref="G75:J75"/>
    <mergeCell ref="L75:P75"/>
    <mergeCell ref="Q75:T75"/>
    <mergeCell ref="V75:Z75"/>
    <mergeCell ref="AA75:AD75"/>
    <mergeCell ref="BT77:BV77"/>
    <mergeCell ref="BW77:CB77"/>
    <mergeCell ref="AZ78:BH78"/>
    <mergeCell ref="BJ78:BR78"/>
    <mergeCell ref="BT85:BX85"/>
    <mergeCell ref="BY85:CB85"/>
    <mergeCell ref="AP77:AR77"/>
    <mergeCell ref="AS77:AX77"/>
    <mergeCell ref="AZ77:BB77"/>
    <mergeCell ref="BC77:BH77"/>
    <mergeCell ref="BJ77:BL77"/>
    <mergeCell ref="BM77:BR77"/>
    <mergeCell ref="AP78:AP90"/>
    <mergeCell ref="AQ78:AQ90"/>
    <mergeCell ref="AR78:AX78"/>
    <mergeCell ref="BJ79:BJ91"/>
    <mergeCell ref="AZ79:AZ91"/>
    <mergeCell ref="B94:F94"/>
    <mergeCell ref="G94:J94"/>
    <mergeCell ref="L94:P94"/>
    <mergeCell ref="Q94:T94"/>
    <mergeCell ref="V94:Z94"/>
    <mergeCell ref="BT90:BV90"/>
    <mergeCell ref="BW90:CB90"/>
    <mergeCell ref="B93:F93"/>
    <mergeCell ref="G93:J93"/>
    <mergeCell ref="L93:P93"/>
    <mergeCell ref="Q93:T93"/>
    <mergeCell ref="V93:Z93"/>
    <mergeCell ref="L92:P92"/>
    <mergeCell ref="Q92:T92"/>
    <mergeCell ref="V92:Z92"/>
    <mergeCell ref="AA92:AD92"/>
    <mergeCell ref="BE94:BH94"/>
    <mergeCell ref="BJ94:BN94"/>
    <mergeCell ref="BO94:BR94"/>
    <mergeCell ref="BT94:BX94"/>
    <mergeCell ref="BY94:CB94"/>
    <mergeCell ref="AA94:AD94"/>
    <mergeCell ref="AF94:AJ94"/>
    <mergeCell ref="AK94:AN94"/>
    <mergeCell ref="AF77:AH77"/>
    <mergeCell ref="AP94:AT94"/>
    <mergeCell ref="AU94:AX94"/>
    <mergeCell ref="AZ94:BD94"/>
    <mergeCell ref="AA93:AD93"/>
    <mergeCell ref="AF93:AJ93"/>
    <mergeCell ref="AK93:AN93"/>
    <mergeCell ref="AP93:AT93"/>
    <mergeCell ref="AU93:AX93"/>
    <mergeCell ref="AF78:AN78"/>
    <mergeCell ref="V78:AD78"/>
    <mergeCell ref="AZ93:BD93"/>
    <mergeCell ref="AI77:AN77"/>
    <mergeCell ref="A1:BR4"/>
    <mergeCell ref="AZ60:BH60"/>
    <mergeCell ref="BJ60:BR60"/>
    <mergeCell ref="B74:J74"/>
    <mergeCell ref="L74:T74"/>
    <mergeCell ref="V74:AD74"/>
    <mergeCell ref="AP91:AX91"/>
    <mergeCell ref="BE93:BH93"/>
    <mergeCell ref="BJ93:BN93"/>
    <mergeCell ref="BO93:BR93"/>
    <mergeCell ref="AF92:AJ92"/>
    <mergeCell ref="AK92:AN92"/>
    <mergeCell ref="AP92:AT92"/>
    <mergeCell ref="AU92:AX92"/>
    <mergeCell ref="AZ92:BD92"/>
    <mergeCell ref="BE92:BH92"/>
    <mergeCell ref="BJ75:BN75"/>
    <mergeCell ref="BO75:BR75"/>
    <mergeCell ref="B77:D77"/>
    <mergeCell ref="E77:J77"/>
    <mergeCell ref="L77:N77"/>
    <mergeCell ref="O77:T77"/>
    <mergeCell ref="V77:X77"/>
    <mergeCell ref="Y77:AD77"/>
  </mergeCells>
  <pageMargins left="0.23622047244094491" right="0.23622047244094491" top="0.35433070866141736" bottom="0.35433070866141736" header="0.31496062992125984" footer="0.31496062992125984"/>
  <pageSetup paperSize="9" scale="8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B345"/>
  <sheetViews>
    <sheetView showGridLines="0" view="pageBreakPreview" zoomScaleSheetLayoutView="100" workbookViewId="0">
      <selection sqref="A1:BR4"/>
    </sheetView>
  </sheetViews>
  <sheetFormatPr defaultRowHeight="8.25" x14ac:dyDescent="0.25"/>
  <cols>
    <col min="1" max="1" width="0.28515625" style="5" customWidth="1"/>
    <col min="2" max="10" width="1.7109375" style="5" customWidth="1"/>
    <col min="11" max="11" width="0.28515625" style="5" customWidth="1"/>
    <col min="12" max="20" width="1.7109375" style="5" customWidth="1"/>
    <col min="21" max="21" width="0.28515625" style="5" customWidth="1"/>
    <col min="22" max="28" width="1.7109375" style="5" customWidth="1"/>
    <col min="29" max="29" width="1.42578125" style="5" customWidth="1"/>
    <col min="30" max="30" width="1.140625" style="5" customWidth="1"/>
    <col min="31" max="31" width="0.28515625" style="5" customWidth="1"/>
    <col min="32" max="38" width="1.7109375" style="5" customWidth="1"/>
    <col min="39" max="39" width="3.140625" style="5" customWidth="1"/>
    <col min="40" max="40" width="2.85546875" style="5" customWidth="1"/>
    <col min="41" max="41" width="0.28515625" style="5" customWidth="1"/>
    <col min="42" max="48" width="1.7109375" style="5" customWidth="1"/>
    <col min="49" max="50" width="2.5703125" style="5" customWidth="1"/>
    <col min="51" max="51" width="0.28515625" style="5" customWidth="1"/>
    <col min="52" max="58" width="1.7109375" style="5" customWidth="1"/>
    <col min="59" max="59" width="2.42578125" style="5" customWidth="1"/>
    <col min="60" max="60" width="2.140625" style="5" customWidth="1"/>
    <col min="61" max="61" width="0.28515625" style="5" customWidth="1"/>
    <col min="62" max="68" width="1.7109375" style="5" customWidth="1"/>
    <col min="69" max="69" width="2.5703125" style="5" customWidth="1"/>
    <col min="70" max="70" width="2.28515625" style="5" customWidth="1"/>
    <col min="71" max="71" width="0.28515625" style="5" customWidth="1"/>
    <col min="72" max="72" width="1.7109375" style="14" customWidth="1"/>
    <col min="73" max="80" width="1.7109375" style="5" customWidth="1"/>
    <col min="81" max="256" width="9.140625" style="5"/>
    <col min="257" max="257" width="0.28515625" style="5" customWidth="1"/>
    <col min="258" max="266" width="1.7109375" style="5" customWidth="1"/>
    <col min="267" max="267" width="0.28515625" style="5" customWidth="1"/>
    <col min="268" max="276" width="1.7109375" style="5" customWidth="1"/>
    <col min="277" max="277" width="0.28515625" style="5" customWidth="1"/>
    <col min="278" max="286" width="1.7109375" style="5" customWidth="1"/>
    <col min="287" max="287" width="0.28515625" style="5" customWidth="1"/>
    <col min="288" max="296" width="1.7109375" style="5" customWidth="1"/>
    <col min="297" max="297" width="0.28515625" style="5" customWidth="1"/>
    <col min="298" max="306" width="1.7109375" style="5" customWidth="1"/>
    <col min="307" max="307" width="0.28515625" style="5" customWidth="1"/>
    <col min="308" max="316" width="1.7109375" style="5" customWidth="1"/>
    <col min="317" max="317" width="0.28515625" style="5" customWidth="1"/>
    <col min="318" max="326" width="1.7109375" style="5" customWidth="1"/>
    <col min="327" max="327" width="0.28515625" style="5" customWidth="1"/>
    <col min="328" max="336" width="1.7109375" style="5" customWidth="1"/>
    <col min="337" max="512" width="9.140625" style="5"/>
    <col min="513" max="513" width="0.28515625" style="5" customWidth="1"/>
    <col min="514" max="522" width="1.7109375" style="5" customWidth="1"/>
    <col min="523" max="523" width="0.28515625" style="5" customWidth="1"/>
    <col min="524" max="532" width="1.7109375" style="5" customWidth="1"/>
    <col min="533" max="533" width="0.28515625" style="5" customWidth="1"/>
    <col min="534" max="542" width="1.7109375" style="5" customWidth="1"/>
    <col min="543" max="543" width="0.28515625" style="5" customWidth="1"/>
    <col min="544" max="552" width="1.7109375" style="5" customWidth="1"/>
    <col min="553" max="553" width="0.28515625" style="5" customWidth="1"/>
    <col min="554" max="562" width="1.7109375" style="5" customWidth="1"/>
    <col min="563" max="563" width="0.28515625" style="5" customWidth="1"/>
    <col min="564" max="572" width="1.7109375" style="5" customWidth="1"/>
    <col min="573" max="573" width="0.28515625" style="5" customWidth="1"/>
    <col min="574" max="582" width="1.7109375" style="5" customWidth="1"/>
    <col min="583" max="583" width="0.28515625" style="5" customWidth="1"/>
    <col min="584" max="592" width="1.7109375" style="5" customWidth="1"/>
    <col min="593" max="768" width="9.140625" style="5"/>
    <col min="769" max="769" width="0.28515625" style="5" customWidth="1"/>
    <col min="770" max="778" width="1.7109375" style="5" customWidth="1"/>
    <col min="779" max="779" width="0.28515625" style="5" customWidth="1"/>
    <col min="780" max="788" width="1.7109375" style="5" customWidth="1"/>
    <col min="789" max="789" width="0.28515625" style="5" customWidth="1"/>
    <col min="790" max="798" width="1.7109375" style="5" customWidth="1"/>
    <col min="799" max="799" width="0.28515625" style="5" customWidth="1"/>
    <col min="800" max="808" width="1.7109375" style="5" customWidth="1"/>
    <col min="809" max="809" width="0.28515625" style="5" customWidth="1"/>
    <col min="810" max="818" width="1.7109375" style="5" customWidth="1"/>
    <col min="819" max="819" width="0.28515625" style="5" customWidth="1"/>
    <col min="820" max="828" width="1.7109375" style="5" customWidth="1"/>
    <col min="829" max="829" width="0.28515625" style="5" customWidth="1"/>
    <col min="830" max="838" width="1.7109375" style="5" customWidth="1"/>
    <col min="839" max="839" width="0.28515625" style="5" customWidth="1"/>
    <col min="840" max="848" width="1.7109375" style="5" customWidth="1"/>
    <col min="849" max="1024" width="9.140625" style="5"/>
    <col min="1025" max="1025" width="0.28515625" style="5" customWidth="1"/>
    <col min="1026" max="1034" width="1.7109375" style="5" customWidth="1"/>
    <col min="1035" max="1035" width="0.28515625" style="5" customWidth="1"/>
    <col min="1036" max="1044" width="1.7109375" style="5" customWidth="1"/>
    <col min="1045" max="1045" width="0.28515625" style="5" customWidth="1"/>
    <col min="1046" max="1054" width="1.7109375" style="5" customWidth="1"/>
    <col min="1055" max="1055" width="0.28515625" style="5" customWidth="1"/>
    <col min="1056" max="1064" width="1.7109375" style="5" customWidth="1"/>
    <col min="1065" max="1065" width="0.28515625" style="5" customWidth="1"/>
    <col min="1066" max="1074" width="1.7109375" style="5" customWidth="1"/>
    <col min="1075" max="1075" width="0.28515625" style="5" customWidth="1"/>
    <col min="1076" max="1084" width="1.7109375" style="5" customWidth="1"/>
    <col min="1085" max="1085" width="0.28515625" style="5" customWidth="1"/>
    <col min="1086" max="1094" width="1.7109375" style="5" customWidth="1"/>
    <col min="1095" max="1095" width="0.28515625" style="5" customWidth="1"/>
    <col min="1096" max="1104" width="1.7109375" style="5" customWidth="1"/>
    <col min="1105" max="1280" width="9.140625" style="5"/>
    <col min="1281" max="1281" width="0.28515625" style="5" customWidth="1"/>
    <col min="1282" max="1290" width="1.7109375" style="5" customWidth="1"/>
    <col min="1291" max="1291" width="0.28515625" style="5" customWidth="1"/>
    <col min="1292" max="1300" width="1.7109375" style="5" customWidth="1"/>
    <col min="1301" max="1301" width="0.28515625" style="5" customWidth="1"/>
    <col min="1302" max="1310" width="1.7109375" style="5" customWidth="1"/>
    <col min="1311" max="1311" width="0.28515625" style="5" customWidth="1"/>
    <col min="1312" max="1320" width="1.7109375" style="5" customWidth="1"/>
    <col min="1321" max="1321" width="0.28515625" style="5" customWidth="1"/>
    <col min="1322" max="1330" width="1.7109375" style="5" customWidth="1"/>
    <col min="1331" max="1331" width="0.28515625" style="5" customWidth="1"/>
    <col min="1332" max="1340" width="1.7109375" style="5" customWidth="1"/>
    <col min="1341" max="1341" width="0.28515625" style="5" customWidth="1"/>
    <col min="1342" max="1350" width="1.7109375" style="5" customWidth="1"/>
    <col min="1351" max="1351" width="0.28515625" style="5" customWidth="1"/>
    <col min="1352" max="1360" width="1.7109375" style="5" customWidth="1"/>
    <col min="1361" max="1536" width="9.140625" style="5"/>
    <col min="1537" max="1537" width="0.28515625" style="5" customWidth="1"/>
    <col min="1538" max="1546" width="1.7109375" style="5" customWidth="1"/>
    <col min="1547" max="1547" width="0.28515625" style="5" customWidth="1"/>
    <col min="1548" max="1556" width="1.7109375" style="5" customWidth="1"/>
    <col min="1557" max="1557" width="0.28515625" style="5" customWidth="1"/>
    <col min="1558" max="1566" width="1.7109375" style="5" customWidth="1"/>
    <col min="1567" max="1567" width="0.28515625" style="5" customWidth="1"/>
    <col min="1568" max="1576" width="1.7109375" style="5" customWidth="1"/>
    <col min="1577" max="1577" width="0.28515625" style="5" customWidth="1"/>
    <col min="1578" max="1586" width="1.7109375" style="5" customWidth="1"/>
    <col min="1587" max="1587" width="0.28515625" style="5" customWidth="1"/>
    <col min="1588" max="1596" width="1.7109375" style="5" customWidth="1"/>
    <col min="1597" max="1597" width="0.28515625" style="5" customWidth="1"/>
    <col min="1598" max="1606" width="1.7109375" style="5" customWidth="1"/>
    <col min="1607" max="1607" width="0.28515625" style="5" customWidth="1"/>
    <col min="1608" max="1616" width="1.7109375" style="5" customWidth="1"/>
    <col min="1617" max="1792" width="9.140625" style="5"/>
    <col min="1793" max="1793" width="0.28515625" style="5" customWidth="1"/>
    <col min="1794" max="1802" width="1.7109375" style="5" customWidth="1"/>
    <col min="1803" max="1803" width="0.28515625" style="5" customWidth="1"/>
    <col min="1804" max="1812" width="1.7109375" style="5" customWidth="1"/>
    <col min="1813" max="1813" width="0.28515625" style="5" customWidth="1"/>
    <col min="1814" max="1822" width="1.7109375" style="5" customWidth="1"/>
    <col min="1823" max="1823" width="0.28515625" style="5" customWidth="1"/>
    <col min="1824" max="1832" width="1.7109375" style="5" customWidth="1"/>
    <col min="1833" max="1833" width="0.28515625" style="5" customWidth="1"/>
    <col min="1834" max="1842" width="1.7109375" style="5" customWidth="1"/>
    <col min="1843" max="1843" width="0.28515625" style="5" customWidth="1"/>
    <col min="1844" max="1852" width="1.7109375" style="5" customWidth="1"/>
    <col min="1853" max="1853" width="0.28515625" style="5" customWidth="1"/>
    <col min="1854" max="1862" width="1.7109375" style="5" customWidth="1"/>
    <col min="1863" max="1863" width="0.28515625" style="5" customWidth="1"/>
    <col min="1864" max="1872" width="1.7109375" style="5" customWidth="1"/>
    <col min="1873" max="2048" width="9.140625" style="5"/>
    <col min="2049" max="2049" width="0.28515625" style="5" customWidth="1"/>
    <col min="2050" max="2058" width="1.7109375" style="5" customWidth="1"/>
    <col min="2059" max="2059" width="0.28515625" style="5" customWidth="1"/>
    <col min="2060" max="2068" width="1.7109375" style="5" customWidth="1"/>
    <col min="2069" max="2069" width="0.28515625" style="5" customWidth="1"/>
    <col min="2070" max="2078" width="1.7109375" style="5" customWidth="1"/>
    <col min="2079" max="2079" width="0.28515625" style="5" customWidth="1"/>
    <col min="2080" max="2088" width="1.7109375" style="5" customWidth="1"/>
    <col min="2089" max="2089" width="0.28515625" style="5" customWidth="1"/>
    <col min="2090" max="2098" width="1.7109375" style="5" customWidth="1"/>
    <col min="2099" max="2099" width="0.28515625" style="5" customWidth="1"/>
    <col min="2100" max="2108" width="1.7109375" style="5" customWidth="1"/>
    <col min="2109" max="2109" width="0.28515625" style="5" customWidth="1"/>
    <col min="2110" max="2118" width="1.7109375" style="5" customWidth="1"/>
    <col min="2119" max="2119" width="0.28515625" style="5" customWidth="1"/>
    <col min="2120" max="2128" width="1.7109375" style="5" customWidth="1"/>
    <col min="2129" max="2304" width="9.140625" style="5"/>
    <col min="2305" max="2305" width="0.28515625" style="5" customWidth="1"/>
    <col min="2306" max="2314" width="1.7109375" style="5" customWidth="1"/>
    <col min="2315" max="2315" width="0.28515625" style="5" customWidth="1"/>
    <col min="2316" max="2324" width="1.7109375" style="5" customWidth="1"/>
    <col min="2325" max="2325" width="0.28515625" style="5" customWidth="1"/>
    <col min="2326" max="2334" width="1.7109375" style="5" customWidth="1"/>
    <col min="2335" max="2335" width="0.28515625" style="5" customWidth="1"/>
    <col min="2336" max="2344" width="1.7109375" style="5" customWidth="1"/>
    <col min="2345" max="2345" width="0.28515625" style="5" customWidth="1"/>
    <col min="2346" max="2354" width="1.7109375" style="5" customWidth="1"/>
    <col min="2355" max="2355" width="0.28515625" style="5" customWidth="1"/>
    <col min="2356" max="2364" width="1.7109375" style="5" customWidth="1"/>
    <col min="2365" max="2365" width="0.28515625" style="5" customWidth="1"/>
    <col min="2366" max="2374" width="1.7109375" style="5" customWidth="1"/>
    <col min="2375" max="2375" width="0.28515625" style="5" customWidth="1"/>
    <col min="2376" max="2384" width="1.7109375" style="5" customWidth="1"/>
    <col min="2385" max="2560" width="9.140625" style="5"/>
    <col min="2561" max="2561" width="0.28515625" style="5" customWidth="1"/>
    <col min="2562" max="2570" width="1.7109375" style="5" customWidth="1"/>
    <col min="2571" max="2571" width="0.28515625" style="5" customWidth="1"/>
    <col min="2572" max="2580" width="1.7109375" style="5" customWidth="1"/>
    <col min="2581" max="2581" width="0.28515625" style="5" customWidth="1"/>
    <col min="2582" max="2590" width="1.7109375" style="5" customWidth="1"/>
    <col min="2591" max="2591" width="0.28515625" style="5" customWidth="1"/>
    <col min="2592" max="2600" width="1.7109375" style="5" customWidth="1"/>
    <col min="2601" max="2601" width="0.28515625" style="5" customWidth="1"/>
    <col min="2602" max="2610" width="1.7109375" style="5" customWidth="1"/>
    <col min="2611" max="2611" width="0.28515625" style="5" customWidth="1"/>
    <col min="2612" max="2620" width="1.7109375" style="5" customWidth="1"/>
    <col min="2621" max="2621" width="0.28515625" style="5" customWidth="1"/>
    <col min="2622" max="2630" width="1.7109375" style="5" customWidth="1"/>
    <col min="2631" max="2631" width="0.28515625" style="5" customWidth="1"/>
    <col min="2632" max="2640" width="1.7109375" style="5" customWidth="1"/>
    <col min="2641" max="2816" width="9.140625" style="5"/>
    <col min="2817" max="2817" width="0.28515625" style="5" customWidth="1"/>
    <col min="2818" max="2826" width="1.7109375" style="5" customWidth="1"/>
    <col min="2827" max="2827" width="0.28515625" style="5" customWidth="1"/>
    <col min="2828" max="2836" width="1.7109375" style="5" customWidth="1"/>
    <col min="2837" max="2837" width="0.28515625" style="5" customWidth="1"/>
    <col min="2838" max="2846" width="1.7109375" style="5" customWidth="1"/>
    <col min="2847" max="2847" width="0.28515625" style="5" customWidth="1"/>
    <col min="2848" max="2856" width="1.7109375" style="5" customWidth="1"/>
    <col min="2857" max="2857" width="0.28515625" style="5" customWidth="1"/>
    <col min="2858" max="2866" width="1.7109375" style="5" customWidth="1"/>
    <col min="2867" max="2867" width="0.28515625" style="5" customWidth="1"/>
    <col min="2868" max="2876" width="1.7109375" style="5" customWidth="1"/>
    <col min="2877" max="2877" width="0.28515625" style="5" customWidth="1"/>
    <col min="2878" max="2886" width="1.7109375" style="5" customWidth="1"/>
    <col min="2887" max="2887" width="0.28515625" style="5" customWidth="1"/>
    <col min="2888" max="2896" width="1.7109375" style="5" customWidth="1"/>
    <col min="2897" max="3072" width="9.140625" style="5"/>
    <col min="3073" max="3073" width="0.28515625" style="5" customWidth="1"/>
    <col min="3074" max="3082" width="1.7109375" style="5" customWidth="1"/>
    <col min="3083" max="3083" width="0.28515625" style="5" customWidth="1"/>
    <col min="3084" max="3092" width="1.7109375" style="5" customWidth="1"/>
    <col min="3093" max="3093" width="0.28515625" style="5" customWidth="1"/>
    <col min="3094" max="3102" width="1.7109375" style="5" customWidth="1"/>
    <col min="3103" max="3103" width="0.28515625" style="5" customWidth="1"/>
    <col min="3104" max="3112" width="1.7109375" style="5" customWidth="1"/>
    <col min="3113" max="3113" width="0.28515625" style="5" customWidth="1"/>
    <col min="3114" max="3122" width="1.7109375" style="5" customWidth="1"/>
    <col min="3123" max="3123" width="0.28515625" style="5" customWidth="1"/>
    <col min="3124" max="3132" width="1.7109375" style="5" customWidth="1"/>
    <col min="3133" max="3133" width="0.28515625" style="5" customWidth="1"/>
    <col min="3134" max="3142" width="1.7109375" style="5" customWidth="1"/>
    <col min="3143" max="3143" width="0.28515625" style="5" customWidth="1"/>
    <col min="3144" max="3152" width="1.7109375" style="5" customWidth="1"/>
    <col min="3153" max="3328" width="9.140625" style="5"/>
    <col min="3329" max="3329" width="0.28515625" style="5" customWidth="1"/>
    <col min="3330" max="3338" width="1.7109375" style="5" customWidth="1"/>
    <col min="3339" max="3339" width="0.28515625" style="5" customWidth="1"/>
    <col min="3340" max="3348" width="1.7109375" style="5" customWidth="1"/>
    <col min="3349" max="3349" width="0.28515625" style="5" customWidth="1"/>
    <col min="3350" max="3358" width="1.7109375" style="5" customWidth="1"/>
    <col min="3359" max="3359" width="0.28515625" style="5" customWidth="1"/>
    <col min="3360" max="3368" width="1.7109375" style="5" customWidth="1"/>
    <col min="3369" max="3369" width="0.28515625" style="5" customWidth="1"/>
    <col min="3370" max="3378" width="1.7109375" style="5" customWidth="1"/>
    <col min="3379" max="3379" width="0.28515625" style="5" customWidth="1"/>
    <col min="3380" max="3388" width="1.7109375" style="5" customWidth="1"/>
    <col min="3389" max="3389" width="0.28515625" style="5" customWidth="1"/>
    <col min="3390" max="3398" width="1.7109375" style="5" customWidth="1"/>
    <col min="3399" max="3399" width="0.28515625" style="5" customWidth="1"/>
    <col min="3400" max="3408" width="1.7109375" style="5" customWidth="1"/>
    <col min="3409" max="3584" width="9.140625" style="5"/>
    <col min="3585" max="3585" width="0.28515625" style="5" customWidth="1"/>
    <col min="3586" max="3594" width="1.7109375" style="5" customWidth="1"/>
    <col min="3595" max="3595" width="0.28515625" style="5" customWidth="1"/>
    <col min="3596" max="3604" width="1.7109375" style="5" customWidth="1"/>
    <col min="3605" max="3605" width="0.28515625" style="5" customWidth="1"/>
    <col min="3606" max="3614" width="1.7109375" style="5" customWidth="1"/>
    <col min="3615" max="3615" width="0.28515625" style="5" customWidth="1"/>
    <col min="3616" max="3624" width="1.7109375" style="5" customWidth="1"/>
    <col min="3625" max="3625" width="0.28515625" style="5" customWidth="1"/>
    <col min="3626" max="3634" width="1.7109375" style="5" customWidth="1"/>
    <col min="3635" max="3635" width="0.28515625" style="5" customWidth="1"/>
    <col min="3636" max="3644" width="1.7109375" style="5" customWidth="1"/>
    <col min="3645" max="3645" width="0.28515625" style="5" customWidth="1"/>
    <col min="3646" max="3654" width="1.7109375" style="5" customWidth="1"/>
    <col min="3655" max="3655" width="0.28515625" style="5" customWidth="1"/>
    <col min="3656" max="3664" width="1.7109375" style="5" customWidth="1"/>
    <col min="3665" max="3840" width="9.140625" style="5"/>
    <col min="3841" max="3841" width="0.28515625" style="5" customWidth="1"/>
    <col min="3842" max="3850" width="1.7109375" style="5" customWidth="1"/>
    <col min="3851" max="3851" width="0.28515625" style="5" customWidth="1"/>
    <col min="3852" max="3860" width="1.7109375" style="5" customWidth="1"/>
    <col min="3861" max="3861" width="0.28515625" style="5" customWidth="1"/>
    <col min="3862" max="3870" width="1.7109375" style="5" customWidth="1"/>
    <col min="3871" max="3871" width="0.28515625" style="5" customWidth="1"/>
    <col min="3872" max="3880" width="1.7109375" style="5" customWidth="1"/>
    <col min="3881" max="3881" width="0.28515625" style="5" customWidth="1"/>
    <col min="3882" max="3890" width="1.7109375" style="5" customWidth="1"/>
    <col min="3891" max="3891" width="0.28515625" style="5" customWidth="1"/>
    <col min="3892" max="3900" width="1.7109375" style="5" customWidth="1"/>
    <col min="3901" max="3901" width="0.28515625" style="5" customWidth="1"/>
    <col min="3902" max="3910" width="1.7109375" style="5" customWidth="1"/>
    <col min="3911" max="3911" width="0.28515625" style="5" customWidth="1"/>
    <col min="3912" max="3920" width="1.7109375" style="5" customWidth="1"/>
    <col min="3921" max="4096" width="9.140625" style="5"/>
    <col min="4097" max="4097" width="0.28515625" style="5" customWidth="1"/>
    <col min="4098" max="4106" width="1.7109375" style="5" customWidth="1"/>
    <col min="4107" max="4107" width="0.28515625" style="5" customWidth="1"/>
    <col min="4108" max="4116" width="1.7109375" style="5" customWidth="1"/>
    <col min="4117" max="4117" width="0.28515625" style="5" customWidth="1"/>
    <col min="4118" max="4126" width="1.7109375" style="5" customWidth="1"/>
    <col min="4127" max="4127" width="0.28515625" style="5" customWidth="1"/>
    <col min="4128" max="4136" width="1.7109375" style="5" customWidth="1"/>
    <col min="4137" max="4137" width="0.28515625" style="5" customWidth="1"/>
    <col min="4138" max="4146" width="1.7109375" style="5" customWidth="1"/>
    <col min="4147" max="4147" width="0.28515625" style="5" customWidth="1"/>
    <col min="4148" max="4156" width="1.7109375" style="5" customWidth="1"/>
    <col min="4157" max="4157" width="0.28515625" style="5" customWidth="1"/>
    <col min="4158" max="4166" width="1.7109375" style="5" customWidth="1"/>
    <col min="4167" max="4167" width="0.28515625" style="5" customWidth="1"/>
    <col min="4168" max="4176" width="1.7109375" style="5" customWidth="1"/>
    <col min="4177" max="4352" width="9.140625" style="5"/>
    <col min="4353" max="4353" width="0.28515625" style="5" customWidth="1"/>
    <col min="4354" max="4362" width="1.7109375" style="5" customWidth="1"/>
    <col min="4363" max="4363" width="0.28515625" style="5" customWidth="1"/>
    <col min="4364" max="4372" width="1.7109375" style="5" customWidth="1"/>
    <col min="4373" max="4373" width="0.28515625" style="5" customWidth="1"/>
    <col min="4374" max="4382" width="1.7109375" style="5" customWidth="1"/>
    <col min="4383" max="4383" width="0.28515625" style="5" customWidth="1"/>
    <col min="4384" max="4392" width="1.7109375" style="5" customWidth="1"/>
    <col min="4393" max="4393" width="0.28515625" style="5" customWidth="1"/>
    <col min="4394" max="4402" width="1.7109375" style="5" customWidth="1"/>
    <col min="4403" max="4403" width="0.28515625" style="5" customWidth="1"/>
    <col min="4404" max="4412" width="1.7109375" style="5" customWidth="1"/>
    <col min="4413" max="4413" width="0.28515625" style="5" customWidth="1"/>
    <col min="4414" max="4422" width="1.7109375" style="5" customWidth="1"/>
    <col min="4423" max="4423" width="0.28515625" style="5" customWidth="1"/>
    <col min="4424" max="4432" width="1.7109375" style="5" customWidth="1"/>
    <col min="4433" max="4608" width="9.140625" style="5"/>
    <col min="4609" max="4609" width="0.28515625" style="5" customWidth="1"/>
    <col min="4610" max="4618" width="1.7109375" style="5" customWidth="1"/>
    <col min="4619" max="4619" width="0.28515625" style="5" customWidth="1"/>
    <col min="4620" max="4628" width="1.7109375" style="5" customWidth="1"/>
    <col min="4629" max="4629" width="0.28515625" style="5" customWidth="1"/>
    <col min="4630" max="4638" width="1.7109375" style="5" customWidth="1"/>
    <col min="4639" max="4639" width="0.28515625" style="5" customWidth="1"/>
    <col min="4640" max="4648" width="1.7109375" style="5" customWidth="1"/>
    <col min="4649" max="4649" width="0.28515625" style="5" customWidth="1"/>
    <col min="4650" max="4658" width="1.7109375" style="5" customWidth="1"/>
    <col min="4659" max="4659" width="0.28515625" style="5" customWidth="1"/>
    <col min="4660" max="4668" width="1.7109375" style="5" customWidth="1"/>
    <col min="4669" max="4669" width="0.28515625" style="5" customWidth="1"/>
    <col min="4670" max="4678" width="1.7109375" style="5" customWidth="1"/>
    <col min="4679" max="4679" width="0.28515625" style="5" customWidth="1"/>
    <col min="4680" max="4688" width="1.7109375" style="5" customWidth="1"/>
    <col min="4689" max="4864" width="9.140625" style="5"/>
    <col min="4865" max="4865" width="0.28515625" style="5" customWidth="1"/>
    <col min="4866" max="4874" width="1.7109375" style="5" customWidth="1"/>
    <col min="4875" max="4875" width="0.28515625" style="5" customWidth="1"/>
    <col min="4876" max="4884" width="1.7109375" style="5" customWidth="1"/>
    <col min="4885" max="4885" width="0.28515625" style="5" customWidth="1"/>
    <col min="4886" max="4894" width="1.7109375" style="5" customWidth="1"/>
    <col min="4895" max="4895" width="0.28515625" style="5" customWidth="1"/>
    <col min="4896" max="4904" width="1.7109375" style="5" customWidth="1"/>
    <col min="4905" max="4905" width="0.28515625" style="5" customWidth="1"/>
    <col min="4906" max="4914" width="1.7109375" style="5" customWidth="1"/>
    <col min="4915" max="4915" width="0.28515625" style="5" customWidth="1"/>
    <col min="4916" max="4924" width="1.7109375" style="5" customWidth="1"/>
    <col min="4925" max="4925" width="0.28515625" style="5" customWidth="1"/>
    <col min="4926" max="4934" width="1.7109375" style="5" customWidth="1"/>
    <col min="4935" max="4935" width="0.28515625" style="5" customWidth="1"/>
    <col min="4936" max="4944" width="1.7109375" style="5" customWidth="1"/>
    <col min="4945" max="5120" width="9.140625" style="5"/>
    <col min="5121" max="5121" width="0.28515625" style="5" customWidth="1"/>
    <col min="5122" max="5130" width="1.7109375" style="5" customWidth="1"/>
    <col min="5131" max="5131" width="0.28515625" style="5" customWidth="1"/>
    <col min="5132" max="5140" width="1.7109375" style="5" customWidth="1"/>
    <col min="5141" max="5141" width="0.28515625" style="5" customWidth="1"/>
    <col min="5142" max="5150" width="1.7109375" style="5" customWidth="1"/>
    <col min="5151" max="5151" width="0.28515625" style="5" customWidth="1"/>
    <col min="5152" max="5160" width="1.7109375" style="5" customWidth="1"/>
    <col min="5161" max="5161" width="0.28515625" style="5" customWidth="1"/>
    <col min="5162" max="5170" width="1.7109375" style="5" customWidth="1"/>
    <col min="5171" max="5171" width="0.28515625" style="5" customWidth="1"/>
    <col min="5172" max="5180" width="1.7109375" style="5" customWidth="1"/>
    <col min="5181" max="5181" width="0.28515625" style="5" customWidth="1"/>
    <col min="5182" max="5190" width="1.7109375" style="5" customWidth="1"/>
    <col min="5191" max="5191" width="0.28515625" style="5" customWidth="1"/>
    <col min="5192" max="5200" width="1.7109375" style="5" customWidth="1"/>
    <col min="5201" max="5376" width="9.140625" style="5"/>
    <col min="5377" max="5377" width="0.28515625" style="5" customWidth="1"/>
    <col min="5378" max="5386" width="1.7109375" style="5" customWidth="1"/>
    <col min="5387" max="5387" width="0.28515625" style="5" customWidth="1"/>
    <col min="5388" max="5396" width="1.7109375" style="5" customWidth="1"/>
    <col min="5397" max="5397" width="0.28515625" style="5" customWidth="1"/>
    <col min="5398" max="5406" width="1.7109375" style="5" customWidth="1"/>
    <col min="5407" max="5407" width="0.28515625" style="5" customWidth="1"/>
    <col min="5408" max="5416" width="1.7109375" style="5" customWidth="1"/>
    <col min="5417" max="5417" width="0.28515625" style="5" customWidth="1"/>
    <col min="5418" max="5426" width="1.7109375" style="5" customWidth="1"/>
    <col min="5427" max="5427" width="0.28515625" style="5" customWidth="1"/>
    <col min="5428" max="5436" width="1.7109375" style="5" customWidth="1"/>
    <col min="5437" max="5437" width="0.28515625" style="5" customWidth="1"/>
    <col min="5438" max="5446" width="1.7109375" style="5" customWidth="1"/>
    <col min="5447" max="5447" width="0.28515625" style="5" customWidth="1"/>
    <col min="5448" max="5456" width="1.7109375" style="5" customWidth="1"/>
    <col min="5457" max="5632" width="9.140625" style="5"/>
    <col min="5633" max="5633" width="0.28515625" style="5" customWidth="1"/>
    <col min="5634" max="5642" width="1.7109375" style="5" customWidth="1"/>
    <col min="5643" max="5643" width="0.28515625" style="5" customWidth="1"/>
    <col min="5644" max="5652" width="1.7109375" style="5" customWidth="1"/>
    <col min="5653" max="5653" width="0.28515625" style="5" customWidth="1"/>
    <col min="5654" max="5662" width="1.7109375" style="5" customWidth="1"/>
    <col min="5663" max="5663" width="0.28515625" style="5" customWidth="1"/>
    <col min="5664" max="5672" width="1.7109375" style="5" customWidth="1"/>
    <col min="5673" max="5673" width="0.28515625" style="5" customWidth="1"/>
    <col min="5674" max="5682" width="1.7109375" style="5" customWidth="1"/>
    <col min="5683" max="5683" width="0.28515625" style="5" customWidth="1"/>
    <col min="5684" max="5692" width="1.7109375" style="5" customWidth="1"/>
    <col min="5693" max="5693" width="0.28515625" style="5" customWidth="1"/>
    <col min="5694" max="5702" width="1.7109375" style="5" customWidth="1"/>
    <col min="5703" max="5703" width="0.28515625" style="5" customWidth="1"/>
    <col min="5704" max="5712" width="1.7109375" style="5" customWidth="1"/>
    <col min="5713" max="5888" width="9.140625" style="5"/>
    <col min="5889" max="5889" width="0.28515625" style="5" customWidth="1"/>
    <col min="5890" max="5898" width="1.7109375" style="5" customWidth="1"/>
    <col min="5899" max="5899" width="0.28515625" style="5" customWidth="1"/>
    <col min="5900" max="5908" width="1.7109375" style="5" customWidth="1"/>
    <col min="5909" max="5909" width="0.28515625" style="5" customWidth="1"/>
    <col min="5910" max="5918" width="1.7109375" style="5" customWidth="1"/>
    <col min="5919" max="5919" width="0.28515625" style="5" customWidth="1"/>
    <col min="5920" max="5928" width="1.7109375" style="5" customWidth="1"/>
    <col min="5929" max="5929" width="0.28515625" style="5" customWidth="1"/>
    <col min="5930" max="5938" width="1.7109375" style="5" customWidth="1"/>
    <col min="5939" max="5939" width="0.28515625" style="5" customWidth="1"/>
    <col min="5940" max="5948" width="1.7109375" style="5" customWidth="1"/>
    <col min="5949" max="5949" width="0.28515625" style="5" customWidth="1"/>
    <col min="5950" max="5958" width="1.7109375" style="5" customWidth="1"/>
    <col min="5959" max="5959" width="0.28515625" style="5" customWidth="1"/>
    <col min="5960" max="5968" width="1.7109375" style="5" customWidth="1"/>
    <col min="5969" max="6144" width="9.140625" style="5"/>
    <col min="6145" max="6145" width="0.28515625" style="5" customWidth="1"/>
    <col min="6146" max="6154" width="1.7109375" style="5" customWidth="1"/>
    <col min="6155" max="6155" width="0.28515625" style="5" customWidth="1"/>
    <col min="6156" max="6164" width="1.7109375" style="5" customWidth="1"/>
    <col min="6165" max="6165" width="0.28515625" style="5" customWidth="1"/>
    <col min="6166" max="6174" width="1.7109375" style="5" customWidth="1"/>
    <col min="6175" max="6175" width="0.28515625" style="5" customWidth="1"/>
    <col min="6176" max="6184" width="1.7109375" style="5" customWidth="1"/>
    <col min="6185" max="6185" width="0.28515625" style="5" customWidth="1"/>
    <col min="6186" max="6194" width="1.7109375" style="5" customWidth="1"/>
    <col min="6195" max="6195" width="0.28515625" style="5" customWidth="1"/>
    <col min="6196" max="6204" width="1.7109375" style="5" customWidth="1"/>
    <col min="6205" max="6205" width="0.28515625" style="5" customWidth="1"/>
    <col min="6206" max="6214" width="1.7109375" style="5" customWidth="1"/>
    <col min="6215" max="6215" width="0.28515625" style="5" customWidth="1"/>
    <col min="6216" max="6224" width="1.7109375" style="5" customWidth="1"/>
    <col min="6225" max="6400" width="9.140625" style="5"/>
    <col min="6401" max="6401" width="0.28515625" style="5" customWidth="1"/>
    <col min="6402" max="6410" width="1.7109375" style="5" customWidth="1"/>
    <col min="6411" max="6411" width="0.28515625" style="5" customWidth="1"/>
    <col min="6412" max="6420" width="1.7109375" style="5" customWidth="1"/>
    <col min="6421" max="6421" width="0.28515625" style="5" customWidth="1"/>
    <col min="6422" max="6430" width="1.7109375" style="5" customWidth="1"/>
    <col min="6431" max="6431" width="0.28515625" style="5" customWidth="1"/>
    <col min="6432" max="6440" width="1.7109375" style="5" customWidth="1"/>
    <col min="6441" max="6441" width="0.28515625" style="5" customWidth="1"/>
    <col min="6442" max="6450" width="1.7109375" style="5" customWidth="1"/>
    <col min="6451" max="6451" width="0.28515625" style="5" customWidth="1"/>
    <col min="6452" max="6460" width="1.7109375" style="5" customWidth="1"/>
    <col min="6461" max="6461" width="0.28515625" style="5" customWidth="1"/>
    <col min="6462" max="6470" width="1.7109375" style="5" customWidth="1"/>
    <col min="6471" max="6471" width="0.28515625" style="5" customWidth="1"/>
    <col min="6472" max="6480" width="1.7109375" style="5" customWidth="1"/>
    <col min="6481" max="6656" width="9.140625" style="5"/>
    <col min="6657" max="6657" width="0.28515625" style="5" customWidth="1"/>
    <col min="6658" max="6666" width="1.7109375" style="5" customWidth="1"/>
    <col min="6667" max="6667" width="0.28515625" style="5" customWidth="1"/>
    <col min="6668" max="6676" width="1.7109375" style="5" customWidth="1"/>
    <col min="6677" max="6677" width="0.28515625" style="5" customWidth="1"/>
    <col min="6678" max="6686" width="1.7109375" style="5" customWidth="1"/>
    <col min="6687" max="6687" width="0.28515625" style="5" customWidth="1"/>
    <col min="6688" max="6696" width="1.7109375" style="5" customWidth="1"/>
    <col min="6697" max="6697" width="0.28515625" style="5" customWidth="1"/>
    <col min="6698" max="6706" width="1.7109375" style="5" customWidth="1"/>
    <col min="6707" max="6707" width="0.28515625" style="5" customWidth="1"/>
    <col min="6708" max="6716" width="1.7109375" style="5" customWidth="1"/>
    <col min="6717" max="6717" width="0.28515625" style="5" customWidth="1"/>
    <col min="6718" max="6726" width="1.7109375" style="5" customWidth="1"/>
    <col min="6727" max="6727" width="0.28515625" style="5" customWidth="1"/>
    <col min="6728" max="6736" width="1.7109375" style="5" customWidth="1"/>
    <col min="6737" max="6912" width="9.140625" style="5"/>
    <col min="6913" max="6913" width="0.28515625" style="5" customWidth="1"/>
    <col min="6914" max="6922" width="1.7109375" style="5" customWidth="1"/>
    <col min="6923" max="6923" width="0.28515625" style="5" customWidth="1"/>
    <col min="6924" max="6932" width="1.7109375" style="5" customWidth="1"/>
    <col min="6933" max="6933" width="0.28515625" style="5" customWidth="1"/>
    <col min="6934" max="6942" width="1.7109375" style="5" customWidth="1"/>
    <col min="6943" max="6943" width="0.28515625" style="5" customWidth="1"/>
    <col min="6944" max="6952" width="1.7109375" style="5" customWidth="1"/>
    <col min="6953" max="6953" width="0.28515625" style="5" customWidth="1"/>
    <col min="6954" max="6962" width="1.7109375" style="5" customWidth="1"/>
    <col min="6963" max="6963" width="0.28515625" style="5" customWidth="1"/>
    <col min="6964" max="6972" width="1.7109375" style="5" customWidth="1"/>
    <col min="6973" max="6973" width="0.28515625" style="5" customWidth="1"/>
    <col min="6974" max="6982" width="1.7109375" style="5" customWidth="1"/>
    <col min="6983" max="6983" width="0.28515625" style="5" customWidth="1"/>
    <col min="6984" max="6992" width="1.7109375" style="5" customWidth="1"/>
    <col min="6993" max="7168" width="9.140625" style="5"/>
    <col min="7169" max="7169" width="0.28515625" style="5" customWidth="1"/>
    <col min="7170" max="7178" width="1.7109375" style="5" customWidth="1"/>
    <col min="7179" max="7179" width="0.28515625" style="5" customWidth="1"/>
    <col min="7180" max="7188" width="1.7109375" style="5" customWidth="1"/>
    <col min="7189" max="7189" width="0.28515625" style="5" customWidth="1"/>
    <col min="7190" max="7198" width="1.7109375" style="5" customWidth="1"/>
    <col min="7199" max="7199" width="0.28515625" style="5" customWidth="1"/>
    <col min="7200" max="7208" width="1.7109375" style="5" customWidth="1"/>
    <col min="7209" max="7209" width="0.28515625" style="5" customWidth="1"/>
    <col min="7210" max="7218" width="1.7109375" style="5" customWidth="1"/>
    <col min="7219" max="7219" width="0.28515625" style="5" customWidth="1"/>
    <col min="7220" max="7228" width="1.7109375" style="5" customWidth="1"/>
    <col min="7229" max="7229" width="0.28515625" style="5" customWidth="1"/>
    <col min="7230" max="7238" width="1.7109375" style="5" customWidth="1"/>
    <col min="7239" max="7239" width="0.28515625" style="5" customWidth="1"/>
    <col min="7240" max="7248" width="1.7109375" style="5" customWidth="1"/>
    <col min="7249" max="7424" width="9.140625" style="5"/>
    <col min="7425" max="7425" width="0.28515625" style="5" customWidth="1"/>
    <col min="7426" max="7434" width="1.7109375" style="5" customWidth="1"/>
    <col min="7435" max="7435" width="0.28515625" style="5" customWidth="1"/>
    <col min="7436" max="7444" width="1.7109375" style="5" customWidth="1"/>
    <col min="7445" max="7445" width="0.28515625" style="5" customWidth="1"/>
    <col min="7446" max="7454" width="1.7109375" style="5" customWidth="1"/>
    <col min="7455" max="7455" width="0.28515625" style="5" customWidth="1"/>
    <col min="7456" max="7464" width="1.7109375" style="5" customWidth="1"/>
    <col min="7465" max="7465" width="0.28515625" style="5" customWidth="1"/>
    <col min="7466" max="7474" width="1.7109375" style="5" customWidth="1"/>
    <col min="7475" max="7475" width="0.28515625" style="5" customWidth="1"/>
    <col min="7476" max="7484" width="1.7109375" style="5" customWidth="1"/>
    <col min="7485" max="7485" width="0.28515625" style="5" customWidth="1"/>
    <col min="7486" max="7494" width="1.7109375" style="5" customWidth="1"/>
    <col min="7495" max="7495" width="0.28515625" style="5" customWidth="1"/>
    <col min="7496" max="7504" width="1.7109375" style="5" customWidth="1"/>
    <col min="7505" max="7680" width="9.140625" style="5"/>
    <col min="7681" max="7681" width="0.28515625" style="5" customWidth="1"/>
    <col min="7682" max="7690" width="1.7109375" style="5" customWidth="1"/>
    <col min="7691" max="7691" width="0.28515625" style="5" customWidth="1"/>
    <col min="7692" max="7700" width="1.7109375" style="5" customWidth="1"/>
    <col min="7701" max="7701" width="0.28515625" style="5" customWidth="1"/>
    <col min="7702" max="7710" width="1.7109375" style="5" customWidth="1"/>
    <col min="7711" max="7711" width="0.28515625" style="5" customWidth="1"/>
    <col min="7712" max="7720" width="1.7109375" style="5" customWidth="1"/>
    <col min="7721" max="7721" width="0.28515625" style="5" customWidth="1"/>
    <col min="7722" max="7730" width="1.7109375" style="5" customWidth="1"/>
    <col min="7731" max="7731" width="0.28515625" style="5" customWidth="1"/>
    <col min="7732" max="7740" width="1.7109375" style="5" customWidth="1"/>
    <col min="7741" max="7741" width="0.28515625" style="5" customWidth="1"/>
    <col min="7742" max="7750" width="1.7109375" style="5" customWidth="1"/>
    <col min="7751" max="7751" width="0.28515625" style="5" customWidth="1"/>
    <col min="7752" max="7760" width="1.7109375" style="5" customWidth="1"/>
    <col min="7761" max="7936" width="9.140625" style="5"/>
    <col min="7937" max="7937" width="0.28515625" style="5" customWidth="1"/>
    <col min="7938" max="7946" width="1.7109375" style="5" customWidth="1"/>
    <col min="7947" max="7947" width="0.28515625" style="5" customWidth="1"/>
    <col min="7948" max="7956" width="1.7109375" style="5" customWidth="1"/>
    <col min="7957" max="7957" width="0.28515625" style="5" customWidth="1"/>
    <col min="7958" max="7966" width="1.7109375" style="5" customWidth="1"/>
    <col min="7967" max="7967" width="0.28515625" style="5" customWidth="1"/>
    <col min="7968" max="7976" width="1.7109375" style="5" customWidth="1"/>
    <col min="7977" max="7977" width="0.28515625" style="5" customWidth="1"/>
    <col min="7978" max="7986" width="1.7109375" style="5" customWidth="1"/>
    <col min="7987" max="7987" width="0.28515625" style="5" customWidth="1"/>
    <col min="7988" max="7996" width="1.7109375" style="5" customWidth="1"/>
    <col min="7997" max="7997" width="0.28515625" style="5" customWidth="1"/>
    <col min="7998" max="8006" width="1.7109375" style="5" customWidth="1"/>
    <col min="8007" max="8007" width="0.28515625" style="5" customWidth="1"/>
    <col min="8008" max="8016" width="1.7109375" style="5" customWidth="1"/>
    <col min="8017" max="8192" width="9.140625" style="5"/>
    <col min="8193" max="8193" width="0.28515625" style="5" customWidth="1"/>
    <col min="8194" max="8202" width="1.7109375" style="5" customWidth="1"/>
    <col min="8203" max="8203" width="0.28515625" style="5" customWidth="1"/>
    <col min="8204" max="8212" width="1.7109375" style="5" customWidth="1"/>
    <col min="8213" max="8213" width="0.28515625" style="5" customWidth="1"/>
    <col min="8214" max="8222" width="1.7109375" style="5" customWidth="1"/>
    <col min="8223" max="8223" width="0.28515625" style="5" customWidth="1"/>
    <col min="8224" max="8232" width="1.7109375" style="5" customWidth="1"/>
    <col min="8233" max="8233" width="0.28515625" style="5" customWidth="1"/>
    <col min="8234" max="8242" width="1.7109375" style="5" customWidth="1"/>
    <col min="8243" max="8243" width="0.28515625" style="5" customWidth="1"/>
    <col min="8244" max="8252" width="1.7109375" style="5" customWidth="1"/>
    <col min="8253" max="8253" width="0.28515625" style="5" customWidth="1"/>
    <col min="8254" max="8262" width="1.7109375" style="5" customWidth="1"/>
    <col min="8263" max="8263" width="0.28515625" style="5" customWidth="1"/>
    <col min="8264" max="8272" width="1.7109375" style="5" customWidth="1"/>
    <col min="8273" max="8448" width="9.140625" style="5"/>
    <col min="8449" max="8449" width="0.28515625" style="5" customWidth="1"/>
    <col min="8450" max="8458" width="1.7109375" style="5" customWidth="1"/>
    <col min="8459" max="8459" width="0.28515625" style="5" customWidth="1"/>
    <col min="8460" max="8468" width="1.7109375" style="5" customWidth="1"/>
    <col min="8469" max="8469" width="0.28515625" style="5" customWidth="1"/>
    <col min="8470" max="8478" width="1.7109375" style="5" customWidth="1"/>
    <col min="8479" max="8479" width="0.28515625" style="5" customWidth="1"/>
    <col min="8480" max="8488" width="1.7109375" style="5" customWidth="1"/>
    <col min="8489" max="8489" width="0.28515625" style="5" customWidth="1"/>
    <col min="8490" max="8498" width="1.7109375" style="5" customWidth="1"/>
    <col min="8499" max="8499" width="0.28515625" style="5" customWidth="1"/>
    <col min="8500" max="8508" width="1.7109375" style="5" customWidth="1"/>
    <col min="8509" max="8509" width="0.28515625" style="5" customWidth="1"/>
    <col min="8510" max="8518" width="1.7109375" style="5" customWidth="1"/>
    <col min="8519" max="8519" width="0.28515625" style="5" customWidth="1"/>
    <col min="8520" max="8528" width="1.7109375" style="5" customWidth="1"/>
    <col min="8529" max="8704" width="9.140625" style="5"/>
    <col min="8705" max="8705" width="0.28515625" style="5" customWidth="1"/>
    <col min="8706" max="8714" width="1.7109375" style="5" customWidth="1"/>
    <col min="8715" max="8715" width="0.28515625" style="5" customWidth="1"/>
    <col min="8716" max="8724" width="1.7109375" style="5" customWidth="1"/>
    <col min="8725" max="8725" width="0.28515625" style="5" customWidth="1"/>
    <col min="8726" max="8734" width="1.7109375" style="5" customWidth="1"/>
    <col min="8735" max="8735" width="0.28515625" style="5" customWidth="1"/>
    <col min="8736" max="8744" width="1.7109375" style="5" customWidth="1"/>
    <col min="8745" max="8745" width="0.28515625" style="5" customWidth="1"/>
    <col min="8746" max="8754" width="1.7109375" style="5" customWidth="1"/>
    <col min="8755" max="8755" width="0.28515625" style="5" customWidth="1"/>
    <col min="8756" max="8764" width="1.7109375" style="5" customWidth="1"/>
    <col min="8765" max="8765" width="0.28515625" style="5" customWidth="1"/>
    <col min="8766" max="8774" width="1.7109375" style="5" customWidth="1"/>
    <col min="8775" max="8775" width="0.28515625" style="5" customWidth="1"/>
    <col min="8776" max="8784" width="1.7109375" style="5" customWidth="1"/>
    <col min="8785" max="8960" width="9.140625" style="5"/>
    <col min="8961" max="8961" width="0.28515625" style="5" customWidth="1"/>
    <col min="8962" max="8970" width="1.7109375" style="5" customWidth="1"/>
    <col min="8971" max="8971" width="0.28515625" style="5" customWidth="1"/>
    <col min="8972" max="8980" width="1.7109375" style="5" customWidth="1"/>
    <col min="8981" max="8981" width="0.28515625" style="5" customWidth="1"/>
    <col min="8982" max="8990" width="1.7109375" style="5" customWidth="1"/>
    <col min="8991" max="8991" width="0.28515625" style="5" customWidth="1"/>
    <col min="8992" max="9000" width="1.7109375" style="5" customWidth="1"/>
    <col min="9001" max="9001" width="0.28515625" style="5" customWidth="1"/>
    <col min="9002" max="9010" width="1.7109375" style="5" customWidth="1"/>
    <col min="9011" max="9011" width="0.28515625" style="5" customWidth="1"/>
    <col min="9012" max="9020" width="1.7109375" style="5" customWidth="1"/>
    <col min="9021" max="9021" width="0.28515625" style="5" customWidth="1"/>
    <col min="9022" max="9030" width="1.7109375" style="5" customWidth="1"/>
    <col min="9031" max="9031" width="0.28515625" style="5" customWidth="1"/>
    <col min="9032" max="9040" width="1.7109375" style="5" customWidth="1"/>
    <col min="9041" max="9216" width="9.140625" style="5"/>
    <col min="9217" max="9217" width="0.28515625" style="5" customWidth="1"/>
    <col min="9218" max="9226" width="1.7109375" style="5" customWidth="1"/>
    <col min="9227" max="9227" width="0.28515625" style="5" customWidth="1"/>
    <col min="9228" max="9236" width="1.7109375" style="5" customWidth="1"/>
    <col min="9237" max="9237" width="0.28515625" style="5" customWidth="1"/>
    <col min="9238" max="9246" width="1.7109375" style="5" customWidth="1"/>
    <col min="9247" max="9247" width="0.28515625" style="5" customWidth="1"/>
    <col min="9248" max="9256" width="1.7109375" style="5" customWidth="1"/>
    <col min="9257" max="9257" width="0.28515625" style="5" customWidth="1"/>
    <col min="9258" max="9266" width="1.7109375" style="5" customWidth="1"/>
    <col min="9267" max="9267" width="0.28515625" style="5" customWidth="1"/>
    <col min="9268" max="9276" width="1.7109375" style="5" customWidth="1"/>
    <col min="9277" max="9277" width="0.28515625" style="5" customWidth="1"/>
    <col min="9278" max="9286" width="1.7109375" style="5" customWidth="1"/>
    <col min="9287" max="9287" width="0.28515625" style="5" customWidth="1"/>
    <col min="9288" max="9296" width="1.7109375" style="5" customWidth="1"/>
    <col min="9297" max="9472" width="9.140625" style="5"/>
    <col min="9473" max="9473" width="0.28515625" style="5" customWidth="1"/>
    <col min="9474" max="9482" width="1.7109375" style="5" customWidth="1"/>
    <col min="9483" max="9483" width="0.28515625" style="5" customWidth="1"/>
    <col min="9484" max="9492" width="1.7109375" style="5" customWidth="1"/>
    <col min="9493" max="9493" width="0.28515625" style="5" customWidth="1"/>
    <col min="9494" max="9502" width="1.7109375" style="5" customWidth="1"/>
    <col min="9503" max="9503" width="0.28515625" style="5" customWidth="1"/>
    <col min="9504" max="9512" width="1.7109375" style="5" customWidth="1"/>
    <col min="9513" max="9513" width="0.28515625" style="5" customWidth="1"/>
    <col min="9514" max="9522" width="1.7109375" style="5" customWidth="1"/>
    <col min="9523" max="9523" width="0.28515625" style="5" customWidth="1"/>
    <col min="9524" max="9532" width="1.7109375" style="5" customWidth="1"/>
    <col min="9533" max="9533" width="0.28515625" style="5" customWidth="1"/>
    <col min="9534" max="9542" width="1.7109375" style="5" customWidth="1"/>
    <col min="9543" max="9543" width="0.28515625" style="5" customWidth="1"/>
    <col min="9544" max="9552" width="1.7109375" style="5" customWidth="1"/>
    <col min="9553" max="9728" width="9.140625" style="5"/>
    <col min="9729" max="9729" width="0.28515625" style="5" customWidth="1"/>
    <col min="9730" max="9738" width="1.7109375" style="5" customWidth="1"/>
    <col min="9739" max="9739" width="0.28515625" style="5" customWidth="1"/>
    <col min="9740" max="9748" width="1.7109375" style="5" customWidth="1"/>
    <col min="9749" max="9749" width="0.28515625" style="5" customWidth="1"/>
    <col min="9750" max="9758" width="1.7109375" style="5" customWidth="1"/>
    <col min="9759" max="9759" width="0.28515625" style="5" customWidth="1"/>
    <col min="9760" max="9768" width="1.7109375" style="5" customWidth="1"/>
    <col min="9769" max="9769" width="0.28515625" style="5" customWidth="1"/>
    <col min="9770" max="9778" width="1.7109375" style="5" customWidth="1"/>
    <col min="9779" max="9779" width="0.28515625" style="5" customWidth="1"/>
    <col min="9780" max="9788" width="1.7109375" style="5" customWidth="1"/>
    <col min="9789" max="9789" width="0.28515625" style="5" customWidth="1"/>
    <col min="9790" max="9798" width="1.7109375" style="5" customWidth="1"/>
    <col min="9799" max="9799" width="0.28515625" style="5" customWidth="1"/>
    <col min="9800" max="9808" width="1.7109375" style="5" customWidth="1"/>
    <col min="9809" max="9984" width="9.140625" style="5"/>
    <col min="9985" max="9985" width="0.28515625" style="5" customWidth="1"/>
    <col min="9986" max="9994" width="1.7109375" style="5" customWidth="1"/>
    <col min="9995" max="9995" width="0.28515625" style="5" customWidth="1"/>
    <col min="9996" max="10004" width="1.7109375" style="5" customWidth="1"/>
    <col min="10005" max="10005" width="0.28515625" style="5" customWidth="1"/>
    <col min="10006" max="10014" width="1.7109375" style="5" customWidth="1"/>
    <col min="10015" max="10015" width="0.28515625" style="5" customWidth="1"/>
    <col min="10016" max="10024" width="1.7109375" style="5" customWidth="1"/>
    <col min="10025" max="10025" width="0.28515625" style="5" customWidth="1"/>
    <col min="10026" max="10034" width="1.7109375" style="5" customWidth="1"/>
    <col min="10035" max="10035" width="0.28515625" style="5" customWidth="1"/>
    <col min="10036" max="10044" width="1.7109375" style="5" customWidth="1"/>
    <col min="10045" max="10045" width="0.28515625" style="5" customWidth="1"/>
    <col min="10046" max="10054" width="1.7109375" style="5" customWidth="1"/>
    <col min="10055" max="10055" width="0.28515625" style="5" customWidth="1"/>
    <col min="10056" max="10064" width="1.7109375" style="5" customWidth="1"/>
    <col min="10065" max="10240" width="9.140625" style="5"/>
    <col min="10241" max="10241" width="0.28515625" style="5" customWidth="1"/>
    <col min="10242" max="10250" width="1.7109375" style="5" customWidth="1"/>
    <col min="10251" max="10251" width="0.28515625" style="5" customWidth="1"/>
    <col min="10252" max="10260" width="1.7109375" style="5" customWidth="1"/>
    <col min="10261" max="10261" width="0.28515625" style="5" customWidth="1"/>
    <col min="10262" max="10270" width="1.7109375" style="5" customWidth="1"/>
    <col min="10271" max="10271" width="0.28515625" style="5" customWidth="1"/>
    <col min="10272" max="10280" width="1.7109375" style="5" customWidth="1"/>
    <col min="10281" max="10281" width="0.28515625" style="5" customWidth="1"/>
    <col min="10282" max="10290" width="1.7109375" style="5" customWidth="1"/>
    <col min="10291" max="10291" width="0.28515625" style="5" customWidth="1"/>
    <col min="10292" max="10300" width="1.7109375" style="5" customWidth="1"/>
    <col min="10301" max="10301" width="0.28515625" style="5" customWidth="1"/>
    <col min="10302" max="10310" width="1.7109375" style="5" customWidth="1"/>
    <col min="10311" max="10311" width="0.28515625" style="5" customWidth="1"/>
    <col min="10312" max="10320" width="1.7109375" style="5" customWidth="1"/>
    <col min="10321" max="10496" width="9.140625" style="5"/>
    <col min="10497" max="10497" width="0.28515625" style="5" customWidth="1"/>
    <col min="10498" max="10506" width="1.7109375" style="5" customWidth="1"/>
    <col min="10507" max="10507" width="0.28515625" style="5" customWidth="1"/>
    <col min="10508" max="10516" width="1.7109375" style="5" customWidth="1"/>
    <col min="10517" max="10517" width="0.28515625" style="5" customWidth="1"/>
    <col min="10518" max="10526" width="1.7109375" style="5" customWidth="1"/>
    <col min="10527" max="10527" width="0.28515625" style="5" customWidth="1"/>
    <col min="10528" max="10536" width="1.7109375" style="5" customWidth="1"/>
    <col min="10537" max="10537" width="0.28515625" style="5" customWidth="1"/>
    <col min="10538" max="10546" width="1.7109375" style="5" customWidth="1"/>
    <col min="10547" max="10547" width="0.28515625" style="5" customWidth="1"/>
    <col min="10548" max="10556" width="1.7109375" style="5" customWidth="1"/>
    <col min="10557" max="10557" width="0.28515625" style="5" customWidth="1"/>
    <col min="10558" max="10566" width="1.7109375" style="5" customWidth="1"/>
    <col min="10567" max="10567" width="0.28515625" style="5" customWidth="1"/>
    <col min="10568" max="10576" width="1.7109375" style="5" customWidth="1"/>
    <col min="10577" max="10752" width="9.140625" style="5"/>
    <col min="10753" max="10753" width="0.28515625" style="5" customWidth="1"/>
    <col min="10754" max="10762" width="1.7109375" style="5" customWidth="1"/>
    <col min="10763" max="10763" width="0.28515625" style="5" customWidth="1"/>
    <col min="10764" max="10772" width="1.7109375" style="5" customWidth="1"/>
    <col min="10773" max="10773" width="0.28515625" style="5" customWidth="1"/>
    <col min="10774" max="10782" width="1.7109375" style="5" customWidth="1"/>
    <col min="10783" max="10783" width="0.28515625" style="5" customWidth="1"/>
    <col min="10784" max="10792" width="1.7109375" style="5" customWidth="1"/>
    <col min="10793" max="10793" width="0.28515625" style="5" customWidth="1"/>
    <col min="10794" max="10802" width="1.7109375" style="5" customWidth="1"/>
    <col min="10803" max="10803" width="0.28515625" style="5" customWidth="1"/>
    <col min="10804" max="10812" width="1.7109375" style="5" customWidth="1"/>
    <col min="10813" max="10813" width="0.28515625" style="5" customWidth="1"/>
    <col min="10814" max="10822" width="1.7109375" style="5" customWidth="1"/>
    <col min="10823" max="10823" width="0.28515625" style="5" customWidth="1"/>
    <col min="10824" max="10832" width="1.7109375" style="5" customWidth="1"/>
    <col min="10833" max="11008" width="9.140625" style="5"/>
    <col min="11009" max="11009" width="0.28515625" style="5" customWidth="1"/>
    <col min="11010" max="11018" width="1.7109375" style="5" customWidth="1"/>
    <col min="11019" max="11019" width="0.28515625" style="5" customWidth="1"/>
    <col min="11020" max="11028" width="1.7109375" style="5" customWidth="1"/>
    <col min="11029" max="11029" width="0.28515625" style="5" customWidth="1"/>
    <col min="11030" max="11038" width="1.7109375" style="5" customWidth="1"/>
    <col min="11039" max="11039" width="0.28515625" style="5" customWidth="1"/>
    <col min="11040" max="11048" width="1.7109375" style="5" customWidth="1"/>
    <col min="11049" max="11049" width="0.28515625" style="5" customWidth="1"/>
    <col min="11050" max="11058" width="1.7109375" style="5" customWidth="1"/>
    <col min="11059" max="11059" width="0.28515625" style="5" customWidth="1"/>
    <col min="11060" max="11068" width="1.7109375" style="5" customWidth="1"/>
    <col min="11069" max="11069" width="0.28515625" style="5" customWidth="1"/>
    <col min="11070" max="11078" width="1.7109375" style="5" customWidth="1"/>
    <col min="11079" max="11079" width="0.28515625" style="5" customWidth="1"/>
    <col min="11080" max="11088" width="1.7109375" style="5" customWidth="1"/>
    <col min="11089" max="11264" width="9.140625" style="5"/>
    <col min="11265" max="11265" width="0.28515625" style="5" customWidth="1"/>
    <col min="11266" max="11274" width="1.7109375" style="5" customWidth="1"/>
    <col min="11275" max="11275" width="0.28515625" style="5" customWidth="1"/>
    <col min="11276" max="11284" width="1.7109375" style="5" customWidth="1"/>
    <col min="11285" max="11285" width="0.28515625" style="5" customWidth="1"/>
    <col min="11286" max="11294" width="1.7109375" style="5" customWidth="1"/>
    <col min="11295" max="11295" width="0.28515625" style="5" customWidth="1"/>
    <col min="11296" max="11304" width="1.7109375" style="5" customWidth="1"/>
    <col min="11305" max="11305" width="0.28515625" style="5" customWidth="1"/>
    <col min="11306" max="11314" width="1.7109375" style="5" customWidth="1"/>
    <col min="11315" max="11315" width="0.28515625" style="5" customWidth="1"/>
    <col min="11316" max="11324" width="1.7109375" style="5" customWidth="1"/>
    <col min="11325" max="11325" width="0.28515625" style="5" customWidth="1"/>
    <col min="11326" max="11334" width="1.7109375" style="5" customWidth="1"/>
    <col min="11335" max="11335" width="0.28515625" style="5" customWidth="1"/>
    <col min="11336" max="11344" width="1.7109375" style="5" customWidth="1"/>
    <col min="11345" max="11520" width="9.140625" style="5"/>
    <col min="11521" max="11521" width="0.28515625" style="5" customWidth="1"/>
    <col min="11522" max="11530" width="1.7109375" style="5" customWidth="1"/>
    <col min="11531" max="11531" width="0.28515625" style="5" customWidth="1"/>
    <col min="11532" max="11540" width="1.7109375" style="5" customWidth="1"/>
    <col min="11541" max="11541" width="0.28515625" style="5" customWidth="1"/>
    <col min="11542" max="11550" width="1.7109375" style="5" customWidth="1"/>
    <col min="11551" max="11551" width="0.28515625" style="5" customWidth="1"/>
    <col min="11552" max="11560" width="1.7109375" style="5" customWidth="1"/>
    <col min="11561" max="11561" width="0.28515625" style="5" customWidth="1"/>
    <col min="11562" max="11570" width="1.7109375" style="5" customWidth="1"/>
    <col min="11571" max="11571" width="0.28515625" style="5" customWidth="1"/>
    <col min="11572" max="11580" width="1.7109375" style="5" customWidth="1"/>
    <col min="11581" max="11581" width="0.28515625" style="5" customWidth="1"/>
    <col min="11582" max="11590" width="1.7109375" style="5" customWidth="1"/>
    <col min="11591" max="11591" width="0.28515625" style="5" customWidth="1"/>
    <col min="11592" max="11600" width="1.7109375" style="5" customWidth="1"/>
    <col min="11601" max="11776" width="9.140625" style="5"/>
    <col min="11777" max="11777" width="0.28515625" style="5" customWidth="1"/>
    <col min="11778" max="11786" width="1.7109375" style="5" customWidth="1"/>
    <col min="11787" max="11787" width="0.28515625" style="5" customWidth="1"/>
    <col min="11788" max="11796" width="1.7109375" style="5" customWidth="1"/>
    <col min="11797" max="11797" width="0.28515625" style="5" customWidth="1"/>
    <col min="11798" max="11806" width="1.7109375" style="5" customWidth="1"/>
    <col min="11807" max="11807" width="0.28515625" style="5" customWidth="1"/>
    <col min="11808" max="11816" width="1.7109375" style="5" customWidth="1"/>
    <col min="11817" max="11817" width="0.28515625" style="5" customWidth="1"/>
    <col min="11818" max="11826" width="1.7109375" style="5" customWidth="1"/>
    <col min="11827" max="11827" width="0.28515625" style="5" customWidth="1"/>
    <col min="11828" max="11836" width="1.7109375" style="5" customWidth="1"/>
    <col min="11837" max="11837" width="0.28515625" style="5" customWidth="1"/>
    <col min="11838" max="11846" width="1.7109375" style="5" customWidth="1"/>
    <col min="11847" max="11847" width="0.28515625" style="5" customWidth="1"/>
    <col min="11848" max="11856" width="1.7109375" style="5" customWidth="1"/>
    <col min="11857" max="12032" width="9.140625" style="5"/>
    <col min="12033" max="12033" width="0.28515625" style="5" customWidth="1"/>
    <col min="12034" max="12042" width="1.7109375" style="5" customWidth="1"/>
    <col min="12043" max="12043" width="0.28515625" style="5" customWidth="1"/>
    <col min="12044" max="12052" width="1.7109375" style="5" customWidth="1"/>
    <col min="12053" max="12053" width="0.28515625" style="5" customWidth="1"/>
    <col min="12054" max="12062" width="1.7109375" style="5" customWidth="1"/>
    <col min="12063" max="12063" width="0.28515625" style="5" customWidth="1"/>
    <col min="12064" max="12072" width="1.7109375" style="5" customWidth="1"/>
    <col min="12073" max="12073" width="0.28515625" style="5" customWidth="1"/>
    <col min="12074" max="12082" width="1.7109375" style="5" customWidth="1"/>
    <col min="12083" max="12083" width="0.28515625" style="5" customWidth="1"/>
    <col min="12084" max="12092" width="1.7109375" style="5" customWidth="1"/>
    <col min="12093" max="12093" width="0.28515625" style="5" customWidth="1"/>
    <col min="12094" max="12102" width="1.7109375" style="5" customWidth="1"/>
    <col min="12103" max="12103" width="0.28515625" style="5" customWidth="1"/>
    <col min="12104" max="12112" width="1.7109375" style="5" customWidth="1"/>
    <col min="12113" max="12288" width="9.140625" style="5"/>
    <col min="12289" max="12289" width="0.28515625" style="5" customWidth="1"/>
    <col min="12290" max="12298" width="1.7109375" style="5" customWidth="1"/>
    <col min="12299" max="12299" width="0.28515625" style="5" customWidth="1"/>
    <col min="12300" max="12308" width="1.7109375" style="5" customWidth="1"/>
    <col min="12309" max="12309" width="0.28515625" style="5" customWidth="1"/>
    <col min="12310" max="12318" width="1.7109375" style="5" customWidth="1"/>
    <col min="12319" max="12319" width="0.28515625" style="5" customWidth="1"/>
    <col min="12320" max="12328" width="1.7109375" style="5" customWidth="1"/>
    <col min="12329" max="12329" width="0.28515625" style="5" customWidth="1"/>
    <col min="12330" max="12338" width="1.7109375" style="5" customWidth="1"/>
    <col min="12339" max="12339" width="0.28515625" style="5" customWidth="1"/>
    <col min="12340" max="12348" width="1.7109375" style="5" customWidth="1"/>
    <col min="12349" max="12349" width="0.28515625" style="5" customWidth="1"/>
    <col min="12350" max="12358" width="1.7109375" style="5" customWidth="1"/>
    <col min="12359" max="12359" width="0.28515625" style="5" customWidth="1"/>
    <col min="12360" max="12368" width="1.7109375" style="5" customWidth="1"/>
    <col min="12369" max="12544" width="9.140625" style="5"/>
    <col min="12545" max="12545" width="0.28515625" style="5" customWidth="1"/>
    <col min="12546" max="12554" width="1.7109375" style="5" customWidth="1"/>
    <col min="12555" max="12555" width="0.28515625" style="5" customWidth="1"/>
    <col min="12556" max="12564" width="1.7109375" style="5" customWidth="1"/>
    <col min="12565" max="12565" width="0.28515625" style="5" customWidth="1"/>
    <col min="12566" max="12574" width="1.7109375" style="5" customWidth="1"/>
    <col min="12575" max="12575" width="0.28515625" style="5" customWidth="1"/>
    <col min="12576" max="12584" width="1.7109375" style="5" customWidth="1"/>
    <col min="12585" max="12585" width="0.28515625" style="5" customWidth="1"/>
    <col min="12586" max="12594" width="1.7109375" style="5" customWidth="1"/>
    <col min="12595" max="12595" width="0.28515625" style="5" customWidth="1"/>
    <col min="12596" max="12604" width="1.7109375" style="5" customWidth="1"/>
    <col min="12605" max="12605" width="0.28515625" style="5" customWidth="1"/>
    <col min="12606" max="12614" width="1.7109375" style="5" customWidth="1"/>
    <col min="12615" max="12615" width="0.28515625" style="5" customWidth="1"/>
    <col min="12616" max="12624" width="1.7109375" style="5" customWidth="1"/>
    <col min="12625" max="12800" width="9.140625" style="5"/>
    <col min="12801" max="12801" width="0.28515625" style="5" customWidth="1"/>
    <col min="12802" max="12810" width="1.7109375" style="5" customWidth="1"/>
    <col min="12811" max="12811" width="0.28515625" style="5" customWidth="1"/>
    <col min="12812" max="12820" width="1.7109375" style="5" customWidth="1"/>
    <col min="12821" max="12821" width="0.28515625" style="5" customWidth="1"/>
    <col min="12822" max="12830" width="1.7109375" style="5" customWidth="1"/>
    <col min="12831" max="12831" width="0.28515625" style="5" customWidth="1"/>
    <col min="12832" max="12840" width="1.7109375" style="5" customWidth="1"/>
    <col min="12841" max="12841" width="0.28515625" style="5" customWidth="1"/>
    <col min="12842" max="12850" width="1.7109375" style="5" customWidth="1"/>
    <col min="12851" max="12851" width="0.28515625" style="5" customWidth="1"/>
    <col min="12852" max="12860" width="1.7109375" style="5" customWidth="1"/>
    <col min="12861" max="12861" width="0.28515625" style="5" customWidth="1"/>
    <col min="12862" max="12870" width="1.7109375" style="5" customWidth="1"/>
    <col min="12871" max="12871" width="0.28515625" style="5" customWidth="1"/>
    <col min="12872" max="12880" width="1.7109375" style="5" customWidth="1"/>
    <col min="12881" max="13056" width="9.140625" style="5"/>
    <col min="13057" max="13057" width="0.28515625" style="5" customWidth="1"/>
    <col min="13058" max="13066" width="1.7109375" style="5" customWidth="1"/>
    <col min="13067" max="13067" width="0.28515625" style="5" customWidth="1"/>
    <col min="13068" max="13076" width="1.7109375" style="5" customWidth="1"/>
    <col min="13077" max="13077" width="0.28515625" style="5" customWidth="1"/>
    <col min="13078" max="13086" width="1.7109375" style="5" customWidth="1"/>
    <col min="13087" max="13087" width="0.28515625" style="5" customWidth="1"/>
    <col min="13088" max="13096" width="1.7109375" style="5" customWidth="1"/>
    <col min="13097" max="13097" width="0.28515625" style="5" customWidth="1"/>
    <col min="13098" max="13106" width="1.7109375" style="5" customWidth="1"/>
    <col min="13107" max="13107" width="0.28515625" style="5" customWidth="1"/>
    <col min="13108" max="13116" width="1.7109375" style="5" customWidth="1"/>
    <col min="13117" max="13117" width="0.28515625" style="5" customWidth="1"/>
    <col min="13118" max="13126" width="1.7109375" style="5" customWidth="1"/>
    <col min="13127" max="13127" width="0.28515625" style="5" customWidth="1"/>
    <col min="13128" max="13136" width="1.7109375" style="5" customWidth="1"/>
    <col min="13137" max="13312" width="9.140625" style="5"/>
    <col min="13313" max="13313" width="0.28515625" style="5" customWidth="1"/>
    <col min="13314" max="13322" width="1.7109375" style="5" customWidth="1"/>
    <col min="13323" max="13323" width="0.28515625" style="5" customWidth="1"/>
    <col min="13324" max="13332" width="1.7109375" style="5" customWidth="1"/>
    <col min="13333" max="13333" width="0.28515625" style="5" customWidth="1"/>
    <col min="13334" max="13342" width="1.7109375" style="5" customWidth="1"/>
    <col min="13343" max="13343" width="0.28515625" style="5" customWidth="1"/>
    <col min="13344" max="13352" width="1.7109375" style="5" customWidth="1"/>
    <col min="13353" max="13353" width="0.28515625" style="5" customWidth="1"/>
    <col min="13354" max="13362" width="1.7109375" style="5" customWidth="1"/>
    <col min="13363" max="13363" width="0.28515625" style="5" customWidth="1"/>
    <col min="13364" max="13372" width="1.7109375" style="5" customWidth="1"/>
    <col min="13373" max="13373" width="0.28515625" style="5" customWidth="1"/>
    <col min="13374" max="13382" width="1.7109375" style="5" customWidth="1"/>
    <col min="13383" max="13383" width="0.28515625" style="5" customWidth="1"/>
    <col min="13384" max="13392" width="1.7109375" style="5" customWidth="1"/>
    <col min="13393" max="13568" width="9.140625" style="5"/>
    <col min="13569" max="13569" width="0.28515625" style="5" customWidth="1"/>
    <col min="13570" max="13578" width="1.7109375" style="5" customWidth="1"/>
    <col min="13579" max="13579" width="0.28515625" style="5" customWidth="1"/>
    <col min="13580" max="13588" width="1.7109375" style="5" customWidth="1"/>
    <col min="13589" max="13589" width="0.28515625" style="5" customWidth="1"/>
    <col min="13590" max="13598" width="1.7109375" style="5" customWidth="1"/>
    <col min="13599" max="13599" width="0.28515625" style="5" customWidth="1"/>
    <col min="13600" max="13608" width="1.7109375" style="5" customWidth="1"/>
    <col min="13609" max="13609" width="0.28515625" style="5" customWidth="1"/>
    <col min="13610" max="13618" width="1.7109375" style="5" customWidth="1"/>
    <col min="13619" max="13619" width="0.28515625" style="5" customWidth="1"/>
    <col min="13620" max="13628" width="1.7109375" style="5" customWidth="1"/>
    <col min="13629" max="13629" width="0.28515625" style="5" customWidth="1"/>
    <col min="13630" max="13638" width="1.7109375" style="5" customWidth="1"/>
    <col min="13639" max="13639" width="0.28515625" style="5" customWidth="1"/>
    <col min="13640" max="13648" width="1.7109375" style="5" customWidth="1"/>
    <col min="13649" max="13824" width="9.140625" style="5"/>
    <col min="13825" max="13825" width="0.28515625" style="5" customWidth="1"/>
    <col min="13826" max="13834" width="1.7109375" style="5" customWidth="1"/>
    <col min="13835" max="13835" width="0.28515625" style="5" customWidth="1"/>
    <col min="13836" max="13844" width="1.7109375" style="5" customWidth="1"/>
    <col min="13845" max="13845" width="0.28515625" style="5" customWidth="1"/>
    <col min="13846" max="13854" width="1.7109375" style="5" customWidth="1"/>
    <col min="13855" max="13855" width="0.28515625" style="5" customWidth="1"/>
    <col min="13856" max="13864" width="1.7109375" style="5" customWidth="1"/>
    <col min="13865" max="13865" width="0.28515625" style="5" customWidth="1"/>
    <col min="13866" max="13874" width="1.7109375" style="5" customWidth="1"/>
    <col min="13875" max="13875" width="0.28515625" style="5" customWidth="1"/>
    <col min="13876" max="13884" width="1.7109375" style="5" customWidth="1"/>
    <col min="13885" max="13885" width="0.28515625" style="5" customWidth="1"/>
    <col min="13886" max="13894" width="1.7109375" style="5" customWidth="1"/>
    <col min="13895" max="13895" width="0.28515625" style="5" customWidth="1"/>
    <col min="13896" max="13904" width="1.7109375" style="5" customWidth="1"/>
    <col min="13905" max="14080" width="9.140625" style="5"/>
    <col min="14081" max="14081" width="0.28515625" style="5" customWidth="1"/>
    <col min="14082" max="14090" width="1.7109375" style="5" customWidth="1"/>
    <col min="14091" max="14091" width="0.28515625" style="5" customWidth="1"/>
    <col min="14092" max="14100" width="1.7109375" style="5" customWidth="1"/>
    <col min="14101" max="14101" width="0.28515625" style="5" customWidth="1"/>
    <col min="14102" max="14110" width="1.7109375" style="5" customWidth="1"/>
    <col min="14111" max="14111" width="0.28515625" style="5" customWidth="1"/>
    <col min="14112" max="14120" width="1.7109375" style="5" customWidth="1"/>
    <col min="14121" max="14121" width="0.28515625" style="5" customWidth="1"/>
    <col min="14122" max="14130" width="1.7109375" style="5" customWidth="1"/>
    <col min="14131" max="14131" width="0.28515625" style="5" customWidth="1"/>
    <col min="14132" max="14140" width="1.7109375" style="5" customWidth="1"/>
    <col min="14141" max="14141" width="0.28515625" style="5" customWidth="1"/>
    <col min="14142" max="14150" width="1.7109375" style="5" customWidth="1"/>
    <col min="14151" max="14151" width="0.28515625" style="5" customWidth="1"/>
    <col min="14152" max="14160" width="1.7109375" style="5" customWidth="1"/>
    <col min="14161" max="14336" width="9.140625" style="5"/>
    <col min="14337" max="14337" width="0.28515625" style="5" customWidth="1"/>
    <col min="14338" max="14346" width="1.7109375" style="5" customWidth="1"/>
    <col min="14347" max="14347" width="0.28515625" style="5" customWidth="1"/>
    <col min="14348" max="14356" width="1.7109375" style="5" customWidth="1"/>
    <col min="14357" max="14357" width="0.28515625" style="5" customWidth="1"/>
    <col min="14358" max="14366" width="1.7109375" style="5" customWidth="1"/>
    <col min="14367" max="14367" width="0.28515625" style="5" customWidth="1"/>
    <col min="14368" max="14376" width="1.7109375" style="5" customWidth="1"/>
    <col min="14377" max="14377" width="0.28515625" style="5" customWidth="1"/>
    <col min="14378" max="14386" width="1.7109375" style="5" customWidth="1"/>
    <col min="14387" max="14387" width="0.28515625" style="5" customWidth="1"/>
    <col min="14388" max="14396" width="1.7109375" style="5" customWidth="1"/>
    <col min="14397" max="14397" width="0.28515625" style="5" customWidth="1"/>
    <col min="14398" max="14406" width="1.7109375" style="5" customWidth="1"/>
    <col min="14407" max="14407" width="0.28515625" style="5" customWidth="1"/>
    <col min="14408" max="14416" width="1.7109375" style="5" customWidth="1"/>
    <col min="14417" max="14592" width="9.140625" style="5"/>
    <col min="14593" max="14593" width="0.28515625" style="5" customWidth="1"/>
    <col min="14594" max="14602" width="1.7109375" style="5" customWidth="1"/>
    <col min="14603" max="14603" width="0.28515625" style="5" customWidth="1"/>
    <col min="14604" max="14612" width="1.7109375" style="5" customWidth="1"/>
    <col min="14613" max="14613" width="0.28515625" style="5" customWidth="1"/>
    <col min="14614" max="14622" width="1.7109375" style="5" customWidth="1"/>
    <col min="14623" max="14623" width="0.28515625" style="5" customWidth="1"/>
    <col min="14624" max="14632" width="1.7109375" style="5" customWidth="1"/>
    <col min="14633" max="14633" width="0.28515625" style="5" customWidth="1"/>
    <col min="14634" max="14642" width="1.7109375" style="5" customWidth="1"/>
    <col min="14643" max="14643" width="0.28515625" style="5" customWidth="1"/>
    <col min="14644" max="14652" width="1.7109375" style="5" customWidth="1"/>
    <col min="14653" max="14653" width="0.28515625" style="5" customWidth="1"/>
    <col min="14654" max="14662" width="1.7109375" style="5" customWidth="1"/>
    <col min="14663" max="14663" width="0.28515625" style="5" customWidth="1"/>
    <col min="14664" max="14672" width="1.7109375" style="5" customWidth="1"/>
    <col min="14673" max="14848" width="9.140625" style="5"/>
    <col min="14849" max="14849" width="0.28515625" style="5" customWidth="1"/>
    <col min="14850" max="14858" width="1.7109375" style="5" customWidth="1"/>
    <col min="14859" max="14859" width="0.28515625" style="5" customWidth="1"/>
    <col min="14860" max="14868" width="1.7109375" style="5" customWidth="1"/>
    <col min="14869" max="14869" width="0.28515625" style="5" customWidth="1"/>
    <col min="14870" max="14878" width="1.7109375" style="5" customWidth="1"/>
    <col min="14879" max="14879" width="0.28515625" style="5" customWidth="1"/>
    <col min="14880" max="14888" width="1.7109375" style="5" customWidth="1"/>
    <col min="14889" max="14889" width="0.28515625" style="5" customWidth="1"/>
    <col min="14890" max="14898" width="1.7109375" style="5" customWidth="1"/>
    <col min="14899" max="14899" width="0.28515625" style="5" customWidth="1"/>
    <col min="14900" max="14908" width="1.7109375" style="5" customWidth="1"/>
    <col min="14909" max="14909" width="0.28515625" style="5" customWidth="1"/>
    <col min="14910" max="14918" width="1.7109375" style="5" customWidth="1"/>
    <col min="14919" max="14919" width="0.28515625" style="5" customWidth="1"/>
    <col min="14920" max="14928" width="1.7109375" style="5" customWidth="1"/>
    <col min="14929" max="15104" width="9.140625" style="5"/>
    <col min="15105" max="15105" width="0.28515625" style="5" customWidth="1"/>
    <col min="15106" max="15114" width="1.7109375" style="5" customWidth="1"/>
    <col min="15115" max="15115" width="0.28515625" style="5" customWidth="1"/>
    <col min="15116" max="15124" width="1.7109375" style="5" customWidth="1"/>
    <col min="15125" max="15125" width="0.28515625" style="5" customWidth="1"/>
    <col min="15126" max="15134" width="1.7109375" style="5" customWidth="1"/>
    <col min="15135" max="15135" width="0.28515625" style="5" customWidth="1"/>
    <col min="15136" max="15144" width="1.7109375" style="5" customWidth="1"/>
    <col min="15145" max="15145" width="0.28515625" style="5" customWidth="1"/>
    <col min="15146" max="15154" width="1.7109375" style="5" customWidth="1"/>
    <col min="15155" max="15155" width="0.28515625" style="5" customWidth="1"/>
    <col min="15156" max="15164" width="1.7109375" style="5" customWidth="1"/>
    <col min="15165" max="15165" width="0.28515625" style="5" customWidth="1"/>
    <col min="15166" max="15174" width="1.7109375" style="5" customWidth="1"/>
    <col min="15175" max="15175" width="0.28515625" style="5" customWidth="1"/>
    <col min="15176" max="15184" width="1.7109375" style="5" customWidth="1"/>
    <col min="15185" max="15360" width="9.140625" style="5"/>
    <col min="15361" max="15361" width="0.28515625" style="5" customWidth="1"/>
    <col min="15362" max="15370" width="1.7109375" style="5" customWidth="1"/>
    <col min="15371" max="15371" width="0.28515625" style="5" customWidth="1"/>
    <col min="15372" max="15380" width="1.7109375" style="5" customWidth="1"/>
    <col min="15381" max="15381" width="0.28515625" style="5" customWidth="1"/>
    <col min="15382" max="15390" width="1.7109375" style="5" customWidth="1"/>
    <col min="15391" max="15391" width="0.28515625" style="5" customWidth="1"/>
    <col min="15392" max="15400" width="1.7109375" style="5" customWidth="1"/>
    <col min="15401" max="15401" width="0.28515625" style="5" customWidth="1"/>
    <col min="15402" max="15410" width="1.7109375" style="5" customWidth="1"/>
    <col min="15411" max="15411" width="0.28515625" style="5" customWidth="1"/>
    <col min="15412" max="15420" width="1.7109375" style="5" customWidth="1"/>
    <col min="15421" max="15421" width="0.28515625" style="5" customWidth="1"/>
    <col min="15422" max="15430" width="1.7109375" style="5" customWidth="1"/>
    <col min="15431" max="15431" width="0.28515625" style="5" customWidth="1"/>
    <col min="15432" max="15440" width="1.7109375" style="5" customWidth="1"/>
    <col min="15441" max="15616" width="9.140625" style="5"/>
    <col min="15617" max="15617" width="0.28515625" style="5" customWidth="1"/>
    <col min="15618" max="15626" width="1.7109375" style="5" customWidth="1"/>
    <col min="15627" max="15627" width="0.28515625" style="5" customWidth="1"/>
    <col min="15628" max="15636" width="1.7109375" style="5" customWidth="1"/>
    <col min="15637" max="15637" width="0.28515625" style="5" customWidth="1"/>
    <col min="15638" max="15646" width="1.7109375" style="5" customWidth="1"/>
    <col min="15647" max="15647" width="0.28515625" style="5" customWidth="1"/>
    <col min="15648" max="15656" width="1.7109375" style="5" customWidth="1"/>
    <col min="15657" max="15657" width="0.28515625" style="5" customWidth="1"/>
    <col min="15658" max="15666" width="1.7109375" style="5" customWidth="1"/>
    <col min="15667" max="15667" width="0.28515625" style="5" customWidth="1"/>
    <col min="15668" max="15676" width="1.7109375" style="5" customWidth="1"/>
    <col min="15677" max="15677" width="0.28515625" style="5" customWidth="1"/>
    <col min="15678" max="15686" width="1.7109375" style="5" customWidth="1"/>
    <col min="15687" max="15687" width="0.28515625" style="5" customWidth="1"/>
    <col min="15688" max="15696" width="1.7109375" style="5" customWidth="1"/>
    <col min="15697" max="15872" width="9.140625" style="5"/>
    <col min="15873" max="15873" width="0.28515625" style="5" customWidth="1"/>
    <col min="15874" max="15882" width="1.7109375" style="5" customWidth="1"/>
    <col min="15883" max="15883" width="0.28515625" style="5" customWidth="1"/>
    <col min="15884" max="15892" width="1.7109375" style="5" customWidth="1"/>
    <col min="15893" max="15893" width="0.28515625" style="5" customWidth="1"/>
    <col min="15894" max="15902" width="1.7109375" style="5" customWidth="1"/>
    <col min="15903" max="15903" width="0.28515625" style="5" customWidth="1"/>
    <col min="15904" max="15912" width="1.7109375" style="5" customWidth="1"/>
    <col min="15913" max="15913" width="0.28515625" style="5" customWidth="1"/>
    <col min="15914" max="15922" width="1.7109375" style="5" customWidth="1"/>
    <col min="15923" max="15923" width="0.28515625" style="5" customWidth="1"/>
    <col min="15924" max="15932" width="1.7109375" style="5" customWidth="1"/>
    <col min="15933" max="15933" width="0.28515625" style="5" customWidth="1"/>
    <col min="15934" max="15942" width="1.7109375" style="5" customWidth="1"/>
    <col min="15943" max="15943" width="0.28515625" style="5" customWidth="1"/>
    <col min="15944" max="15952" width="1.7109375" style="5" customWidth="1"/>
    <col min="15953" max="16128" width="9.140625" style="5"/>
    <col min="16129" max="16129" width="0.28515625" style="5" customWidth="1"/>
    <col min="16130" max="16138" width="1.7109375" style="5" customWidth="1"/>
    <col min="16139" max="16139" width="0.28515625" style="5" customWidth="1"/>
    <col min="16140" max="16148" width="1.7109375" style="5" customWidth="1"/>
    <col min="16149" max="16149" width="0.28515625" style="5" customWidth="1"/>
    <col min="16150" max="16158" width="1.7109375" style="5" customWidth="1"/>
    <col min="16159" max="16159" width="0.28515625" style="5" customWidth="1"/>
    <col min="16160" max="16168" width="1.7109375" style="5" customWidth="1"/>
    <col min="16169" max="16169" width="0.28515625" style="5" customWidth="1"/>
    <col min="16170" max="16178" width="1.7109375" style="5" customWidth="1"/>
    <col min="16179" max="16179" width="0.28515625" style="5" customWidth="1"/>
    <col min="16180" max="16188" width="1.7109375" style="5" customWidth="1"/>
    <col min="16189" max="16189" width="0.28515625" style="5" customWidth="1"/>
    <col min="16190" max="16198" width="1.7109375" style="5" customWidth="1"/>
    <col min="16199" max="16199" width="0.28515625" style="5" customWidth="1"/>
    <col min="16200" max="16208" width="1.7109375" style="5" customWidth="1"/>
    <col min="16209" max="16384" width="9.140625" style="5"/>
  </cols>
  <sheetData>
    <row r="1" spans="1:73" ht="19.5" customHeight="1" x14ac:dyDescent="0.25">
      <c r="A1" s="484" t="s">
        <v>830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5"/>
      <c r="AD1" s="485"/>
      <c r="AE1" s="485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5"/>
      <c r="AT1" s="485"/>
      <c r="AU1" s="485"/>
      <c r="AV1" s="485"/>
      <c r="AW1" s="485"/>
      <c r="AX1" s="485"/>
      <c r="AY1" s="485"/>
      <c r="AZ1" s="485"/>
      <c r="BA1" s="485"/>
      <c r="BB1" s="485"/>
      <c r="BC1" s="485"/>
      <c r="BD1" s="485"/>
      <c r="BE1" s="485"/>
      <c r="BF1" s="485"/>
      <c r="BG1" s="485"/>
      <c r="BH1" s="485"/>
      <c r="BI1" s="485"/>
      <c r="BJ1" s="485"/>
      <c r="BK1" s="485"/>
      <c r="BL1" s="485"/>
      <c r="BM1" s="485"/>
      <c r="BN1" s="485"/>
      <c r="BO1" s="485"/>
      <c r="BP1" s="485"/>
      <c r="BQ1" s="485"/>
      <c r="BR1" s="486"/>
      <c r="BS1" s="4"/>
    </row>
    <row r="2" spans="1:73" ht="19.5" customHeight="1" x14ac:dyDescent="0.25">
      <c r="A2" s="485"/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485"/>
      <c r="R2" s="485"/>
      <c r="S2" s="485"/>
      <c r="T2" s="485"/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485"/>
      <c r="BP2" s="485"/>
      <c r="BQ2" s="485"/>
      <c r="BR2" s="486"/>
      <c r="BS2" s="6"/>
    </row>
    <row r="3" spans="1:73" ht="19.5" customHeight="1" x14ac:dyDescent="0.25">
      <c r="A3" s="485"/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485"/>
      <c r="U3" s="485"/>
      <c r="V3" s="485"/>
      <c r="W3" s="485"/>
      <c r="X3" s="485"/>
      <c r="Y3" s="485"/>
      <c r="Z3" s="485"/>
      <c r="AA3" s="485"/>
      <c r="AB3" s="485"/>
      <c r="AC3" s="485"/>
      <c r="AD3" s="485"/>
      <c r="AE3" s="485"/>
      <c r="AF3" s="485"/>
      <c r="AG3" s="485"/>
      <c r="AH3" s="485"/>
      <c r="AI3" s="485"/>
      <c r="AJ3" s="485"/>
      <c r="AK3" s="485"/>
      <c r="AL3" s="485"/>
      <c r="AM3" s="485"/>
      <c r="AN3" s="485"/>
      <c r="AO3" s="485"/>
      <c r="AP3" s="485"/>
      <c r="AQ3" s="485"/>
      <c r="AR3" s="485"/>
      <c r="AS3" s="485"/>
      <c r="AT3" s="485"/>
      <c r="AU3" s="485"/>
      <c r="AV3" s="485"/>
      <c r="AW3" s="485"/>
      <c r="AX3" s="485"/>
      <c r="AY3" s="485"/>
      <c r="AZ3" s="485"/>
      <c r="BA3" s="485"/>
      <c r="BB3" s="485"/>
      <c r="BC3" s="485"/>
      <c r="BD3" s="485"/>
      <c r="BE3" s="485"/>
      <c r="BF3" s="485"/>
      <c r="BG3" s="485"/>
      <c r="BH3" s="485"/>
      <c r="BI3" s="485"/>
      <c r="BJ3" s="485"/>
      <c r="BK3" s="485"/>
      <c r="BL3" s="485"/>
      <c r="BM3" s="485"/>
      <c r="BN3" s="485"/>
      <c r="BO3" s="485"/>
      <c r="BP3" s="485"/>
      <c r="BQ3" s="485"/>
      <c r="BR3" s="486"/>
      <c r="BS3" s="6"/>
    </row>
    <row r="4" spans="1:73" ht="19.5" customHeight="1" x14ac:dyDescent="0.25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485"/>
      <c r="AW4" s="485"/>
      <c r="AX4" s="485"/>
      <c r="AY4" s="485"/>
      <c r="AZ4" s="485"/>
      <c r="BA4" s="485"/>
      <c r="BB4" s="485"/>
      <c r="BC4" s="485"/>
      <c r="BD4" s="485"/>
      <c r="BE4" s="485"/>
      <c r="BF4" s="485"/>
      <c r="BG4" s="485"/>
      <c r="BH4" s="485"/>
      <c r="BI4" s="485"/>
      <c r="BJ4" s="485"/>
      <c r="BK4" s="485"/>
      <c r="BL4" s="485"/>
      <c r="BM4" s="485"/>
      <c r="BN4" s="485"/>
      <c r="BO4" s="485"/>
      <c r="BP4" s="485"/>
      <c r="BQ4" s="485"/>
      <c r="BR4" s="486"/>
      <c r="BS4" s="6"/>
    </row>
    <row r="5" spans="1:73" ht="18" customHeight="1" x14ac:dyDescent="0.25">
      <c r="A5" s="11"/>
      <c r="B5" s="552">
        <v>1.4</v>
      </c>
      <c r="C5" s="553"/>
      <c r="D5" s="553"/>
      <c r="E5" s="553"/>
      <c r="F5" s="553"/>
      <c r="G5" s="553"/>
      <c r="H5" s="553"/>
      <c r="I5" s="553"/>
      <c r="J5" s="553"/>
      <c r="K5" s="247"/>
      <c r="L5" s="480" t="s">
        <v>791</v>
      </c>
      <c r="M5" s="480"/>
      <c r="N5" s="480"/>
      <c r="O5" s="480"/>
      <c r="P5" s="480"/>
      <c r="Q5" s="480"/>
      <c r="R5" s="480"/>
      <c r="S5" s="480"/>
      <c r="T5" s="480"/>
      <c r="U5" s="480"/>
      <c r="V5" s="480"/>
      <c r="W5" s="480"/>
      <c r="X5" s="480"/>
      <c r="Y5" s="480"/>
      <c r="Z5" s="480"/>
      <c r="AA5" s="480"/>
      <c r="AB5" s="480"/>
      <c r="AC5" s="480"/>
      <c r="AD5" s="480"/>
      <c r="AE5" s="480"/>
      <c r="AF5" s="480"/>
      <c r="AG5" s="480"/>
      <c r="AH5" s="480"/>
      <c r="AI5" s="480"/>
      <c r="AJ5" s="480"/>
      <c r="AK5" s="480"/>
      <c r="AL5" s="480"/>
      <c r="AM5" s="480"/>
      <c r="AN5" s="480"/>
      <c r="AO5" s="480"/>
      <c r="AP5" s="480"/>
      <c r="AQ5" s="480"/>
      <c r="AR5" s="480"/>
      <c r="AS5" s="480"/>
      <c r="AT5" s="480"/>
      <c r="AU5" s="480"/>
      <c r="AV5" s="480"/>
      <c r="AW5" s="480"/>
      <c r="AX5" s="480"/>
      <c r="AY5" s="480"/>
      <c r="AZ5" s="480"/>
      <c r="BA5" s="480"/>
      <c r="BB5" s="480"/>
      <c r="BC5" s="480"/>
      <c r="BD5" s="480"/>
      <c r="BE5" s="480"/>
      <c r="BF5" s="480"/>
      <c r="BG5" s="480"/>
      <c r="BH5" s="480"/>
      <c r="BI5" s="480"/>
      <c r="BJ5" s="480"/>
      <c r="BK5" s="480"/>
      <c r="BL5" s="480"/>
      <c r="BM5" s="480"/>
      <c r="BN5" s="480"/>
      <c r="BO5" s="480"/>
      <c r="BP5" s="480"/>
      <c r="BQ5" s="480"/>
      <c r="BR5" s="480"/>
      <c r="BS5" s="6"/>
      <c r="BT5" s="13"/>
    </row>
    <row r="6" spans="1:73" s="23" customFormat="1" ht="1.5" customHeight="1" x14ac:dyDescent="0.25">
      <c r="B6" s="24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7"/>
      <c r="AQ6" s="27"/>
      <c r="AR6" s="27"/>
      <c r="AS6" s="27"/>
      <c r="AT6" s="27"/>
      <c r="AU6" s="27"/>
      <c r="AV6" s="27"/>
      <c r="AW6" s="27"/>
      <c r="AX6" s="27"/>
      <c r="AY6" s="26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8"/>
      <c r="BS6" s="25"/>
      <c r="BT6" s="29"/>
      <c r="BU6" s="26"/>
    </row>
    <row r="7" spans="1:73" s="23" customFormat="1" ht="9" customHeight="1" x14ac:dyDescent="0.25">
      <c r="A7" s="26"/>
      <c r="B7" s="474" t="s">
        <v>429</v>
      </c>
      <c r="C7" s="475"/>
      <c r="D7" s="476"/>
      <c r="E7" s="504" t="s">
        <v>436</v>
      </c>
      <c r="F7" s="505"/>
      <c r="G7" s="505"/>
      <c r="H7" s="505"/>
      <c r="I7" s="505"/>
      <c r="J7" s="506"/>
      <c r="K7" s="87"/>
      <c r="L7" s="474" t="s">
        <v>430</v>
      </c>
      <c r="M7" s="475"/>
      <c r="N7" s="476"/>
      <c r="O7" s="504" t="s">
        <v>436</v>
      </c>
      <c r="P7" s="505"/>
      <c r="Q7" s="505"/>
      <c r="R7" s="505"/>
      <c r="S7" s="505"/>
      <c r="T7" s="506"/>
      <c r="U7" s="87"/>
      <c r="V7" s="474" t="s">
        <v>431</v>
      </c>
      <c r="W7" s="475"/>
      <c r="X7" s="476"/>
      <c r="Y7" s="504" t="s">
        <v>436</v>
      </c>
      <c r="Z7" s="505"/>
      <c r="AA7" s="505"/>
      <c r="AB7" s="505"/>
      <c r="AC7" s="505"/>
      <c r="AD7" s="506"/>
      <c r="AE7" s="88"/>
      <c r="AF7" s="474" t="s">
        <v>432</v>
      </c>
      <c r="AG7" s="475"/>
      <c r="AH7" s="476"/>
      <c r="AI7" s="504" t="s">
        <v>436</v>
      </c>
      <c r="AJ7" s="505"/>
      <c r="AK7" s="505"/>
      <c r="AL7" s="505"/>
      <c r="AM7" s="505"/>
      <c r="AN7" s="506"/>
      <c r="AO7" s="89"/>
      <c r="AP7" s="474" t="s">
        <v>433</v>
      </c>
      <c r="AQ7" s="475"/>
      <c r="AR7" s="476"/>
      <c r="AS7" s="504" t="s">
        <v>436</v>
      </c>
      <c r="AT7" s="505"/>
      <c r="AU7" s="505"/>
      <c r="AV7" s="505"/>
      <c r="AW7" s="505"/>
      <c r="AX7" s="506"/>
      <c r="AY7" s="87"/>
      <c r="AZ7" s="474" t="s">
        <v>434</v>
      </c>
      <c r="BA7" s="475"/>
      <c r="BB7" s="476"/>
      <c r="BC7" s="504" t="s">
        <v>436</v>
      </c>
      <c r="BD7" s="505"/>
      <c r="BE7" s="505"/>
      <c r="BF7" s="505"/>
      <c r="BG7" s="505"/>
      <c r="BH7" s="506"/>
      <c r="BI7" s="87"/>
      <c r="BJ7" s="474" t="s">
        <v>435</v>
      </c>
      <c r="BK7" s="475"/>
      <c r="BL7" s="476"/>
      <c r="BM7" s="504" t="s">
        <v>436</v>
      </c>
      <c r="BN7" s="505"/>
      <c r="BO7" s="505"/>
      <c r="BP7" s="505"/>
      <c r="BQ7" s="505"/>
      <c r="BR7" s="506"/>
      <c r="BS7" s="26"/>
      <c r="BT7" s="31"/>
    </row>
    <row r="8" spans="1:73" s="32" customFormat="1" ht="9" customHeight="1" x14ac:dyDescent="0.25">
      <c r="B8" s="116"/>
      <c r="C8" s="96"/>
      <c r="D8" s="96"/>
      <c r="E8" s="96"/>
      <c r="F8" s="96"/>
      <c r="G8" s="96"/>
      <c r="H8" s="96"/>
      <c r="I8" s="96"/>
      <c r="J8" s="97"/>
      <c r="K8" s="90"/>
      <c r="L8" s="116"/>
      <c r="M8" s="96"/>
      <c r="N8" s="96"/>
      <c r="O8" s="96"/>
      <c r="P8" s="96"/>
      <c r="Q8" s="96"/>
      <c r="R8" s="96"/>
      <c r="S8" s="96"/>
      <c r="T8" s="97"/>
      <c r="U8" s="91"/>
      <c r="V8" s="116"/>
      <c r="W8" s="96"/>
      <c r="X8" s="96"/>
      <c r="Y8" s="96"/>
      <c r="Z8" s="96"/>
      <c r="AA8" s="96"/>
      <c r="AB8" s="96"/>
      <c r="AC8" s="96"/>
      <c r="AD8" s="97"/>
      <c r="AE8" s="90"/>
      <c r="AF8" s="116"/>
      <c r="AG8" s="96"/>
      <c r="AH8" s="96"/>
      <c r="AI8" s="96"/>
      <c r="AJ8" s="96"/>
      <c r="AK8" s="96"/>
      <c r="AL8" s="96"/>
      <c r="AM8" s="96"/>
      <c r="AN8" s="97"/>
      <c r="AO8" s="91"/>
      <c r="AP8" s="116"/>
      <c r="AQ8" s="96"/>
      <c r="AR8" s="96"/>
      <c r="AS8" s="96"/>
      <c r="AT8" s="96"/>
      <c r="AU8" s="96"/>
      <c r="AV8" s="96"/>
      <c r="AW8" s="96"/>
      <c r="AX8" s="97"/>
      <c r="AY8" s="91"/>
      <c r="AZ8" s="116"/>
      <c r="BA8" s="96"/>
      <c r="BB8" s="96"/>
      <c r="BC8" s="96"/>
      <c r="BD8" s="96"/>
      <c r="BE8" s="96"/>
      <c r="BF8" s="96"/>
      <c r="BG8" s="96"/>
      <c r="BH8" s="97"/>
      <c r="BI8" s="91"/>
      <c r="BJ8" s="116"/>
      <c r="BK8" s="96"/>
      <c r="BL8" s="96"/>
      <c r="BM8" s="96"/>
      <c r="BN8" s="96"/>
      <c r="BO8" s="96"/>
      <c r="BP8" s="96"/>
      <c r="BQ8" s="96"/>
      <c r="BR8" s="97"/>
      <c r="BS8" s="34"/>
      <c r="BT8" s="36"/>
    </row>
    <row r="9" spans="1:73" s="23" customFormat="1" ht="9" customHeight="1" x14ac:dyDescent="0.25">
      <c r="A9" s="30"/>
      <c r="B9" s="87"/>
      <c r="C9" s="87"/>
      <c r="D9" s="87"/>
      <c r="E9" s="87"/>
      <c r="F9" s="87"/>
      <c r="G9" s="87"/>
      <c r="H9" s="87"/>
      <c r="I9" s="87"/>
      <c r="J9" s="89"/>
      <c r="K9" s="92"/>
      <c r="L9" s="87"/>
      <c r="M9" s="87"/>
      <c r="N9" s="87"/>
      <c r="O9" s="87"/>
      <c r="P9" s="87"/>
      <c r="Q9" s="87"/>
      <c r="R9" s="87"/>
      <c r="S9" s="87"/>
      <c r="T9" s="89"/>
      <c r="U9" s="89"/>
      <c r="V9" s="87"/>
      <c r="W9" s="87"/>
      <c r="X9" s="87"/>
      <c r="Y9" s="87"/>
      <c r="Z9" s="87"/>
      <c r="AA9" s="87"/>
      <c r="AB9" s="87"/>
      <c r="AC9" s="87"/>
      <c r="AD9" s="89"/>
      <c r="AE9" s="92"/>
      <c r="AF9" s="87"/>
      <c r="AG9" s="87"/>
      <c r="AH9" s="87"/>
      <c r="AI9" s="87"/>
      <c r="AJ9" s="87"/>
      <c r="AK9" s="87"/>
      <c r="AL9" s="87"/>
      <c r="AM9" s="87"/>
      <c r="AN9" s="89"/>
      <c r="AO9" s="89"/>
      <c r="AP9" s="87"/>
      <c r="AQ9" s="87"/>
      <c r="AR9" s="87"/>
      <c r="AS9" s="87"/>
      <c r="AT9" s="87"/>
      <c r="AU9" s="87"/>
      <c r="AV9" s="87"/>
      <c r="AW9" s="87"/>
      <c r="AX9" s="89"/>
      <c r="AY9" s="89"/>
      <c r="AZ9" s="87"/>
      <c r="BA9" s="87"/>
      <c r="BB9" s="87"/>
      <c r="BC9" s="87"/>
      <c r="BD9" s="87"/>
      <c r="BE9" s="87"/>
      <c r="BF9" s="87"/>
      <c r="BG9" s="87"/>
      <c r="BH9" s="89"/>
      <c r="BI9" s="89"/>
      <c r="BJ9" s="87"/>
      <c r="BK9" s="87"/>
      <c r="BL9" s="87"/>
      <c r="BM9" s="87"/>
      <c r="BN9" s="87"/>
      <c r="BO9" s="87"/>
      <c r="BP9" s="87"/>
      <c r="BQ9" s="87"/>
      <c r="BR9" s="89"/>
      <c r="BS9" s="26"/>
      <c r="BT9" s="31"/>
    </row>
    <row r="10" spans="1:73" s="23" customFormat="1" ht="9" customHeight="1" x14ac:dyDescent="0.25">
      <c r="A10" s="30"/>
      <c r="B10" s="87"/>
      <c r="C10" s="87"/>
      <c r="D10" s="87"/>
      <c r="E10" s="87"/>
      <c r="F10" s="87"/>
      <c r="G10" s="87"/>
      <c r="H10" s="87"/>
      <c r="I10" s="87"/>
      <c r="J10" s="89"/>
      <c r="K10" s="92"/>
      <c r="L10" s="87"/>
      <c r="M10" s="87"/>
      <c r="N10" s="87"/>
      <c r="O10" s="87"/>
      <c r="P10" s="87"/>
      <c r="Q10" s="87"/>
      <c r="R10" s="87"/>
      <c r="S10" s="87"/>
      <c r="T10" s="89"/>
      <c r="U10" s="89"/>
      <c r="V10" s="87"/>
      <c r="W10" s="87"/>
      <c r="X10" s="87"/>
      <c r="Y10" s="87"/>
      <c r="Z10" s="87"/>
      <c r="AA10" s="87"/>
      <c r="AB10" s="87"/>
      <c r="AC10" s="87"/>
      <c r="AD10" s="89"/>
      <c r="AE10" s="92"/>
      <c r="AF10" s="87"/>
      <c r="AG10" s="87"/>
      <c r="AH10" s="87"/>
      <c r="AI10" s="87"/>
      <c r="AJ10" s="87"/>
      <c r="AK10" s="87"/>
      <c r="AL10" s="87"/>
      <c r="AM10" s="87"/>
      <c r="AN10" s="89"/>
      <c r="AO10" s="89"/>
      <c r="AP10" s="87"/>
      <c r="AQ10" s="87"/>
      <c r="AR10" s="87"/>
      <c r="AS10" s="87"/>
      <c r="AT10" s="87"/>
      <c r="AU10" s="87"/>
      <c r="AV10" s="87"/>
      <c r="AW10" s="87"/>
      <c r="AX10" s="89"/>
      <c r="AY10" s="89"/>
      <c r="AZ10" s="87"/>
      <c r="BA10" s="87"/>
      <c r="BB10" s="87"/>
      <c r="BC10" s="87"/>
      <c r="BD10" s="87"/>
      <c r="BE10" s="87"/>
      <c r="BF10" s="87"/>
      <c r="BG10" s="87"/>
      <c r="BH10" s="89"/>
      <c r="BI10" s="89"/>
      <c r="BJ10" s="87"/>
      <c r="BK10" s="87"/>
      <c r="BL10" s="87"/>
      <c r="BM10" s="87"/>
      <c r="BN10" s="87"/>
      <c r="BO10" s="87"/>
      <c r="BP10" s="87"/>
      <c r="BQ10" s="87"/>
      <c r="BR10" s="89"/>
      <c r="BS10" s="26"/>
      <c r="BT10" s="31"/>
    </row>
    <row r="11" spans="1:73" s="23" customFormat="1" ht="9" customHeight="1" x14ac:dyDescent="0.25">
      <c r="A11" s="30"/>
      <c r="B11" s="87"/>
      <c r="C11" s="87"/>
      <c r="D11" s="87"/>
      <c r="E11" s="87"/>
      <c r="F11" s="87"/>
      <c r="G11" s="87"/>
      <c r="H11" s="87"/>
      <c r="I11" s="87"/>
      <c r="J11" s="89"/>
      <c r="K11" s="92"/>
      <c r="L11" s="87"/>
      <c r="M11" s="87"/>
      <c r="N11" s="87"/>
      <c r="O11" s="87"/>
      <c r="P11" s="87"/>
      <c r="Q11" s="87"/>
      <c r="R11" s="87"/>
      <c r="S11" s="87"/>
      <c r="T11" s="89"/>
      <c r="U11" s="89"/>
      <c r="V11" s="87"/>
      <c r="W11" s="87"/>
      <c r="X11" s="87"/>
      <c r="Y11" s="87"/>
      <c r="Z11" s="87"/>
      <c r="AA11" s="87"/>
      <c r="AB11" s="87"/>
      <c r="AC11" s="87"/>
      <c r="AD11" s="89"/>
      <c r="AE11" s="92"/>
      <c r="AF11" s="87"/>
      <c r="AG11" s="87"/>
      <c r="AH11" s="87"/>
      <c r="AI11" s="87"/>
      <c r="AJ11" s="87"/>
      <c r="AK11" s="87"/>
      <c r="AL11" s="87"/>
      <c r="AM11" s="87"/>
      <c r="AN11" s="89"/>
      <c r="AO11" s="89"/>
      <c r="AP11" s="87"/>
      <c r="AQ11" s="87"/>
      <c r="AR11" s="87"/>
      <c r="AS11" s="87"/>
      <c r="AT11" s="87"/>
      <c r="AU11" s="87"/>
      <c r="AV11" s="87"/>
      <c r="AW11" s="87"/>
      <c r="AX11" s="89"/>
      <c r="AY11" s="89"/>
      <c r="AZ11" s="87"/>
      <c r="BA11" s="87"/>
      <c r="BB11" s="87"/>
      <c r="BC11" s="87"/>
      <c r="BD11" s="87"/>
      <c r="BE11" s="87"/>
      <c r="BF11" s="87"/>
      <c r="BG11" s="87"/>
      <c r="BH11" s="89"/>
      <c r="BI11" s="89"/>
      <c r="BJ11" s="87"/>
      <c r="BK11" s="87"/>
      <c r="BL11" s="87"/>
      <c r="BM11" s="87"/>
      <c r="BN11" s="87"/>
      <c r="BO11" s="87"/>
      <c r="BP11" s="87"/>
      <c r="BQ11" s="87"/>
      <c r="BR11" s="89"/>
      <c r="BS11" s="26"/>
      <c r="BT11" s="31"/>
    </row>
    <row r="12" spans="1:73" s="23" customFormat="1" ht="9" customHeight="1" x14ac:dyDescent="0.25">
      <c r="A12" s="30"/>
      <c r="B12" s="87"/>
      <c r="C12" s="87"/>
      <c r="D12" s="87"/>
      <c r="E12" s="87"/>
      <c r="F12" s="87"/>
      <c r="G12" s="87"/>
      <c r="H12" s="87"/>
      <c r="I12" s="87"/>
      <c r="J12" s="89"/>
      <c r="K12" s="92"/>
      <c r="L12" s="87"/>
      <c r="M12" s="87"/>
      <c r="N12" s="87"/>
      <c r="O12" s="87"/>
      <c r="P12" s="87"/>
      <c r="Q12" s="87"/>
      <c r="R12" s="87"/>
      <c r="S12" s="87"/>
      <c r="T12" s="89"/>
      <c r="U12" s="89"/>
      <c r="V12" s="87"/>
      <c r="W12" s="87"/>
      <c r="X12" s="87"/>
      <c r="Y12" s="87"/>
      <c r="Z12" s="87"/>
      <c r="AA12" s="87"/>
      <c r="AB12" s="87"/>
      <c r="AC12" s="87"/>
      <c r="AD12" s="89"/>
      <c r="AE12" s="92"/>
      <c r="AF12" s="87"/>
      <c r="AG12" s="87"/>
      <c r="AH12" s="87"/>
      <c r="AI12" s="87"/>
      <c r="AJ12" s="87"/>
      <c r="AK12" s="87"/>
      <c r="AL12" s="87"/>
      <c r="AM12" s="87"/>
      <c r="AN12" s="89"/>
      <c r="AO12" s="89"/>
      <c r="AP12" s="87"/>
      <c r="AQ12" s="87"/>
      <c r="AR12" s="87"/>
      <c r="AS12" s="87"/>
      <c r="AT12" s="87"/>
      <c r="AU12" s="87"/>
      <c r="AV12" s="87"/>
      <c r="AW12" s="87"/>
      <c r="AX12" s="89"/>
      <c r="AY12" s="92"/>
      <c r="AZ12" s="87"/>
      <c r="BA12" s="87"/>
      <c r="BB12" s="87"/>
      <c r="BC12" s="87"/>
      <c r="BD12" s="87"/>
      <c r="BE12" s="87"/>
      <c r="BF12" s="87"/>
      <c r="BG12" s="87"/>
      <c r="BH12" s="89"/>
      <c r="BI12" s="92"/>
      <c r="BJ12" s="87"/>
      <c r="BK12" s="87"/>
      <c r="BL12" s="87"/>
      <c r="BM12" s="87"/>
      <c r="BN12" s="87"/>
      <c r="BO12" s="87"/>
      <c r="BP12" s="87"/>
      <c r="BQ12" s="87"/>
      <c r="BR12" s="89"/>
      <c r="BS12" s="26"/>
      <c r="BT12" s="31"/>
    </row>
    <row r="13" spans="1:73" s="23" customFormat="1" ht="9" customHeight="1" x14ac:dyDescent="0.25">
      <c r="A13" s="30"/>
      <c r="B13" s="87"/>
      <c r="C13" s="87"/>
      <c r="D13" s="87"/>
      <c r="E13" s="87"/>
      <c r="F13" s="87"/>
      <c r="G13" s="87"/>
      <c r="H13" s="87"/>
      <c r="I13" s="87"/>
      <c r="J13" s="89"/>
      <c r="K13" s="92"/>
      <c r="L13" s="87"/>
      <c r="M13" s="87"/>
      <c r="N13" s="87"/>
      <c r="O13" s="87"/>
      <c r="P13" s="87"/>
      <c r="Q13" s="87"/>
      <c r="R13" s="87"/>
      <c r="S13" s="87"/>
      <c r="T13" s="89"/>
      <c r="U13" s="89"/>
      <c r="V13" s="87"/>
      <c r="W13" s="87"/>
      <c r="X13" s="87"/>
      <c r="Y13" s="87"/>
      <c r="Z13" s="87"/>
      <c r="AA13" s="87"/>
      <c r="AB13" s="87"/>
      <c r="AC13" s="87"/>
      <c r="AD13" s="89"/>
      <c r="AE13" s="92"/>
      <c r="AF13" s="87"/>
      <c r="AG13" s="87"/>
      <c r="AH13" s="87"/>
      <c r="AI13" s="87"/>
      <c r="AJ13" s="87"/>
      <c r="AK13" s="87"/>
      <c r="AL13" s="87"/>
      <c r="AM13" s="87"/>
      <c r="AN13" s="89"/>
      <c r="AO13" s="89"/>
      <c r="AP13" s="87"/>
      <c r="AQ13" s="87"/>
      <c r="AR13" s="87"/>
      <c r="AS13" s="87"/>
      <c r="AT13" s="87"/>
      <c r="AU13" s="87"/>
      <c r="AV13" s="87"/>
      <c r="AW13" s="87"/>
      <c r="AX13" s="89"/>
      <c r="AY13" s="92"/>
      <c r="AZ13" s="87"/>
      <c r="BA13" s="87"/>
      <c r="BB13" s="87"/>
      <c r="BC13" s="87"/>
      <c r="BD13" s="87"/>
      <c r="BE13" s="87"/>
      <c r="BF13" s="87"/>
      <c r="BG13" s="87"/>
      <c r="BH13" s="89"/>
      <c r="BI13" s="92"/>
      <c r="BJ13" s="87"/>
      <c r="BK13" s="87"/>
      <c r="BL13" s="87"/>
      <c r="BM13" s="87"/>
      <c r="BN13" s="87"/>
      <c r="BO13" s="87"/>
      <c r="BP13" s="87"/>
      <c r="BQ13" s="87"/>
      <c r="BR13" s="89"/>
      <c r="BS13" s="26"/>
      <c r="BT13" s="31"/>
    </row>
    <row r="14" spans="1:73" s="23" customFormat="1" ht="9.75" customHeight="1" x14ac:dyDescent="0.25">
      <c r="A14" s="30"/>
      <c r="B14" s="87"/>
      <c r="C14" s="87"/>
      <c r="D14" s="87"/>
      <c r="E14" s="87"/>
      <c r="F14" s="87"/>
      <c r="G14" s="87"/>
      <c r="H14" s="87"/>
      <c r="I14" s="87"/>
      <c r="J14" s="89"/>
      <c r="K14" s="92"/>
      <c r="L14" s="87"/>
      <c r="M14" s="87"/>
      <c r="N14" s="87"/>
      <c r="O14" s="87"/>
      <c r="P14" s="87"/>
      <c r="Q14" s="87"/>
      <c r="R14" s="87"/>
      <c r="S14" s="87"/>
      <c r="T14" s="89"/>
      <c r="U14" s="89"/>
      <c r="V14" s="87"/>
      <c r="W14" s="87"/>
      <c r="X14" s="87"/>
      <c r="Y14" s="87"/>
      <c r="Z14" s="87"/>
      <c r="AA14" s="87"/>
      <c r="AB14" s="87"/>
      <c r="AC14" s="87"/>
      <c r="AD14" s="89"/>
      <c r="AE14" s="92"/>
      <c r="AF14" s="87"/>
      <c r="AG14" s="87"/>
      <c r="AH14" s="87"/>
      <c r="AI14" s="87"/>
      <c r="AJ14" s="87"/>
      <c r="AK14" s="87"/>
      <c r="AL14" s="87"/>
      <c r="AM14" s="87"/>
      <c r="AN14" s="89"/>
      <c r="AO14" s="89"/>
      <c r="AP14" s="87"/>
      <c r="AQ14" s="87"/>
      <c r="AR14" s="87"/>
      <c r="AS14" s="87"/>
      <c r="AT14" s="87"/>
      <c r="AU14" s="87"/>
      <c r="AV14" s="87"/>
      <c r="AW14" s="87"/>
      <c r="AX14" s="89"/>
      <c r="AY14" s="92"/>
      <c r="AZ14" s="87"/>
      <c r="BA14" s="87"/>
      <c r="BB14" s="87"/>
      <c r="BC14" s="87"/>
      <c r="BD14" s="87"/>
      <c r="BE14" s="87"/>
      <c r="BF14" s="87"/>
      <c r="BG14" s="87"/>
      <c r="BH14" s="89"/>
      <c r="BI14" s="92"/>
      <c r="BJ14" s="87"/>
      <c r="BK14" s="87"/>
      <c r="BL14" s="87"/>
      <c r="BM14" s="87"/>
      <c r="BN14" s="87"/>
      <c r="BO14" s="87"/>
      <c r="BP14" s="87"/>
      <c r="BQ14" s="87"/>
      <c r="BR14" s="89"/>
      <c r="BS14" s="26"/>
      <c r="BT14" s="31"/>
    </row>
    <row r="15" spans="1:73" s="23" customFormat="1" ht="9" customHeight="1" x14ac:dyDescent="0.25">
      <c r="B15" s="116"/>
      <c r="C15" s="96"/>
      <c r="D15" s="96"/>
      <c r="E15" s="96"/>
      <c r="F15" s="96"/>
      <c r="G15" s="96"/>
      <c r="H15" s="96"/>
      <c r="I15" s="96"/>
      <c r="J15" s="97"/>
      <c r="K15" s="92"/>
      <c r="L15" s="96"/>
      <c r="M15" s="96"/>
      <c r="N15" s="96"/>
      <c r="O15" s="96"/>
      <c r="P15" s="96"/>
      <c r="Q15" s="96"/>
      <c r="R15" s="96"/>
      <c r="S15" s="96"/>
      <c r="T15" s="97"/>
      <c r="U15" s="89"/>
      <c r="V15" s="96"/>
      <c r="W15" s="96"/>
      <c r="X15" s="96"/>
      <c r="Y15" s="96"/>
      <c r="Z15" s="96"/>
      <c r="AA15" s="96"/>
      <c r="AB15" s="96"/>
      <c r="AC15" s="96"/>
      <c r="AD15" s="97"/>
      <c r="AE15" s="98"/>
      <c r="AF15" s="96"/>
      <c r="AG15" s="96"/>
      <c r="AH15" s="96"/>
      <c r="AI15" s="96"/>
      <c r="AJ15" s="96"/>
      <c r="AK15" s="96"/>
      <c r="AL15" s="96"/>
      <c r="AM15" s="96"/>
      <c r="AN15" s="97"/>
      <c r="AO15" s="97"/>
      <c r="AP15" s="96"/>
      <c r="AQ15" s="96"/>
      <c r="AR15" s="96"/>
      <c r="AS15" s="96"/>
      <c r="AT15" s="96"/>
      <c r="AU15" s="96"/>
      <c r="AV15" s="96"/>
      <c r="AW15" s="96"/>
      <c r="AX15" s="97"/>
      <c r="AY15" s="92"/>
      <c r="AZ15" s="96"/>
      <c r="BA15" s="96"/>
      <c r="BB15" s="96"/>
      <c r="BC15" s="96"/>
      <c r="BD15" s="96"/>
      <c r="BE15" s="96"/>
      <c r="BF15" s="96"/>
      <c r="BG15" s="96"/>
      <c r="BH15" s="97"/>
      <c r="BI15" s="92"/>
      <c r="BJ15" s="96"/>
      <c r="BK15" s="96"/>
      <c r="BL15" s="96"/>
      <c r="BM15" s="96"/>
      <c r="BN15" s="96"/>
      <c r="BO15" s="96"/>
      <c r="BP15" s="96"/>
      <c r="BQ15" s="96"/>
      <c r="BR15" s="97"/>
      <c r="BS15" s="26"/>
      <c r="BT15" s="31"/>
    </row>
    <row r="16" spans="1:73" s="23" customFormat="1" ht="9" customHeight="1" x14ac:dyDescent="0.25">
      <c r="B16" s="116"/>
      <c r="C16" s="96"/>
      <c r="D16" s="96"/>
      <c r="E16" s="96"/>
      <c r="F16" s="96"/>
      <c r="G16" s="96"/>
      <c r="H16" s="96"/>
      <c r="I16" s="96"/>
      <c r="J16" s="97"/>
      <c r="K16" s="92"/>
      <c r="L16" s="96"/>
      <c r="M16" s="96"/>
      <c r="N16" s="96"/>
      <c r="O16" s="96"/>
      <c r="P16" s="96"/>
      <c r="Q16" s="96"/>
      <c r="R16" s="96"/>
      <c r="S16" s="96"/>
      <c r="T16" s="97"/>
      <c r="U16" s="89"/>
      <c r="V16" s="96"/>
      <c r="W16" s="96"/>
      <c r="X16" s="96"/>
      <c r="Y16" s="96"/>
      <c r="Z16" s="96"/>
      <c r="AA16" s="96"/>
      <c r="AB16" s="96"/>
      <c r="AC16" s="96"/>
      <c r="AD16" s="97"/>
      <c r="AE16" s="98"/>
      <c r="AF16" s="96"/>
      <c r="AG16" s="96"/>
      <c r="AH16" s="96"/>
      <c r="AI16" s="96"/>
      <c r="AJ16" s="96"/>
      <c r="AK16" s="96"/>
      <c r="AL16" s="96"/>
      <c r="AM16" s="96"/>
      <c r="AN16" s="97"/>
      <c r="AO16" s="97"/>
      <c r="AP16" s="96"/>
      <c r="AQ16" s="96"/>
      <c r="AR16" s="96"/>
      <c r="AS16" s="96"/>
      <c r="AT16" s="96"/>
      <c r="AU16" s="96"/>
      <c r="AV16" s="96"/>
      <c r="AW16" s="96"/>
      <c r="AX16" s="97"/>
      <c r="AY16" s="92"/>
      <c r="AZ16" s="96"/>
      <c r="BA16" s="96"/>
      <c r="BB16" s="96"/>
      <c r="BC16" s="96"/>
      <c r="BD16" s="96"/>
      <c r="BE16" s="96"/>
      <c r="BF16" s="96"/>
      <c r="BG16" s="96"/>
      <c r="BH16" s="97"/>
      <c r="BI16" s="92"/>
      <c r="BJ16" s="96"/>
      <c r="BK16" s="96"/>
      <c r="BL16" s="96"/>
      <c r="BM16" s="96"/>
      <c r="BN16" s="96"/>
      <c r="BO16" s="96"/>
      <c r="BP16" s="96"/>
      <c r="BQ16" s="96"/>
      <c r="BR16" s="97"/>
      <c r="BS16" s="26"/>
      <c r="BT16" s="31"/>
    </row>
    <row r="17" spans="1:72" s="23" customFormat="1" ht="9" customHeight="1" x14ac:dyDescent="0.25">
      <c r="B17" s="87"/>
      <c r="C17" s="87"/>
      <c r="D17" s="87"/>
      <c r="E17" s="87"/>
      <c r="F17" s="87"/>
      <c r="G17" s="87"/>
      <c r="H17" s="87"/>
      <c r="I17" s="87"/>
      <c r="J17" s="89"/>
      <c r="K17" s="92"/>
      <c r="L17" s="87"/>
      <c r="M17" s="87"/>
      <c r="N17" s="87"/>
      <c r="O17" s="87"/>
      <c r="P17" s="87"/>
      <c r="Q17" s="87"/>
      <c r="R17" s="87"/>
      <c r="S17" s="87"/>
      <c r="T17" s="89"/>
      <c r="U17" s="89"/>
      <c r="V17" s="87"/>
      <c r="W17" s="87"/>
      <c r="X17" s="87"/>
      <c r="Y17" s="87"/>
      <c r="Z17" s="87"/>
      <c r="AA17" s="87"/>
      <c r="AB17" s="87"/>
      <c r="AC17" s="87"/>
      <c r="AD17" s="89"/>
      <c r="AE17" s="92"/>
      <c r="AF17" s="87"/>
      <c r="AG17" s="87"/>
      <c r="AH17" s="87"/>
      <c r="AI17" s="87"/>
      <c r="AJ17" s="87"/>
      <c r="AK17" s="87"/>
      <c r="AL17" s="87"/>
      <c r="AM17" s="87"/>
      <c r="AN17" s="89"/>
      <c r="AO17" s="89"/>
      <c r="AP17" s="87"/>
      <c r="AQ17" s="87"/>
      <c r="AR17" s="87"/>
      <c r="AS17" s="87"/>
      <c r="AT17" s="87"/>
      <c r="AU17" s="87"/>
      <c r="AV17" s="87"/>
      <c r="AW17" s="87"/>
      <c r="AX17" s="89"/>
      <c r="AY17" s="92"/>
      <c r="AZ17" s="87"/>
      <c r="BA17" s="87"/>
      <c r="BB17" s="87"/>
      <c r="BC17" s="87"/>
      <c r="BD17" s="87"/>
      <c r="BE17" s="87"/>
      <c r="BF17" s="87"/>
      <c r="BG17" s="87"/>
      <c r="BH17" s="89"/>
      <c r="BI17" s="92"/>
      <c r="BJ17" s="87"/>
      <c r="BK17" s="87"/>
      <c r="BL17" s="87"/>
      <c r="BM17" s="87"/>
      <c r="BN17" s="87"/>
      <c r="BO17" s="87"/>
      <c r="BP17" s="87"/>
      <c r="BQ17" s="87"/>
      <c r="BR17" s="89"/>
      <c r="BS17" s="26"/>
      <c r="BT17" s="31"/>
    </row>
    <row r="18" spans="1:72" s="23" customFormat="1" ht="9" customHeight="1" x14ac:dyDescent="0.25">
      <c r="B18" s="492" t="s">
        <v>416</v>
      </c>
      <c r="C18" s="492"/>
      <c r="D18" s="492"/>
      <c r="E18" s="492"/>
      <c r="F18" s="492"/>
      <c r="G18" s="493">
        <f>CEILING(1434*B5,1)</f>
        <v>2008</v>
      </c>
      <c r="H18" s="493"/>
      <c r="I18" s="493"/>
      <c r="J18" s="493"/>
      <c r="K18" s="223"/>
      <c r="L18" s="492" t="s">
        <v>416</v>
      </c>
      <c r="M18" s="492"/>
      <c r="N18" s="492"/>
      <c r="O18" s="492"/>
      <c r="P18" s="492"/>
      <c r="Q18" s="493">
        <f>CEILING(2069*B5,1)</f>
        <v>2897</v>
      </c>
      <c r="R18" s="493"/>
      <c r="S18" s="493"/>
      <c r="T18" s="493"/>
      <c r="U18" s="223"/>
      <c r="V18" s="492" t="s">
        <v>416</v>
      </c>
      <c r="W18" s="492"/>
      <c r="X18" s="492"/>
      <c r="Y18" s="492"/>
      <c r="Z18" s="492"/>
      <c r="AA18" s="493">
        <f>CEILING(2204*B5,1)</f>
        <v>3086</v>
      </c>
      <c r="AB18" s="493"/>
      <c r="AC18" s="493"/>
      <c r="AD18" s="493"/>
      <c r="AE18" s="223"/>
      <c r="AF18" s="492" t="s">
        <v>416</v>
      </c>
      <c r="AG18" s="492"/>
      <c r="AH18" s="492"/>
      <c r="AI18" s="492"/>
      <c r="AJ18" s="492"/>
      <c r="AK18" s="493">
        <f>CEILING(2337*B5,1)</f>
        <v>3272</v>
      </c>
      <c r="AL18" s="493"/>
      <c r="AM18" s="493"/>
      <c r="AN18" s="493"/>
      <c r="AO18" s="223"/>
      <c r="AP18" s="492" t="s">
        <v>416</v>
      </c>
      <c r="AQ18" s="492"/>
      <c r="AR18" s="492"/>
      <c r="AS18" s="492"/>
      <c r="AT18" s="492"/>
      <c r="AU18" s="493">
        <f>CEILING(2388*B5,1)</f>
        <v>3344</v>
      </c>
      <c r="AV18" s="493"/>
      <c r="AW18" s="493"/>
      <c r="AX18" s="493"/>
      <c r="AY18" s="223"/>
      <c r="AZ18" s="492" t="s">
        <v>416</v>
      </c>
      <c r="BA18" s="492"/>
      <c r="BB18" s="492"/>
      <c r="BC18" s="492"/>
      <c r="BD18" s="492"/>
      <c r="BE18" s="493">
        <f>CEILING(2501*B5,1)</f>
        <v>3502</v>
      </c>
      <c r="BF18" s="493"/>
      <c r="BG18" s="493"/>
      <c r="BH18" s="493"/>
      <c r="BI18" s="223"/>
      <c r="BJ18" s="492" t="s">
        <v>416</v>
      </c>
      <c r="BK18" s="492"/>
      <c r="BL18" s="492"/>
      <c r="BM18" s="492"/>
      <c r="BN18" s="492"/>
      <c r="BO18" s="493">
        <f>CEILING(2841*B5,1)</f>
        <v>3978</v>
      </c>
      <c r="BP18" s="493"/>
      <c r="BQ18" s="493"/>
      <c r="BR18" s="493"/>
      <c r="BS18" s="26"/>
      <c r="BT18" s="31"/>
    </row>
    <row r="19" spans="1:72" s="23" customFormat="1" ht="1.5" customHeight="1" x14ac:dyDescent="0.25"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201"/>
      <c r="Z19" s="201"/>
      <c r="AA19" s="201"/>
      <c r="AB19" s="201"/>
      <c r="AC19" s="201"/>
      <c r="AD19" s="201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201"/>
      <c r="AR19" s="201"/>
      <c r="AS19" s="201"/>
      <c r="AT19" s="201"/>
      <c r="AU19" s="201"/>
      <c r="AV19" s="201"/>
      <c r="AW19" s="201"/>
      <c r="AX19" s="201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26"/>
      <c r="BT19" s="31"/>
    </row>
    <row r="20" spans="1:72" s="23" customFormat="1" ht="9" customHeight="1" x14ac:dyDescent="0.25">
      <c r="B20" s="474" t="s">
        <v>437</v>
      </c>
      <c r="C20" s="475"/>
      <c r="D20" s="476"/>
      <c r="E20" s="504" t="s">
        <v>444</v>
      </c>
      <c r="F20" s="505"/>
      <c r="G20" s="505"/>
      <c r="H20" s="505"/>
      <c r="I20" s="505"/>
      <c r="J20" s="506"/>
      <c r="K20" s="87"/>
      <c r="L20" s="474" t="s">
        <v>438</v>
      </c>
      <c r="M20" s="475"/>
      <c r="N20" s="476"/>
      <c r="O20" s="504" t="s">
        <v>444</v>
      </c>
      <c r="P20" s="505"/>
      <c r="Q20" s="505"/>
      <c r="R20" s="505"/>
      <c r="S20" s="505"/>
      <c r="T20" s="506"/>
      <c r="U20" s="87"/>
      <c r="V20" s="474" t="s">
        <v>439</v>
      </c>
      <c r="W20" s="475"/>
      <c r="X20" s="476"/>
      <c r="Y20" s="504" t="s">
        <v>444</v>
      </c>
      <c r="Z20" s="505"/>
      <c r="AA20" s="505"/>
      <c r="AB20" s="505"/>
      <c r="AC20" s="505"/>
      <c r="AD20" s="506"/>
      <c r="AE20" s="87"/>
      <c r="AF20" s="474" t="s">
        <v>440</v>
      </c>
      <c r="AG20" s="475"/>
      <c r="AH20" s="476"/>
      <c r="AI20" s="504" t="s">
        <v>444</v>
      </c>
      <c r="AJ20" s="505"/>
      <c r="AK20" s="505"/>
      <c r="AL20" s="505"/>
      <c r="AM20" s="505"/>
      <c r="AN20" s="506"/>
      <c r="AO20" s="87"/>
      <c r="AP20" s="474" t="s">
        <v>441</v>
      </c>
      <c r="AQ20" s="475"/>
      <c r="AR20" s="476"/>
      <c r="AS20" s="504" t="s">
        <v>444</v>
      </c>
      <c r="AT20" s="505"/>
      <c r="AU20" s="505"/>
      <c r="AV20" s="505"/>
      <c r="AW20" s="505"/>
      <c r="AX20" s="506"/>
      <c r="AY20" s="87"/>
      <c r="AZ20" s="474" t="s">
        <v>442</v>
      </c>
      <c r="BA20" s="475"/>
      <c r="BB20" s="476"/>
      <c r="BC20" s="504" t="s">
        <v>444</v>
      </c>
      <c r="BD20" s="505"/>
      <c r="BE20" s="505"/>
      <c r="BF20" s="505"/>
      <c r="BG20" s="505"/>
      <c r="BH20" s="506"/>
      <c r="BI20" s="87"/>
      <c r="BJ20" s="474" t="s">
        <v>443</v>
      </c>
      <c r="BK20" s="475"/>
      <c r="BL20" s="476"/>
      <c r="BM20" s="504" t="s">
        <v>444</v>
      </c>
      <c r="BN20" s="505"/>
      <c r="BO20" s="505"/>
      <c r="BP20" s="505"/>
      <c r="BQ20" s="505"/>
      <c r="BR20" s="506"/>
      <c r="BS20" s="26"/>
      <c r="BT20" s="31"/>
    </row>
    <row r="21" spans="1:72" s="32" customFormat="1" ht="9" customHeight="1" x14ac:dyDescent="0.25">
      <c r="B21" s="489" t="s">
        <v>445</v>
      </c>
      <c r="C21" s="490"/>
      <c r="D21" s="490"/>
      <c r="E21" s="490"/>
      <c r="F21" s="490"/>
      <c r="G21" s="490"/>
      <c r="H21" s="490"/>
      <c r="I21" s="490"/>
      <c r="J21" s="491"/>
      <c r="K21" s="90"/>
      <c r="L21" s="489" t="s">
        <v>445</v>
      </c>
      <c r="M21" s="490"/>
      <c r="N21" s="490"/>
      <c r="O21" s="490"/>
      <c r="P21" s="490"/>
      <c r="Q21" s="490"/>
      <c r="R21" s="490"/>
      <c r="S21" s="490"/>
      <c r="T21" s="491"/>
      <c r="U21" s="100"/>
      <c r="V21" s="489" t="s">
        <v>445</v>
      </c>
      <c r="W21" s="490"/>
      <c r="X21" s="490"/>
      <c r="Y21" s="490"/>
      <c r="Z21" s="490"/>
      <c r="AA21" s="490"/>
      <c r="AB21" s="490"/>
      <c r="AC21" s="490"/>
      <c r="AD21" s="491"/>
      <c r="AE21" s="90"/>
      <c r="AF21" s="489" t="s">
        <v>445</v>
      </c>
      <c r="AG21" s="490"/>
      <c r="AH21" s="490"/>
      <c r="AI21" s="490"/>
      <c r="AJ21" s="490"/>
      <c r="AK21" s="490"/>
      <c r="AL21" s="490"/>
      <c r="AM21" s="490"/>
      <c r="AN21" s="491"/>
      <c r="AO21" s="100"/>
      <c r="AP21" s="489" t="s">
        <v>445</v>
      </c>
      <c r="AQ21" s="490"/>
      <c r="AR21" s="490"/>
      <c r="AS21" s="490"/>
      <c r="AT21" s="490"/>
      <c r="AU21" s="490"/>
      <c r="AV21" s="490"/>
      <c r="AW21" s="490"/>
      <c r="AX21" s="491"/>
      <c r="AY21" s="90"/>
      <c r="AZ21" s="489" t="s">
        <v>445</v>
      </c>
      <c r="BA21" s="490"/>
      <c r="BB21" s="490"/>
      <c r="BC21" s="490"/>
      <c r="BD21" s="490"/>
      <c r="BE21" s="490"/>
      <c r="BF21" s="490"/>
      <c r="BG21" s="490"/>
      <c r="BH21" s="491"/>
      <c r="BI21" s="100"/>
      <c r="BJ21" s="489" t="s">
        <v>445</v>
      </c>
      <c r="BK21" s="490"/>
      <c r="BL21" s="490"/>
      <c r="BM21" s="490"/>
      <c r="BN21" s="490"/>
      <c r="BO21" s="490"/>
      <c r="BP21" s="490"/>
      <c r="BQ21" s="490"/>
      <c r="BR21" s="491"/>
      <c r="BS21" s="34"/>
      <c r="BT21" s="36"/>
    </row>
    <row r="22" spans="1:72" s="23" customFormat="1" ht="9" customHeight="1" x14ac:dyDescent="0.25">
      <c r="A22" s="30"/>
      <c r="B22" s="87"/>
      <c r="C22" s="87"/>
      <c r="D22" s="87"/>
      <c r="E22" s="87"/>
      <c r="F22" s="87"/>
      <c r="G22" s="87"/>
      <c r="H22" s="87"/>
      <c r="I22" s="87"/>
      <c r="J22" s="89"/>
      <c r="K22" s="92"/>
      <c r="L22" s="87"/>
      <c r="M22" s="87"/>
      <c r="N22" s="87"/>
      <c r="O22" s="87"/>
      <c r="P22" s="87"/>
      <c r="Q22" s="87"/>
      <c r="R22" s="87"/>
      <c r="S22" s="87"/>
      <c r="T22" s="89"/>
      <c r="U22" s="92"/>
      <c r="V22" s="87"/>
      <c r="W22" s="87"/>
      <c r="X22" s="87"/>
      <c r="Y22" s="87"/>
      <c r="Z22" s="87"/>
      <c r="AA22" s="87"/>
      <c r="AB22" s="87"/>
      <c r="AC22" s="87"/>
      <c r="AD22" s="89"/>
      <c r="AE22" s="92"/>
      <c r="AF22" s="87"/>
      <c r="AG22" s="87"/>
      <c r="AH22" s="87"/>
      <c r="AI22" s="87"/>
      <c r="AJ22" s="87"/>
      <c r="AK22" s="87"/>
      <c r="AL22" s="87"/>
      <c r="AM22" s="87"/>
      <c r="AN22" s="89"/>
      <c r="AO22" s="92"/>
      <c r="AP22" s="87"/>
      <c r="AQ22" s="87"/>
      <c r="AR22" s="87"/>
      <c r="AS22" s="87"/>
      <c r="AT22" s="87"/>
      <c r="AU22" s="87"/>
      <c r="AV22" s="87"/>
      <c r="AW22" s="87"/>
      <c r="AX22" s="89"/>
      <c r="AY22" s="87"/>
      <c r="AZ22" s="87"/>
      <c r="BA22" s="87"/>
      <c r="BB22" s="87"/>
      <c r="BC22" s="87"/>
      <c r="BD22" s="87"/>
      <c r="BE22" s="87"/>
      <c r="BF22" s="87"/>
      <c r="BG22" s="87"/>
      <c r="BH22" s="89"/>
      <c r="BI22" s="92"/>
      <c r="BJ22" s="87"/>
      <c r="BK22" s="87"/>
      <c r="BL22" s="87"/>
      <c r="BM22" s="87"/>
      <c r="BN22" s="87"/>
      <c r="BO22" s="87"/>
      <c r="BP22" s="87"/>
      <c r="BQ22" s="87"/>
      <c r="BR22" s="89"/>
      <c r="BS22" s="26"/>
      <c r="BT22" s="31"/>
    </row>
    <row r="23" spans="1:72" s="23" customFormat="1" ht="9" customHeight="1" x14ac:dyDescent="0.25">
      <c r="A23" s="30"/>
      <c r="B23" s="87"/>
      <c r="C23" s="87"/>
      <c r="D23" s="87"/>
      <c r="E23" s="87"/>
      <c r="F23" s="87"/>
      <c r="G23" s="87"/>
      <c r="H23" s="87"/>
      <c r="I23" s="87"/>
      <c r="J23" s="89"/>
      <c r="K23" s="92"/>
      <c r="L23" s="87"/>
      <c r="M23" s="87"/>
      <c r="N23" s="87"/>
      <c r="O23" s="87"/>
      <c r="P23" s="87"/>
      <c r="Q23" s="87"/>
      <c r="R23" s="87"/>
      <c r="S23" s="87"/>
      <c r="T23" s="89"/>
      <c r="U23" s="92"/>
      <c r="V23" s="87"/>
      <c r="W23" s="87"/>
      <c r="X23" s="87"/>
      <c r="Y23" s="87"/>
      <c r="Z23" s="87"/>
      <c r="AA23" s="87"/>
      <c r="AB23" s="87"/>
      <c r="AC23" s="87"/>
      <c r="AD23" s="89"/>
      <c r="AE23" s="92"/>
      <c r="AF23" s="87"/>
      <c r="AG23" s="87"/>
      <c r="AH23" s="87"/>
      <c r="AI23" s="87"/>
      <c r="AJ23" s="87"/>
      <c r="AK23" s="87"/>
      <c r="AL23" s="87"/>
      <c r="AM23" s="87"/>
      <c r="AN23" s="89"/>
      <c r="AO23" s="92"/>
      <c r="AP23" s="87"/>
      <c r="AQ23" s="87"/>
      <c r="AR23" s="87"/>
      <c r="AS23" s="87"/>
      <c r="AT23" s="87"/>
      <c r="AU23" s="87"/>
      <c r="AV23" s="87"/>
      <c r="AW23" s="87"/>
      <c r="AX23" s="89"/>
      <c r="AY23" s="87"/>
      <c r="AZ23" s="87"/>
      <c r="BA23" s="87"/>
      <c r="BB23" s="87"/>
      <c r="BC23" s="87"/>
      <c r="BD23" s="87"/>
      <c r="BE23" s="87"/>
      <c r="BF23" s="87"/>
      <c r="BG23" s="87"/>
      <c r="BH23" s="89"/>
      <c r="BI23" s="92"/>
      <c r="BJ23" s="87"/>
      <c r="BK23" s="87"/>
      <c r="BL23" s="87"/>
      <c r="BM23" s="87"/>
      <c r="BN23" s="87"/>
      <c r="BO23" s="87"/>
      <c r="BP23" s="87"/>
      <c r="BQ23" s="87"/>
      <c r="BR23" s="89"/>
      <c r="BS23" s="26"/>
      <c r="BT23" s="31"/>
    </row>
    <row r="24" spans="1:72" s="23" customFormat="1" ht="9" customHeight="1" x14ac:dyDescent="0.25">
      <c r="A24" s="30"/>
      <c r="B24" s="87"/>
      <c r="C24" s="87"/>
      <c r="D24" s="87"/>
      <c r="E24" s="87"/>
      <c r="F24" s="87"/>
      <c r="G24" s="87"/>
      <c r="H24" s="87"/>
      <c r="I24" s="87"/>
      <c r="J24" s="89"/>
      <c r="K24" s="92"/>
      <c r="L24" s="87"/>
      <c r="M24" s="87"/>
      <c r="N24" s="87"/>
      <c r="O24" s="87"/>
      <c r="P24" s="87"/>
      <c r="Q24" s="87"/>
      <c r="R24" s="87"/>
      <c r="S24" s="87"/>
      <c r="T24" s="89"/>
      <c r="U24" s="92"/>
      <c r="V24" s="87"/>
      <c r="W24" s="87"/>
      <c r="X24" s="87"/>
      <c r="Y24" s="87"/>
      <c r="Z24" s="87"/>
      <c r="AA24" s="87"/>
      <c r="AB24" s="87"/>
      <c r="AC24" s="87"/>
      <c r="AD24" s="89"/>
      <c r="AE24" s="92"/>
      <c r="AF24" s="87"/>
      <c r="AG24" s="87"/>
      <c r="AH24" s="87"/>
      <c r="AI24" s="87"/>
      <c r="AJ24" s="87"/>
      <c r="AK24" s="87"/>
      <c r="AL24" s="87"/>
      <c r="AM24" s="87"/>
      <c r="AN24" s="89"/>
      <c r="AO24" s="92"/>
      <c r="AP24" s="87"/>
      <c r="AQ24" s="87"/>
      <c r="AR24" s="87"/>
      <c r="AS24" s="87"/>
      <c r="AT24" s="87"/>
      <c r="AU24" s="87"/>
      <c r="AV24" s="87"/>
      <c r="AW24" s="87"/>
      <c r="AX24" s="89"/>
      <c r="AY24" s="87"/>
      <c r="AZ24" s="87"/>
      <c r="BA24" s="87"/>
      <c r="BB24" s="87"/>
      <c r="BC24" s="87"/>
      <c r="BD24" s="87"/>
      <c r="BE24" s="87"/>
      <c r="BF24" s="87"/>
      <c r="BG24" s="87"/>
      <c r="BH24" s="89"/>
      <c r="BI24" s="92"/>
      <c r="BJ24" s="87"/>
      <c r="BK24" s="87"/>
      <c r="BL24" s="87"/>
      <c r="BM24" s="87"/>
      <c r="BN24" s="87"/>
      <c r="BO24" s="87"/>
      <c r="BP24" s="87"/>
      <c r="BQ24" s="87"/>
      <c r="BR24" s="89"/>
      <c r="BS24" s="26"/>
      <c r="BT24" s="31"/>
    </row>
    <row r="25" spans="1:72" s="23" customFormat="1" ht="9.75" customHeight="1" x14ac:dyDescent="0.25">
      <c r="A25" s="30"/>
      <c r="B25" s="87"/>
      <c r="C25" s="87"/>
      <c r="D25" s="87"/>
      <c r="E25" s="87"/>
      <c r="F25" s="87"/>
      <c r="G25" s="87"/>
      <c r="H25" s="87"/>
      <c r="I25" s="87"/>
      <c r="J25" s="89"/>
      <c r="K25" s="92"/>
      <c r="L25" s="87"/>
      <c r="M25" s="87"/>
      <c r="N25" s="87"/>
      <c r="O25" s="87"/>
      <c r="P25" s="87"/>
      <c r="Q25" s="87"/>
      <c r="R25" s="87"/>
      <c r="S25" s="87"/>
      <c r="T25" s="89"/>
      <c r="U25" s="92"/>
      <c r="V25" s="87"/>
      <c r="W25" s="87"/>
      <c r="X25" s="87"/>
      <c r="Y25" s="87"/>
      <c r="Z25" s="87"/>
      <c r="AA25" s="87"/>
      <c r="AB25" s="87"/>
      <c r="AC25" s="87"/>
      <c r="AD25" s="89"/>
      <c r="AE25" s="92"/>
      <c r="AF25" s="87"/>
      <c r="AG25" s="87"/>
      <c r="AH25" s="87"/>
      <c r="AI25" s="87"/>
      <c r="AJ25" s="87"/>
      <c r="AK25" s="87"/>
      <c r="AL25" s="87"/>
      <c r="AM25" s="87"/>
      <c r="AN25" s="89"/>
      <c r="AO25" s="92"/>
      <c r="AP25" s="87"/>
      <c r="AQ25" s="87"/>
      <c r="AR25" s="87"/>
      <c r="AS25" s="87"/>
      <c r="AT25" s="87"/>
      <c r="AU25" s="87"/>
      <c r="AV25" s="87"/>
      <c r="AW25" s="87"/>
      <c r="AX25" s="89"/>
      <c r="AY25" s="87"/>
      <c r="AZ25" s="87"/>
      <c r="BA25" s="87"/>
      <c r="BB25" s="87"/>
      <c r="BC25" s="87"/>
      <c r="BD25" s="87"/>
      <c r="BE25" s="87"/>
      <c r="BF25" s="87"/>
      <c r="BG25" s="87"/>
      <c r="BH25" s="89"/>
      <c r="BI25" s="92"/>
      <c r="BJ25" s="87"/>
      <c r="BK25" s="87"/>
      <c r="BL25" s="87"/>
      <c r="BM25" s="87"/>
      <c r="BN25" s="87"/>
      <c r="BO25" s="87"/>
      <c r="BP25" s="87"/>
      <c r="BQ25" s="87"/>
      <c r="BR25" s="89"/>
      <c r="BS25" s="26"/>
      <c r="BT25" s="31"/>
    </row>
    <row r="26" spans="1:72" s="39" customFormat="1" ht="9" customHeight="1" x14ac:dyDescent="0.25">
      <c r="A26" s="37"/>
      <c r="B26" s="87"/>
      <c r="C26" s="87"/>
      <c r="D26" s="87"/>
      <c r="E26" s="87"/>
      <c r="F26" s="87"/>
      <c r="G26" s="87"/>
      <c r="H26" s="87"/>
      <c r="I26" s="87"/>
      <c r="J26" s="89"/>
      <c r="K26" s="109"/>
      <c r="L26" s="87"/>
      <c r="M26" s="87"/>
      <c r="N26" s="87"/>
      <c r="O26" s="87"/>
      <c r="P26" s="87"/>
      <c r="Q26" s="87"/>
      <c r="R26" s="87"/>
      <c r="S26" s="87"/>
      <c r="T26" s="89"/>
      <c r="U26" s="109"/>
      <c r="V26" s="87"/>
      <c r="W26" s="87"/>
      <c r="X26" s="87"/>
      <c r="Y26" s="87"/>
      <c r="Z26" s="87"/>
      <c r="AA26" s="87"/>
      <c r="AB26" s="87"/>
      <c r="AC26" s="87"/>
      <c r="AD26" s="89"/>
      <c r="AE26" s="109"/>
      <c r="AF26" s="87"/>
      <c r="AG26" s="87"/>
      <c r="AH26" s="87"/>
      <c r="AI26" s="87"/>
      <c r="AJ26" s="87"/>
      <c r="AK26" s="87"/>
      <c r="AL26" s="87"/>
      <c r="AM26" s="87"/>
      <c r="AN26" s="89"/>
      <c r="AO26" s="109"/>
      <c r="AP26" s="87"/>
      <c r="AQ26" s="87"/>
      <c r="AR26" s="87"/>
      <c r="AS26" s="87"/>
      <c r="AT26" s="87"/>
      <c r="AU26" s="87"/>
      <c r="AV26" s="87"/>
      <c r="AW26" s="87"/>
      <c r="AX26" s="89"/>
      <c r="AY26" s="106"/>
      <c r="AZ26" s="87"/>
      <c r="BA26" s="87"/>
      <c r="BB26" s="87"/>
      <c r="BC26" s="87"/>
      <c r="BD26" s="87"/>
      <c r="BE26" s="87"/>
      <c r="BF26" s="87"/>
      <c r="BG26" s="87"/>
      <c r="BH26" s="89"/>
      <c r="BI26" s="92"/>
      <c r="BJ26" s="87"/>
      <c r="BK26" s="87"/>
      <c r="BL26" s="87"/>
      <c r="BM26" s="87"/>
      <c r="BN26" s="87"/>
      <c r="BO26" s="87"/>
      <c r="BP26" s="87"/>
      <c r="BQ26" s="87"/>
      <c r="BR26" s="89"/>
      <c r="BS26" s="38"/>
      <c r="BT26" s="31"/>
    </row>
    <row r="27" spans="1:72" s="39" customFormat="1" ht="9" customHeight="1" x14ac:dyDescent="0.25">
      <c r="A27" s="37"/>
      <c r="B27" s="87"/>
      <c r="C27" s="87"/>
      <c r="D27" s="87"/>
      <c r="E27" s="87"/>
      <c r="F27" s="87"/>
      <c r="G27" s="87"/>
      <c r="H27" s="87"/>
      <c r="I27" s="87"/>
      <c r="J27" s="89"/>
      <c r="K27" s="109"/>
      <c r="L27" s="87"/>
      <c r="M27" s="87"/>
      <c r="N27" s="87"/>
      <c r="O27" s="87"/>
      <c r="P27" s="87"/>
      <c r="Q27" s="87"/>
      <c r="R27" s="87"/>
      <c r="S27" s="87"/>
      <c r="T27" s="89"/>
      <c r="U27" s="109"/>
      <c r="V27" s="87"/>
      <c r="W27" s="87"/>
      <c r="X27" s="87"/>
      <c r="Y27" s="87"/>
      <c r="Z27" s="87"/>
      <c r="AA27" s="87"/>
      <c r="AB27" s="87"/>
      <c r="AC27" s="87"/>
      <c r="AD27" s="89"/>
      <c r="AE27" s="109"/>
      <c r="AF27" s="87"/>
      <c r="AG27" s="87"/>
      <c r="AH27" s="87"/>
      <c r="AI27" s="87"/>
      <c r="AJ27" s="87"/>
      <c r="AK27" s="87"/>
      <c r="AL27" s="87"/>
      <c r="AM27" s="87"/>
      <c r="AN27" s="89"/>
      <c r="AO27" s="109"/>
      <c r="AP27" s="87"/>
      <c r="AQ27" s="87"/>
      <c r="AR27" s="87"/>
      <c r="AS27" s="87"/>
      <c r="AT27" s="87"/>
      <c r="AU27" s="87"/>
      <c r="AV27" s="87"/>
      <c r="AW27" s="87"/>
      <c r="AX27" s="89"/>
      <c r="AY27" s="106"/>
      <c r="AZ27" s="87"/>
      <c r="BA27" s="87"/>
      <c r="BB27" s="87"/>
      <c r="BC27" s="87"/>
      <c r="BD27" s="87"/>
      <c r="BE27" s="87"/>
      <c r="BF27" s="87"/>
      <c r="BG27" s="87"/>
      <c r="BH27" s="89"/>
      <c r="BI27" s="92"/>
      <c r="BJ27" s="87"/>
      <c r="BK27" s="87"/>
      <c r="BL27" s="87"/>
      <c r="BM27" s="87"/>
      <c r="BN27" s="87"/>
      <c r="BO27" s="87"/>
      <c r="BP27" s="87"/>
      <c r="BQ27" s="87"/>
      <c r="BR27" s="89"/>
      <c r="BS27" s="38"/>
      <c r="BT27" s="31"/>
    </row>
    <row r="28" spans="1:72" s="39" customFormat="1" ht="9" customHeight="1" x14ac:dyDescent="0.25">
      <c r="A28" s="37"/>
      <c r="B28" s="96"/>
      <c r="C28" s="96"/>
      <c r="D28" s="96"/>
      <c r="E28" s="96"/>
      <c r="F28" s="96"/>
      <c r="G28" s="96"/>
      <c r="H28" s="96"/>
      <c r="I28" s="96"/>
      <c r="J28" s="97"/>
      <c r="K28" s="109"/>
      <c r="L28" s="96"/>
      <c r="M28" s="96"/>
      <c r="N28" s="96"/>
      <c r="O28" s="96"/>
      <c r="P28" s="96"/>
      <c r="Q28" s="96"/>
      <c r="R28" s="96"/>
      <c r="S28" s="96"/>
      <c r="T28" s="97"/>
      <c r="U28" s="109"/>
      <c r="V28" s="96"/>
      <c r="W28" s="96"/>
      <c r="X28" s="96"/>
      <c r="Y28" s="96"/>
      <c r="Z28" s="96"/>
      <c r="AA28" s="96"/>
      <c r="AB28" s="96"/>
      <c r="AC28" s="96"/>
      <c r="AD28" s="97"/>
      <c r="AE28" s="109"/>
      <c r="AF28" s="96"/>
      <c r="AG28" s="96"/>
      <c r="AH28" s="96"/>
      <c r="AI28" s="96"/>
      <c r="AJ28" s="96"/>
      <c r="AK28" s="96"/>
      <c r="AL28" s="96"/>
      <c r="AM28" s="96"/>
      <c r="AN28" s="97"/>
      <c r="AO28" s="109"/>
      <c r="AP28" s="96"/>
      <c r="AQ28" s="96"/>
      <c r="AR28" s="96"/>
      <c r="AS28" s="96"/>
      <c r="AT28" s="96"/>
      <c r="AU28" s="96"/>
      <c r="AV28" s="96"/>
      <c r="AW28" s="96"/>
      <c r="AX28" s="97"/>
      <c r="AY28" s="106"/>
      <c r="AZ28" s="96"/>
      <c r="BA28" s="96"/>
      <c r="BB28" s="96"/>
      <c r="BC28" s="96"/>
      <c r="BD28" s="96"/>
      <c r="BE28" s="96"/>
      <c r="BF28" s="96"/>
      <c r="BG28" s="96"/>
      <c r="BH28" s="97"/>
      <c r="BI28" s="92"/>
      <c r="BJ28" s="96"/>
      <c r="BK28" s="96"/>
      <c r="BL28" s="96"/>
      <c r="BM28" s="96"/>
      <c r="BN28" s="96"/>
      <c r="BO28" s="96"/>
      <c r="BP28" s="96"/>
      <c r="BQ28" s="96"/>
      <c r="BR28" s="97"/>
      <c r="BS28" s="38"/>
      <c r="BT28" s="31"/>
    </row>
    <row r="29" spans="1:72" s="39" customFormat="1" ht="9" customHeight="1" x14ac:dyDescent="0.25">
      <c r="A29" s="38"/>
      <c r="B29" s="116"/>
      <c r="C29" s="96"/>
      <c r="D29" s="96"/>
      <c r="E29" s="96"/>
      <c r="F29" s="96"/>
      <c r="G29" s="96"/>
      <c r="H29" s="96"/>
      <c r="I29" s="96"/>
      <c r="J29" s="97"/>
      <c r="K29" s="109"/>
      <c r="L29" s="96"/>
      <c r="M29" s="96"/>
      <c r="N29" s="96"/>
      <c r="O29" s="96"/>
      <c r="P29" s="96"/>
      <c r="Q29" s="96"/>
      <c r="R29" s="96"/>
      <c r="S29" s="96"/>
      <c r="T29" s="97"/>
      <c r="U29" s="109"/>
      <c r="V29" s="96"/>
      <c r="W29" s="96"/>
      <c r="X29" s="96"/>
      <c r="Y29" s="96"/>
      <c r="Z29" s="96"/>
      <c r="AA29" s="96"/>
      <c r="AB29" s="96"/>
      <c r="AC29" s="96"/>
      <c r="AD29" s="97"/>
      <c r="AE29" s="109"/>
      <c r="AF29" s="96"/>
      <c r="AG29" s="96"/>
      <c r="AH29" s="96"/>
      <c r="AI29" s="96"/>
      <c r="AJ29" s="96"/>
      <c r="AK29" s="96"/>
      <c r="AL29" s="96"/>
      <c r="AM29" s="96"/>
      <c r="AN29" s="97"/>
      <c r="AO29" s="109"/>
      <c r="AP29" s="96"/>
      <c r="AQ29" s="96"/>
      <c r="AR29" s="96"/>
      <c r="AS29" s="96"/>
      <c r="AT29" s="96"/>
      <c r="AU29" s="96"/>
      <c r="AV29" s="96"/>
      <c r="AW29" s="96"/>
      <c r="AX29" s="97"/>
      <c r="AY29" s="106"/>
      <c r="AZ29" s="96"/>
      <c r="BA29" s="96"/>
      <c r="BB29" s="96"/>
      <c r="BC29" s="96"/>
      <c r="BD29" s="96"/>
      <c r="BE29" s="96"/>
      <c r="BF29" s="96"/>
      <c r="BG29" s="96"/>
      <c r="BH29" s="97"/>
      <c r="BI29" s="92"/>
      <c r="BJ29" s="96"/>
      <c r="BK29" s="96"/>
      <c r="BL29" s="96"/>
      <c r="BM29" s="96"/>
      <c r="BN29" s="96"/>
      <c r="BO29" s="96"/>
      <c r="BP29" s="96"/>
      <c r="BQ29" s="96"/>
      <c r="BR29" s="97"/>
      <c r="BS29" s="38"/>
      <c r="BT29" s="31"/>
    </row>
    <row r="30" spans="1:72" s="39" customFormat="1" ht="9" customHeight="1" x14ac:dyDescent="0.25">
      <c r="B30" s="88"/>
      <c r="C30" s="87"/>
      <c r="D30" s="87"/>
      <c r="E30" s="87"/>
      <c r="F30" s="87"/>
      <c r="G30" s="87"/>
      <c r="H30" s="87"/>
      <c r="I30" s="87"/>
      <c r="J30" s="89"/>
      <c r="K30" s="109"/>
      <c r="L30" s="87"/>
      <c r="M30" s="87"/>
      <c r="N30" s="87"/>
      <c r="O30" s="87"/>
      <c r="P30" s="87"/>
      <c r="Q30" s="87"/>
      <c r="R30" s="87"/>
      <c r="S30" s="87"/>
      <c r="T30" s="89"/>
      <c r="U30" s="109"/>
      <c r="V30" s="87"/>
      <c r="W30" s="87"/>
      <c r="X30" s="87"/>
      <c r="Y30" s="87"/>
      <c r="Z30" s="87"/>
      <c r="AA30" s="87"/>
      <c r="AB30" s="87"/>
      <c r="AC30" s="87"/>
      <c r="AD30" s="89"/>
      <c r="AE30" s="109"/>
      <c r="AF30" s="87"/>
      <c r="AG30" s="87"/>
      <c r="AH30" s="87"/>
      <c r="AI30" s="87"/>
      <c r="AJ30" s="87"/>
      <c r="AK30" s="87"/>
      <c r="AL30" s="87"/>
      <c r="AM30" s="87"/>
      <c r="AN30" s="89"/>
      <c r="AO30" s="109"/>
      <c r="AP30" s="87"/>
      <c r="AQ30" s="87"/>
      <c r="AR30" s="87"/>
      <c r="AS30" s="87"/>
      <c r="AT30" s="87"/>
      <c r="AU30" s="87"/>
      <c r="AV30" s="87"/>
      <c r="AW30" s="87"/>
      <c r="AX30" s="89"/>
      <c r="AY30" s="106"/>
      <c r="AZ30" s="87"/>
      <c r="BA30" s="87"/>
      <c r="BB30" s="87"/>
      <c r="BC30" s="87"/>
      <c r="BD30" s="87"/>
      <c r="BE30" s="87"/>
      <c r="BF30" s="87"/>
      <c r="BG30" s="87"/>
      <c r="BH30" s="89"/>
      <c r="BI30" s="92"/>
      <c r="BJ30" s="87"/>
      <c r="BK30" s="87"/>
      <c r="BL30" s="87"/>
      <c r="BM30" s="87"/>
      <c r="BN30" s="87"/>
      <c r="BO30" s="87"/>
      <c r="BP30" s="87"/>
      <c r="BQ30" s="87"/>
      <c r="BR30" s="89"/>
      <c r="BS30" s="38"/>
      <c r="BT30" s="31"/>
    </row>
    <row r="31" spans="1:72" s="39" customFormat="1" ht="9" customHeight="1" x14ac:dyDescent="0.25">
      <c r="A31" s="38"/>
      <c r="B31" s="492" t="s">
        <v>417</v>
      </c>
      <c r="C31" s="492"/>
      <c r="D31" s="492"/>
      <c r="E31" s="492"/>
      <c r="F31" s="492"/>
      <c r="G31" s="493">
        <f>CEILING(2045*B5,1)</f>
        <v>2863</v>
      </c>
      <c r="H31" s="493"/>
      <c r="I31" s="493"/>
      <c r="J31" s="493"/>
      <c r="K31" s="227"/>
      <c r="L31" s="492" t="s">
        <v>417</v>
      </c>
      <c r="M31" s="492"/>
      <c r="N31" s="492"/>
      <c r="O31" s="492"/>
      <c r="P31" s="492"/>
      <c r="Q31" s="493">
        <f>CEILING(2388*B5,1)</f>
        <v>3344</v>
      </c>
      <c r="R31" s="493"/>
      <c r="S31" s="493"/>
      <c r="T31" s="493"/>
      <c r="U31" s="227"/>
      <c r="V31" s="492" t="s">
        <v>417</v>
      </c>
      <c r="W31" s="492"/>
      <c r="X31" s="492"/>
      <c r="Y31" s="492"/>
      <c r="Z31" s="492"/>
      <c r="AA31" s="493">
        <f>CEILING(2932*B5,1)</f>
        <v>4105</v>
      </c>
      <c r="AB31" s="493"/>
      <c r="AC31" s="493"/>
      <c r="AD31" s="493"/>
      <c r="AE31" s="227"/>
      <c r="AF31" s="492" t="s">
        <v>417</v>
      </c>
      <c r="AG31" s="492"/>
      <c r="AH31" s="492"/>
      <c r="AI31" s="492"/>
      <c r="AJ31" s="492"/>
      <c r="AK31" s="493">
        <f>CEILING(3523*B5,1)</f>
        <v>4933</v>
      </c>
      <c r="AL31" s="493"/>
      <c r="AM31" s="493"/>
      <c r="AN31" s="493"/>
      <c r="AO31" s="227"/>
      <c r="AP31" s="492" t="s">
        <v>417</v>
      </c>
      <c r="AQ31" s="492"/>
      <c r="AR31" s="492"/>
      <c r="AS31" s="492"/>
      <c r="AT31" s="492"/>
      <c r="AU31" s="493">
        <f>CEILING(3135*B5,1)</f>
        <v>4389</v>
      </c>
      <c r="AV31" s="493"/>
      <c r="AW31" s="493"/>
      <c r="AX31" s="493"/>
      <c r="AY31" s="227"/>
      <c r="AZ31" s="492" t="s">
        <v>417</v>
      </c>
      <c r="BA31" s="492"/>
      <c r="BB31" s="492"/>
      <c r="BC31" s="492"/>
      <c r="BD31" s="492"/>
      <c r="BE31" s="493">
        <f>CEILING(2999*B5,1)</f>
        <v>4199</v>
      </c>
      <c r="BF31" s="493"/>
      <c r="BG31" s="493"/>
      <c r="BH31" s="493"/>
      <c r="BI31" s="227"/>
      <c r="BJ31" s="492" t="s">
        <v>417</v>
      </c>
      <c r="BK31" s="492"/>
      <c r="BL31" s="492"/>
      <c r="BM31" s="492"/>
      <c r="BN31" s="492"/>
      <c r="BO31" s="493">
        <f>CEILING(3409*B5,1)</f>
        <v>4773</v>
      </c>
      <c r="BP31" s="493"/>
      <c r="BQ31" s="493"/>
      <c r="BR31" s="493"/>
      <c r="BS31" s="38"/>
      <c r="BT31" s="40"/>
    </row>
    <row r="32" spans="1:72" s="23" customFormat="1" ht="1.5" customHeight="1" x14ac:dyDescent="0.25">
      <c r="A32" s="26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202"/>
      <c r="AL32" s="202"/>
      <c r="AM32" s="202"/>
      <c r="AN32" s="87"/>
      <c r="AO32" s="87"/>
      <c r="AP32" s="87"/>
      <c r="AQ32" s="202"/>
      <c r="AR32" s="202"/>
      <c r="AS32" s="202"/>
      <c r="AT32" s="202"/>
      <c r="AU32" s="202"/>
      <c r="AV32" s="202"/>
      <c r="AW32" s="202"/>
      <c r="AX32" s="202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112"/>
      <c r="BS32" s="26"/>
      <c r="BT32" s="31"/>
    </row>
    <row r="33" spans="1:72" s="39" customFormat="1" ht="9" customHeight="1" x14ac:dyDescent="0.25">
      <c r="A33" s="38"/>
      <c r="B33" s="474" t="s">
        <v>447</v>
      </c>
      <c r="C33" s="475"/>
      <c r="D33" s="476"/>
      <c r="E33" s="504" t="s">
        <v>446</v>
      </c>
      <c r="F33" s="505"/>
      <c r="G33" s="505"/>
      <c r="H33" s="505"/>
      <c r="I33" s="505"/>
      <c r="J33" s="506"/>
      <c r="K33" s="106"/>
      <c r="L33" s="474" t="s">
        <v>448</v>
      </c>
      <c r="M33" s="475"/>
      <c r="N33" s="476"/>
      <c r="O33" s="504" t="s">
        <v>446</v>
      </c>
      <c r="P33" s="505"/>
      <c r="Q33" s="505"/>
      <c r="R33" s="505"/>
      <c r="S33" s="505"/>
      <c r="T33" s="506"/>
      <c r="U33" s="106"/>
      <c r="V33" s="474" t="s">
        <v>449</v>
      </c>
      <c r="W33" s="475"/>
      <c r="X33" s="476"/>
      <c r="Y33" s="504" t="s">
        <v>446</v>
      </c>
      <c r="Z33" s="505"/>
      <c r="AA33" s="505"/>
      <c r="AB33" s="505"/>
      <c r="AC33" s="505"/>
      <c r="AD33" s="506"/>
      <c r="AE33" s="106"/>
      <c r="AF33" s="474" t="s">
        <v>450</v>
      </c>
      <c r="AG33" s="475"/>
      <c r="AH33" s="476"/>
      <c r="AI33" s="504" t="s">
        <v>446</v>
      </c>
      <c r="AJ33" s="505"/>
      <c r="AK33" s="505"/>
      <c r="AL33" s="505"/>
      <c r="AM33" s="505"/>
      <c r="AN33" s="506"/>
      <c r="AO33" s="106"/>
      <c r="AP33" s="474" t="s">
        <v>451</v>
      </c>
      <c r="AQ33" s="475"/>
      <c r="AR33" s="476"/>
      <c r="AS33" s="504" t="s">
        <v>446</v>
      </c>
      <c r="AT33" s="505"/>
      <c r="AU33" s="505"/>
      <c r="AV33" s="505"/>
      <c r="AW33" s="505"/>
      <c r="AX33" s="506"/>
      <c r="AY33" s="108"/>
      <c r="AZ33" s="474" t="s">
        <v>452</v>
      </c>
      <c r="BA33" s="475"/>
      <c r="BB33" s="476"/>
      <c r="BC33" s="504" t="s">
        <v>446</v>
      </c>
      <c r="BD33" s="505"/>
      <c r="BE33" s="505"/>
      <c r="BF33" s="505"/>
      <c r="BG33" s="505"/>
      <c r="BH33" s="506"/>
      <c r="BI33" s="106"/>
      <c r="BJ33" s="474" t="s">
        <v>453</v>
      </c>
      <c r="BK33" s="475"/>
      <c r="BL33" s="476"/>
      <c r="BM33" s="504" t="s">
        <v>446</v>
      </c>
      <c r="BN33" s="505"/>
      <c r="BO33" s="505"/>
      <c r="BP33" s="505"/>
      <c r="BQ33" s="505"/>
      <c r="BR33" s="506"/>
      <c r="BS33" s="38"/>
      <c r="BT33" s="40"/>
    </row>
    <row r="34" spans="1:72" s="32" customFormat="1" ht="9" customHeight="1" x14ac:dyDescent="0.25">
      <c r="B34" s="116"/>
      <c r="C34" s="96"/>
      <c r="D34" s="96"/>
      <c r="E34" s="96"/>
      <c r="F34" s="96"/>
      <c r="G34" s="96"/>
      <c r="H34" s="96"/>
      <c r="I34" s="96"/>
      <c r="J34" s="97"/>
      <c r="K34" s="90"/>
      <c r="L34" s="116"/>
      <c r="M34" s="96"/>
      <c r="N34" s="96"/>
      <c r="O34" s="96"/>
      <c r="P34" s="96"/>
      <c r="Q34" s="96"/>
      <c r="R34" s="96"/>
      <c r="S34" s="96"/>
      <c r="T34" s="97"/>
      <c r="U34" s="90"/>
      <c r="V34" s="116"/>
      <c r="W34" s="96"/>
      <c r="X34" s="96"/>
      <c r="Y34" s="96"/>
      <c r="Z34" s="96"/>
      <c r="AA34" s="96"/>
      <c r="AB34" s="96"/>
      <c r="AC34" s="96"/>
      <c r="AD34" s="97"/>
      <c r="AE34" s="90"/>
      <c r="AF34" s="116"/>
      <c r="AG34" s="96"/>
      <c r="AH34" s="96"/>
      <c r="AI34" s="96"/>
      <c r="AJ34" s="96"/>
      <c r="AK34" s="96"/>
      <c r="AL34" s="96"/>
      <c r="AM34" s="96"/>
      <c r="AN34" s="97"/>
      <c r="AO34" s="90"/>
      <c r="AP34" s="116"/>
      <c r="AQ34" s="96"/>
      <c r="AR34" s="96"/>
      <c r="AS34" s="96"/>
      <c r="AT34" s="96"/>
      <c r="AU34" s="96"/>
      <c r="AV34" s="96"/>
      <c r="AW34" s="96"/>
      <c r="AX34" s="97"/>
      <c r="AY34" s="91"/>
      <c r="AZ34" s="116"/>
      <c r="BA34" s="96"/>
      <c r="BB34" s="96"/>
      <c r="BC34" s="96"/>
      <c r="BD34" s="96"/>
      <c r="BE34" s="96"/>
      <c r="BF34" s="96"/>
      <c r="BG34" s="96"/>
      <c r="BH34" s="97"/>
      <c r="BI34" s="90"/>
      <c r="BJ34" s="116"/>
      <c r="BK34" s="96"/>
      <c r="BL34" s="96"/>
      <c r="BM34" s="96"/>
      <c r="BN34" s="96"/>
      <c r="BO34" s="96"/>
      <c r="BP34" s="96"/>
      <c r="BQ34" s="96"/>
      <c r="BR34" s="97"/>
      <c r="BS34" s="34"/>
      <c r="BT34" s="36"/>
    </row>
    <row r="35" spans="1:72" s="23" customFormat="1" ht="9" customHeight="1" x14ac:dyDescent="0.25">
      <c r="B35" s="88"/>
      <c r="C35" s="87"/>
      <c r="D35" s="87"/>
      <c r="E35" s="87"/>
      <c r="F35" s="87"/>
      <c r="G35" s="87"/>
      <c r="H35" s="87"/>
      <c r="I35" s="87"/>
      <c r="J35" s="89"/>
      <c r="K35" s="87"/>
      <c r="L35" s="88"/>
      <c r="M35" s="87"/>
      <c r="N35" s="87"/>
      <c r="O35" s="87"/>
      <c r="P35" s="87"/>
      <c r="Q35" s="87"/>
      <c r="R35" s="87"/>
      <c r="S35" s="87"/>
      <c r="T35" s="89"/>
      <c r="U35" s="87"/>
      <c r="V35" s="103"/>
      <c r="W35" s="90"/>
      <c r="X35" s="90"/>
      <c r="Y35" s="90"/>
      <c r="Z35" s="90"/>
      <c r="AA35" s="90"/>
      <c r="AB35" s="90"/>
      <c r="AC35" s="90"/>
      <c r="AD35" s="91"/>
      <c r="AE35" s="87"/>
      <c r="AF35" s="103"/>
      <c r="AG35" s="90"/>
      <c r="AH35" s="90"/>
      <c r="AI35" s="90"/>
      <c r="AJ35" s="90"/>
      <c r="AK35" s="90"/>
      <c r="AL35" s="90"/>
      <c r="AM35" s="90"/>
      <c r="AN35" s="91"/>
      <c r="AO35" s="89"/>
      <c r="AP35" s="103"/>
      <c r="AQ35" s="90"/>
      <c r="AR35" s="90"/>
      <c r="AS35" s="90"/>
      <c r="AT35" s="90"/>
      <c r="AU35" s="90"/>
      <c r="AV35" s="90"/>
      <c r="AW35" s="90"/>
      <c r="AX35" s="91"/>
      <c r="AY35" s="89"/>
      <c r="AZ35" s="103"/>
      <c r="BA35" s="90"/>
      <c r="BB35" s="90"/>
      <c r="BC35" s="90"/>
      <c r="BD35" s="90"/>
      <c r="BE35" s="90"/>
      <c r="BF35" s="90"/>
      <c r="BG35" s="90"/>
      <c r="BH35" s="91"/>
      <c r="BI35" s="87"/>
      <c r="BJ35" s="103"/>
      <c r="BK35" s="90"/>
      <c r="BL35" s="90"/>
      <c r="BM35" s="90"/>
      <c r="BN35" s="90"/>
      <c r="BO35" s="90"/>
      <c r="BP35" s="90"/>
      <c r="BQ35" s="90"/>
      <c r="BR35" s="91"/>
      <c r="BS35" s="26"/>
      <c r="BT35" s="31"/>
    </row>
    <row r="36" spans="1:72" s="23" customFormat="1" ht="9" customHeight="1" x14ac:dyDescent="0.25">
      <c r="B36" s="88"/>
      <c r="C36" s="87"/>
      <c r="D36" s="87"/>
      <c r="E36" s="87"/>
      <c r="F36" s="87"/>
      <c r="G36" s="87"/>
      <c r="H36" s="87"/>
      <c r="I36" s="87"/>
      <c r="J36" s="89"/>
      <c r="K36" s="87"/>
      <c r="L36" s="88"/>
      <c r="M36" s="87"/>
      <c r="N36" s="87"/>
      <c r="O36" s="87"/>
      <c r="P36" s="87"/>
      <c r="Q36" s="87"/>
      <c r="R36" s="87"/>
      <c r="S36" s="87"/>
      <c r="T36" s="89"/>
      <c r="U36" s="87"/>
      <c r="V36" s="103"/>
      <c r="W36" s="90"/>
      <c r="X36" s="90"/>
      <c r="Y36" s="90"/>
      <c r="Z36" s="90"/>
      <c r="AA36" s="90"/>
      <c r="AB36" s="90"/>
      <c r="AC36" s="90"/>
      <c r="AD36" s="91"/>
      <c r="AE36" s="87"/>
      <c r="AF36" s="103"/>
      <c r="AG36" s="90"/>
      <c r="AH36" s="90"/>
      <c r="AI36" s="90"/>
      <c r="AJ36" s="90"/>
      <c r="AK36" s="90"/>
      <c r="AL36" s="90"/>
      <c r="AM36" s="90"/>
      <c r="AN36" s="91"/>
      <c r="AO36" s="89"/>
      <c r="AP36" s="103"/>
      <c r="AQ36" s="90"/>
      <c r="AR36" s="90"/>
      <c r="AS36" s="90"/>
      <c r="AT36" s="90"/>
      <c r="AU36" s="90"/>
      <c r="AV36" s="90"/>
      <c r="AW36" s="90"/>
      <c r="AX36" s="91"/>
      <c r="AY36" s="89"/>
      <c r="AZ36" s="103"/>
      <c r="BA36" s="90"/>
      <c r="BB36" s="90"/>
      <c r="BC36" s="90"/>
      <c r="BD36" s="90"/>
      <c r="BE36" s="90"/>
      <c r="BF36" s="90"/>
      <c r="BG36" s="90"/>
      <c r="BH36" s="91"/>
      <c r="BI36" s="87"/>
      <c r="BJ36" s="103"/>
      <c r="BK36" s="90"/>
      <c r="BL36" s="90"/>
      <c r="BM36" s="90"/>
      <c r="BN36" s="90"/>
      <c r="BO36" s="90"/>
      <c r="BP36" s="90"/>
      <c r="BQ36" s="90"/>
      <c r="BR36" s="91"/>
      <c r="BS36" s="26"/>
      <c r="BT36" s="31"/>
    </row>
    <row r="37" spans="1:72" s="23" customFormat="1" ht="9.75" customHeight="1" x14ac:dyDescent="0.25">
      <c r="B37" s="88"/>
      <c r="C37" s="87"/>
      <c r="D37" s="87"/>
      <c r="E37" s="87"/>
      <c r="F37" s="87"/>
      <c r="G37" s="87"/>
      <c r="H37" s="87"/>
      <c r="I37" s="87"/>
      <c r="J37" s="89"/>
      <c r="K37" s="87"/>
      <c r="L37" s="88"/>
      <c r="M37" s="87"/>
      <c r="N37" s="87"/>
      <c r="O37" s="87"/>
      <c r="P37" s="87"/>
      <c r="Q37" s="87"/>
      <c r="R37" s="87"/>
      <c r="S37" s="87"/>
      <c r="T37" s="89"/>
      <c r="U37" s="87"/>
      <c r="V37" s="88"/>
      <c r="W37" s="87"/>
      <c r="X37" s="87"/>
      <c r="Y37" s="87"/>
      <c r="Z37" s="87"/>
      <c r="AA37" s="87"/>
      <c r="AB37" s="87"/>
      <c r="AC37" s="87"/>
      <c r="AD37" s="89"/>
      <c r="AE37" s="87"/>
      <c r="AF37" s="88"/>
      <c r="AG37" s="87"/>
      <c r="AH37" s="87"/>
      <c r="AI37" s="87"/>
      <c r="AJ37" s="87"/>
      <c r="AK37" s="87"/>
      <c r="AL37" s="87"/>
      <c r="AM37" s="87"/>
      <c r="AN37" s="89"/>
      <c r="AO37" s="89"/>
      <c r="AP37" s="88"/>
      <c r="AQ37" s="87"/>
      <c r="AR37" s="87"/>
      <c r="AS37" s="87"/>
      <c r="AT37" s="87"/>
      <c r="AU37" s="87"/>
      <c r="AV37" s="87"/>
      <c r="AW37" s="87"/>
      <c r="AX37" s="89"/>
      <c r="AY37" s="89"/>
      <c r="AZ37" s="88"/>
      <c r="BA37" s="87"/>
      <c r="BB37" s="87"/>
      <c r="BC37" s="87"/>
      <c r="BD37" s="87"/>
      <c r="BE37" s="87"/>
      <c r="BF37" s="87"/>
      <c r="BG37" s="87"/>
      <c r="BH37" s="89"/>
      <c r="BI37" s="87"/>
      <c r="BJ37" s="88"/>
      <c r="BK37" s="87"/>
      <c r="BL37" s="87"/>
      <c r="BM37" s="87"/>
      <c r="BN37" s="87"/>
      <c r="BO37" s="87"/>
      <c r="BP37" s="87"/>
      <c r="BQ37" s="87"/>
      <c r="BR37" s="89"/>
      <c r="BS37" s="26"/>
      <c r="BT37" s="31"/>
    </row>
    <row r="38" spans="1:72" s="23" customFormat="1" ht="9.75" customHeight="1" x14ac:dyDescent="0.25">
      <c r="B38" s="88"/>
      <c r="C38" s="87"/>
      <c r="D38" s="87"/>
      <c r="E38" s="87"/>
      <c r="F38" s="87"/>
      <c r="G38" s="87"/>
      <c r="H38" s="87"/>
      <c r="I38" s="87"/>
      <c r="J38" s="89"/>
      <c r="K38" s="87"/>
      <c r="L38" s="88"/>
      <c r="M38" s="87"/>
      <c r="N38" s="87"/>
      <c r="O38" s="87"/>
      <c r="P38" s="87"/>
      <c r="Q38" s="87"/>
      <c r="R38" s="87"/>
      <c r="S38" s="87"/>
      <c r="T38" s="89"/>
      <c r="U38" s="87"/>
      <c r="V38" s="88"/>
      <c r="W38" s="87"/>
      <c r="X38" s="87"/>
      <c r="Y38" s="87"/>
      <c r="Z38" s="87"/>
      <c r="AA38" s="87"/>
      <c r="AB38" s="87"/>
      <c r="AC38" s="87"/>
      <c r="AD38" s="89"/>
      <c r="AE38" s="87"/>
      <c r="AF38" s="88"/>
      <c r="AG38" s="87"/>
      <c r="AH38" s="87"/>
      <c r="AI38" s="87"/>
      <c r="AJ38" s="87"/>
      <c r="AK38" s="87"/>
      <c r="AL38" s="87"/>
      <c r="AM38" s="87"/>
      <c r="AN38" s="89"/>
      <c r="AO38" s="89"/>
      <c r="AP38" s="88"/>
      <c r="AQ38" s="87"/>
      <c r="AR38" s="87"/>
      <c r="AS38" s="87"/>
      <c r="AT38" s="87"/>
      <c r="AU38" s="87"/>
      <c r="AV38" s="87"/>
      <c r="AW38" s="87"/>
      <c r="AX38" s="89"/>
      <c r="AY38" s="89"/>
      <c r="AZ38" s="88"/>
      <c r="BA38" s="87"/>
      <c r="BB38" s="87"/>
      <c r="BC38" s="87"/>
      <c r="BD38" s="87"/>
      <c r="BE38" s="87"/>
      <c r="BF38" s="87"/>
      <c r="BG38" s="87"/>
      <c r="BH38" s="89"/>
      <c r="BI38" s="87"/>
      <c r="BJ38" s="88"/>
      <c r="BK38" s="87"/>
      <c r="BL38" s="87"/>
      <c r="BM38" s="87"/>
      <c r="BN38" s="87"/>
      <c r="BO38" s="87"/>
      <c r="BP38" s="87"/>
      <c r="BQ38" s="87"/>
      <c r="BR38" s="89"/>
      <c r="BS38" s="26"/>
      <c r="BT38" s="31"/>
    </row>
    <row r="39" spans="1:72" s="23" customFormat="1" ht="9.75" customHeight="1" x14ac:dyDescent="0.25">
      <c r="B39" s="88"/>
      <c r="C39" s="87"/>
      <c r="D39" s="87"/>
      <c r="E39" s="87"/>
      <c r="F39" s="87"/>
      <c r="G39" s="87"/>
      <c r="H39" s="87"/>
      <c r="I39" s="87"/>
      <c r="J39" s="89"/>
      <c r="K39" s="87"/>
      <c r="L39" s="88"/>
      <c r="M39" s="87"/>
      <c r="N39" s="87"/>
      <c r="O39" s="87"/>
      <c r="P39" s="87"/>
      <c r="Q39" s="87"/>
      <c r="R39" s="87"/>
      <c r="S39" s="87"/>
      <c r="T39" s="89"/>
      <c r="U39" s="87"/>
      <c r="V39" s="88"/>
      <c r="W39" s="87"/>
      <c r="X39" s="87"/>
      <c r="Y39" s="87"/>
      <c r="Z39" s="87"/>
      <c r="AA39" s="87"/>
      <c r="AB39" s="87"/>
      <c r="AC39" s="87"/>
      <c r="AD39" s="89"/>
      <c r="AE39" s="87"/>
      <c r="AF39" s="88"/>
      <c r="AG39" s="87"/>
      <c r="AH39" s="87"/>
      <c r="AI39" s="87"/>
      <c r="AJ39" s="87"/>
      <c r="AK39" s="87"/>
      <c r="AL39" s="87"/>
      <c r="AM39" s="87"/>
      <c r="AN39" s="89"/>
      <c r="AO39" s="89"/>
      <c r="AP39" s="88"/>
      <c r="AQ39" s="87"/>
      <c r="AR39" s="87"/>
      <c r="AS39" s="87"/>
      <c r="AT39" s="87"/>
      <c r="AU39" s="87"/>
      <c r="AV39" s="87"/>
      <c r="AW39" s="87"/>
      <c r="AX39" s="89"/>
      <c r="AY39" s="89"/>
      <c r="AZ39" s="88"/>
      <c r="BA39" s="87"/>
      <c r="BB39" s="87"/>
      <c r="BC39" s="87"/>
      <c r="BD39" s="87"/>
      <c r="BE39" s="87"/>
      <c r="BF39" s="87"/>
      <c r="BG39" s="87"/>
      <c r="BH39" s="89"/>
      <c r="BI39" s="87"/>
      <c r="BJ39" s="88"/>
      <c r="BK39" s="87"/>
      <c r="BL39" s="87"/>
      <c r="BM39" s="87"/>
      <c r="BN39" s="87"/>
      <c r="BO39" s="87"/>
      <c r="BP39" s="87"/>
      <c r="BQ39" s="87"/>
      <c r="BR39" s="89"/>
      <c r="BS39" s="26"/>
      <c r="BT39" s="31"/>
    </row>
    <row r="40" spans="1:72" s="39" customFormat="1" ht="9" customHeight="1" x14ac:dyDescent="0.25">
      <c r="B40" s="107"/>
      <c r="C40" s="106"/>
      <c r="D40" s="106"/>
      <c r="E40" s="106"/>
      <c r="F40" s="106"/>
      <c r="G40" s="106"/>
      <c r="H40" s="106"/>
      <c r="I40" s="106"/>
      <c r="J40" s="108"/>
      <c r="K40" s="106"/>
      <c r="L40" s="107"/>
      <c r="M40" s="106"/>
      <c r="N40" s="106"/>
      <c r="O40" s="106"/>
      <c r="P40" s="106"/>
      <c r="Q40" s="106"/>
      <c r="R40" s="106"/>
      <c r="S40" s="106"/>
      <c r="T40" s="108"/>
      <c r="U40" s="92"/>
      <c r="V40" s="107"/>
      <c r="W40" s="106"/>
      <c r="X40" s="106"/>
      <c r="Y40" s="106"/>
      <c r="Z40" s="106"/>
      <c r="AA40" s="106"/>
      <c r="AB40" s="106"/>
      <c r="AC40" s="106"/>
      <c r="AD40" s="108"/>
      <c r="AE40" s="106"/>
      <c r="AF40" s="107"/>
      <c r="AG40" s="106"/>
      <c r="AH40" s="106"/>
      <c r="AI40" s="106"/>
      <c r="AJ40" s="106"/>
      <c r="AK40" s="106"/>
      <c r="AL40" s="106"/>
      <c r="AM40" s="106"/>
      <c r="AN40" s="108"/>
      <c r="AO40" s="108"/>
      <c r="AP40" s="107"/>
      <c r="AQ40" s="106"/>
      <c r="AR40" s="106"/>
      <c r="AS40" s="106"/>
      <c r="AT40" s="106"/>
      <c r="AU40" s="106"/>
      <c r="AV40" s="106"/>
      <c r="AW40" s="106"/>
      <c r="AX40" s="108"/>
      <c r="AY40" s="108"/>
      <c r="AZ40" s="107"/>
      <c r="BA40" s="106"/>
      <c r="BB40" s="106"/>
      <c r="BC40" s="106"/>
      <c r="BD40" s="106"/>
      <c r="BE40" s="106"/>
      <c r="BF40" s="106"/>
      <c r="BG40" s="106"/>
      <c r="BH40" s="108"/>
      <c r="BI40" s="106"/>
      <c r="BJ40" s="107"/>
      <c r="BK40" s="106"/>
      <c r="BL40" s="106"/>
      <c r="BM40" s="106"/>
      <c r="BN40" s="106"/>
      <c r="BO40" s="106"/>
      <c r="BP40" s="106"/>
      <c r="BQ40" s="106"/>
      <c r="BR40" s="108"/>
      <c r="BS40" s="38"/>
      <c r="BT40" s="31"/>
    </row>
    <row r="41" spans="1:72" s="39" customFormat="1" ht="9" customHeight="1" x14ac:dyDescent="0.25">
      <c r="B41" s="107"/>
      <c r="C41" s="106"/>
      <c r="D41" s="106"/>
      <c r="E41" s="106"/>
      <c r="F41" s="106"/>
      <c r="G41" s="106"/>
      <c r="H41" s="106"/>
      <c r="I41" s="106"/>
      <c r="J41" s="108"/>
      <c r="K41" s="106"/>
      <c r="L41" s="107"/>
      <c r="M41" s="106"/>
      <c r="N41" s="106"/>
      <c r="O41" s="106"/>
      <c r="P41" s="106"/>
      <c r="Q41" s="106"/>
      <c r="R41" s="106"/>
      <c r="S41" s="106"/>
      <c r="T41" s="108"/>
      <c r="U41" s="92"/>
      <c r="V41" s="107"/>
      <c r="W41" s="106"/>
      <c r="X41" s="106"/>
      <c r="Y41" s="106"/>
      <c r="Z41" s="106"/>
      <c r="AA41" s="106"/>
      <c r="AB41" s="106"/>
      <c r="AC41" s="106"/>
      <c r="AD41" s="108"/>
      <c r="AE41" s="106"/>
      <c r="AF41" s="107"/>
      <c r="AG41" s="106"/>
      <c r="AH41" s="106"/>
      <c r="AI41" s="106"/>
      <c r="AJ41" s="106"/>
      <c r="AK41" s="106"/>
      <c r="AL41" s="106"/>
      <c r="AM41" s="106"/>
      <c r="AN41" s="108"/>
      <c r="AO41" s="108"/>
      <c r="AP41" s="107"/>
      <c r="AQ41" s="106"/>
      <c r="AR41" s="106"/>
      <c r="AS41" s="106"/>
      <c r="AT41" s="106"/>
      <c r="AU41" s="106"/>
      <c r="AV41" s="106"/>
      <c r="AW41" s="106"/>
      <c r="AX41" s="108"/>
      <c r="AY41" s="108"/>
      <c r="AZ41" s="107"/>
      <c r="BA41" s="106"/>
      <c r="BB41" s="106"/>
      <c r="BC41" s="106"/>
      <c r="BD41" s="106"/>
      <c r="BE41" s="106"/>
      <c r="BF41" s="106"/>
      <c r="BG41" s="106"/>
      <c r="BH41" s="108"/>
      <c r="BI41" s="106"/>
      <c r="BJ41" s="107"/>
      <c r="BK41" s="106"/>
      <c r="BL41" s="106"/>
      <c r="BM41" s="106"/>
      <c r="BN41" s="106"/>
      <c r="BO41" s="106"/>
      <c r="BP41" s="106"/>
      <c r="BQ41" s="106"/>
      <c r="BR41" s="108"/>
      <c r="BS41" s="38"/>
      <c r="BT41" s="31"/>
    </row>
    <row r="42" spans="1:72" s="39" customFormat="1" ht="9" customHeight="1" x14ac:dyDescent="0.25">
      <c r="B42" s="107"/>
      <c r="C42" s="106"/>
      <c r="D42" s="106"/>
      <c r="E42" s="106"/>
      <c r="F42" s="106"/>
      <c r="G42" s="106"/>
      <c r="H42" s="106"/>
      <c r="I42" s="106"/>
      <c r="J42" s="108"/>
      <c r="K42" s="106"/>
      <c r="L42" s="107"/>
      <c r="M42" s="106"/>
      <c r="N42" s="106"/>
      <c r="O42" s="106"/>
      <c r="P42" s="106"/>
      <c r="Q42" s="106"/>
      <c r="R42" s="106"/>
      <c r="S42" s="106"/>
      <c r="T42" s="108"/>
      <c r="U42" s="92"/>
      <c r="V42" s="107"/>
      <c r="W42" s="106"/>
      <c r="X42" s="106"/>
      <c r="Y42" s="106"/>
      <c r="Z42" s="106"/>
      <c r="AA42" s="106"/>
      <c r="AB42" s="106"/>
      <c r="AC42" s="106"/>
      <c r="AD42" s="108"/>
      <c r="AE42" s="106"/>
      <c r="AF42" s="107"/>
      <c r="AG42" s="106"/>
      <c r="AH42" s="106"/>
      <c r="AI42" s="106"/>
      <c r="AJ42" s="106"/>
      <c r="AK42" s="106"/>
      <c r="AL42" s="106"/>
      <c r="AM42" s="106"/>
      <c r="AN42" s="108"/>
      <c r="AO42" s="108"/>
      <c r="AP42" s="107"/>
      <c r="AQ42" s="106"/>
      <c r="AR42" s="106"/>
      <c r="AS42" s="106"/>
      <c r="AT42" s="106"/>
      <c r="AU42" s="106"/>
      <c r="AV42" s="106"/>
      <c r="AW42" s="106"/>
      <c r="AX42" s="108"/>
      <c r="AY42" s="108"/>
      <c r="AZ42" s="107"/>
      <c r="BA42" s="106"/>
      <c r="BB42" s="106"/>
      <c r="BC42" s="106"/>
      <c r="BD42" s="106"/>
      <c r="BE42" s="106"/>
      <c r="BF42" s="106"/>
      <c r="BG42" s="106"/>
      <c r="BH42" s="108"/>
      <c r="BI42" s="106"/>
      <c r="BJ42" s="107"/>
      <c r="BK42" s="106"/>
      <c r="BL42" s="106"/>
      <c r="BM42" s="106"/>
      <c r="BN42" s="106"/>
      <c r="BO42" s="106"/>
      <c r="BP42" s="106"/>
      <c r="BQ42" s="106"/>
      <c r="BR42" s="108"/>
      <c r="BS42" s="38"/>
      <c r="BT42" s="31"/>
    </row>
    <row r="43" spans="1:72" s="39" customFormat="1" ht="9" customHeight="1" x14ac:dyDescent="0.25">
      <c r="B43" s="107"/>
      <c r="C43" s="106"/>
      <c r="D43" s="106"/>
      <c r="E43" s="106"/>
      <c r="F43" s="106"/>
      <c r="G43" s="106"/>
      <c r="H43" s="106"/>
      <c r="I43" s="106"/>
      <c r="J43" s="108"/>
      <c r="K43" s="106"/>
      <c r="L43" s="107"/>
      <c r="M43" s="106"/>
      <c r="N43" s="106"/>
      <c r="O43" s="106"/>
      <c r="P43" s="106"/>
      <c r="Q43" s="106"/>
      <c r="R43" s="106"/>
      <c r="S43" s="106"/>
      <c r="T43" s="108"/>
      <c r="U43" s="92"/>
      <c r="V43" s="107"/>
      <c r="W43" s="106"/>
      <c r="X43" s="106"/>
      <c r="Y43" s="106"/>
      <c r="Z43" s="106"/>
      <c r="AA43" s="106"/>
      <c r="AB43" s="106"/>
      <c r="AC43" s="106"/>
      <c r="AD43" s="108"/>
      <c r="AE43" s="106"/>
      <c r="AF43" s="107"/>
      <c r="AG43" s="106"/>
      <c r="AH43" s="106"/>
      <c r="AI43" s="106"/>
      <c r="AJ43" s="106"/>
      <c r="AK43" s="106"/>
      <c r="AL43" s="106"/>
      <c r="AM43" s="106"/>
      <c r="AN43" s="108"/>
      <c r="AO43" s="108"/>
      <c r="AP43" s="107"/>
      <c r="AQ43" s="106"/>
      <c r="AR43" s="106"/>
      <c r="AS43" s="106"/>
      <c r="AT43" s="106"/>
      <c r="AU43" s="106"/>
      <c r="AV43" s="106"/>
      <c r="AW43" s="106"/>
      <c r="AX43" s="108"/>
      <c r="AY43" s="108"/>
      <c r="AZ43" s="107"/>
      <c r="BA43" s="106"/>
      <c r="BB43" s="106"/>
      <c r="BC43" s="106"/>
      <c r="BD43" s="106"/>
      <c r="BE43" s="106"/>
      <c r="BF43" s="106"/>
      <c r="BG43" s="106"/>
      <c r="BH43" s="108"/>
      <c r="BI43" s="106"/>
      <c r="BJ43" s="107"/>
      <c r="BK43" s="106"/>
      <c r="BL43" s="106"/>
      <c r="BM43" s="106"/>
      <c r="BN43" s="106"/>
      <c r="BO43" s="106"/>
      <c r="BP43" s="106"/>
      <c r="BQ43" s="106"/>
      <c r="BR43" s="108"/>
      <c r="BS43" s="38"/>
      <c r="BT43" s="31"/>
    </row>
    <row r="44" spans="1:72" s="39" customFormat="1" ht="9" customHeight="1" x14ac:dyDescent="0.25">
      <c r="B44" s="88"/>
      <c r="C44" s="87"/>
      <c r="D44" s="87"/>
      <c r="E44" s="87"/>
      <c r="F44" s="87"/>
      <c r="G44" s="87"/>
      <c r="H44" s="87"/>
      <c r="I44" s="87"/>
      <c r="J44" s="89"/>
      <c r="K44" s="106"/>
      <c r="L44" s="107"/>
      <c r="M44" s="106"/>
      <c r="N44" s="106"/>
      <c r="O44" s="106"/>
      <c r="P44" s="106"/>
      <c r="Q44" s="106"/>
      <c r="R44" s="106"/>
      <c r="S44" s="106"/>
      <c r="T44" s="108"/>
      <c r="U44" s="92"/>
      <c r="V44" s="107"/>
      <c r="W44" s="106"/>
      <c r="X44" s="106"/>
      <c r="Y44" s="106"/>
      <c r="Z44" s="106"/>
      <c r="AA44" s="106"/>
      <c r="AB44" s="106"/>
      <c r="AC44" s="106"/>
      <c r="AD44" s="108"/>
      <c r="AE44" s="106"/>
      <c r="AF44" s="107"/>
      <c r="AG44" s="106"/>
      <c r="AH44" s="106"/>
      <c r="AI44" s="106"/>
      <c r="AJ44" s="106"/>
      <c r="AK44" s="106"/>
      <c r="AL44" s="106"/>
      <c r="AM44" s="106"/>
      <c r="AN44" s="108"/>
      <c r="AO44" s="108"/>
      <c r="AP44" s="107"/>
      <c r="AQ44" s="106"/>
      <c r="AR44" s="106"/>
      <c r="AS44" s="106"/>
      <c r="AT44" s="106"/>
      <c r="AU44" s="106"/>
      <c r="AV44" s="106"/>
      <c r="AW44" s="106"/>
      <c r="AX44" s="108"/>
      <c r="AY44" s="108"/>
      <c r="AZ44" s="107"/>
      <c r="BA44" s="106"/>
      <c r="BB44" s="106"/>
      <c r="BC44" s="106"/>
      <c r="BD44" s="106"/>
      <c r="BE44" s="106"/>
      <c r="BF44" s="106"/>
      <c r="BG44" s="106"/>
      <c r="BH44" s="108"/>
      <c r="BI44" s="106"/>
      <c r="BJ44" s="107"/>
      <c r="BK44" s="106"/>
      <c r="BL44" s="106"/>
      <c r="BM44" s="106"/>
      <c r="BN44" s="106"/>
      <c r="BO44" s="106"/>
      <c r="BP44" s="106"/>
      <c r="BQ44" s="106"/>
      <c r="BR44" s="108"/>
      <c r="BS44" s="38"/>
      <c r="BT44" s="31"/>
    </row>
    <row r="45" spans="1:72" s="39" customFormat="1" ht="9" customHeight="1" x14ac:dyDescent="0.25">
      <c r="B45" s="107"/>
      <c r="C45" s="106"/>
      <c r="D45" s="106"/>
      <c r="E45" s="106"/>
      <c r="F45" s="106"/>
      <c r="G45" s="106"/>
      <c r="H45" s="106"/>
      <c r="I45" s="106"/>
      <c r="J45" s="108"/>
      <c r="K45" s="106"/>
      <c r="L45" s="107"/>
      <c r="M45" s="106"/>
      <c r="N45" s="106"/>
      <c r="O45" s="106"/>
      <c r="P45" s="106"/>
      <c r="Q45" s="106"/>
      <c r="R45" s="106"/>
      <c r="S45" s="106"/>
      <c r="T45" s="108"/>
      <c r="U45" s="87"/>
      <c r="V45" s="88"/>
      <c r="W45" s="87"/>
      <c r="X45" s="87"/>
      <c r="Y45" s="87"/>
      <c r="Z45" s="87"/>
      <c r="AA45" s="87"/>
      <c r="AB45" s="87"/>
      <c r="AC45" s="87"/>
      <c r="AD45" s="89"/>
      <c r="AE45" s="106"/>
      <c r="AF45" s="88"/>
      <c r="AG45" s="87"/>
      <c r="AH45" s="87"/>
      <c r="AI45" s="87"/>
      <c r="AJ45" s="87"/>
      <c r="AK45" s="87"/>
      <c r="AL45" s="87"/>
      <c r="AM45" s="87"/>
      <c r="AN45" s="89"/>
      <c r="AO45" s="108"/>
      <c r="AP45" s="88"/>
      <c r="AQ45" s="87"/>
      <c r="AR45" s="87"/>
      <c r="AS45" s="87"/>
      <c r="AT45" s="87"/>
      <c r="AU45" s="87"/>
      <c r="AV45" s="87"/>
      <c r="AW45" s="87"/>
      <c r="AX45" s="89"/>
      <c r="AY45" s="106"/>
      <c r="AZ45" s="88"/>
      <c r="BA45" s="87"/>
      <c r="BB45" s="87"/>
      <c r="BC45" s="87"/>
      <c r="BD45" s="87"/>
      <c r="BE45" s="87"/>
      <c r="BF45" s="87"/>
      <c r="BG45" s="87"/>
      <c r="BH45" s="89"/>
      <c r="BI45" s="106"/>
      <c r="BJ45" s="88"/>
      <c r="BK45" s="87"/>
      <c r="BL45" s="87"/>
      <c r="BM45" s="87"/>
      <c r="BN45" s="87"/>
      <c r="BO45" s="87"/>
      <c r="BP45" s="87"/>
      <c r="BQ45" s="87"/>
      <c r="BR45" s="89"/>
      <c r="BS45" s="38"/>
      <c r="BT45" s="31"/>
    </row>
    <row r="46" spans="1:72" s="39" customFormat="1" ht="9" customHeight="1" x14ac:dyDescent="0.25">
      <c r="B46" s="492" t="s">
        <v>421</v>
      </c>
      <c r="C46" s="492"/>
      <c r="D46" s="492"/>
      <c r="E46" s="492"/>
      <c r="F46" s="492"/>
      <c r="G46" s="493">
        <f>CEILING(2195*B5,1)</f>
        <v>3073</v>
      </c>
      <c r="H46" s="493"/>
      <c r="I46" s="493"/>
      <c r="J46" s="493"/>
      <c r="K46" s="227"/>
      <c r="L46" s="492" t="s">
        <v>421</v>
      </c>
      <c r="M46" s="492"/>
      <c r="N46" s="492"/>
      <c r="O46" s="492"/>
      <c r="P46" s="492"/>
      <c r="Q46" s="493">
        <f>CEILING(2523*B5,1)</f>
        <v>3533</v>
      </c>
      <c r="R46" s="493"/>
      <c r="S46" s="493"/>
      <c r="T46" s="493"/>
      <c r="U46" s="223"/>
      <c r="V46" s="492" t="s">
        <v>421</v>
      </c>
      <c r="W46" s="492"/>
      <c r="X46" s="492"/>
      <c r="Y46" s="492"/>
      <c r="Z46" s="492"/>
      <c r="AA46" s="493">
        <f>CEILING(2956*B5,1)</f>
        <v>4139</v>
      </c>
      <c r="AB46" s="493"/>
      <c r="AC46" s="493"/>
      <c r="AD46" s="493"/>
      <c r="AE46" s="227"/>
      <c r="AF46" s="492" t="s">
        <v>421</v>
      </c>
      <c r="AG46" s="492"/>
      <c r="AH46" s="492"/>
      <c r="AI46" s="492"/>
      <c r="AJ46" s="492"/>
      <c r="AK46" s="493">
        <f>CEILING(3023*B5,1)</f>
        <v>4233</v>
      </c>
      <c r="AL46" s="493"/>
      <c r="AM46" s="493"/>
      <c r="AN46" s="493"/>
      <c r="AO46" s="227"/>
      <c r="AP46" s="492" t="s">
        <v>421</v>
      </c>
      <c r="AQ46" s="492"/>
      <c r="AR46" s="492"/>
      <c r="AS46" s="492"/>
      <c r="AT46" s="492"/>
      <c r="AU46" s="493">
        <f>CEILING(3114*B5,1)</f>
        <v>4360</v>
      </c>
      <c r="AV46" s="493"/>
      <c r="AW46" s="493"/>
      <c r="AX46" s="493"/>
      <c r="AY46" s="227"/>
      <c r="AZ46" s="492" t="s">
        <v>421</v>
      </c>
      <c r="BA46" s="492"/>
      <c r="BB46" s="492"/>
      <c r="BC46" s="492"/>
      <c r="BD46" s="492"/>
      <c r="BE46" s="493">
        <f>CEILING(3468*B5,1)</f>
        <v>4856</v>
      </c>
      <c r="BF46" s="493"/>
      <c r="BG46" s="493"/>
      <c r="BH46" s="493"/>
      <c r="BI46" s="227"/>
      <c r="BJ46" s="492" t="s">
        <v>421</v>
      </c>
      <c r="BK46" s="492"/>
      <c r="BL46" s="492"/>
      <c r="BM46" s="492"/>
      <c r="BN46" s="492"/>
      <c r="BO46" s="493">
        <f>CEILING(3795*B5,1)</f>
        <v>5313</v>
      </c>
      <c r="BP46" s="493"/>
      <c r="BQ46" s="493"/>
      <c r="BR46" s="493"/>
      <c r="BS46" s="38"/>
      <c r="BT46" s="31"/>
    </row>
    <row r="47" spans="1:72" s="39" customFormat="1" ht="9" customHeight="1" x14ac:dyDescent="0.25">
      <c r="B47" s="492" t="s">
        <v>426</v>
      </c>
      <c r="C47" s="492"/>
      <c r="D47" s="492"/>
      <c r="E47" s="492"/>
      <c r="F47" s="492"/>
      <c r="G47" s="493">
        <f>CEILING(2420*B5,1)</f>
        <v>3388</v>
      </c>
      <c r="H47" s="493"/>
      <c r="I47" s="493"/>
      <c r="J47" s="493"/>
      <c r="K47" s="227"/>
      <c r="L47" s="492" t="s">
        <v>426</v>
      </c>
      <c r="M47" s="492"/>
      <c r="N47" s="492"/>
      <c r="O47" s="492"/>
      <c r="P47" s="492"/>
      <c r="Q47" s="493">
        <f>CEILING(2751*B5,1)</f>
        <v>3852</v>
      </c>
      <c r="R47" s="493"/>
      <c r="S47" s="493"/>
      <c r="T47" s="493"/>
      <c r="U47" s="223"/>
      <c r="V47" s="492" t="s">
        <v>426</v>
      </c>
      <c r="W47" s="492"/>
      <c r="X47" s="492"/>
      <c r="Y47" s="492"/>
      <c r="Z47" s="492"/>
      <c r="AA47" s="493">
        <f>CEILING(3180*B5,1)</f>
        <v>4452</v>
      </c>
      <c r="AB47" s="493"/>
      <c r="AC47" s="493"/>
      <c r="AD47" s="493"/>
      <c r="AE47" s="227"/>
      <c r="AF47" s="492" t="s">
        <v>426</v>
      </c>
      <c r="AG47" s="492"/>
      <c r="AH47" s="492"/>
      <c r="AI47" s="492"/>
      <c r="AJ47" s="492"/>
      <c r="AK47" s="493">
        <f>CEILING(3250*B5,1)</f>
        <v>4550</v>
      </c>
      <c r="AL47" s="493"/>
      <c r="AM47" s="493"/>
      <c r="AN47" s="493"/>
      <c r="AO47" s="227"/>
      <c r="AP47" s="492" t="s">
        <v>426</v>
      </c>
      <c r="AQ47" s="492"/>
      <c r="AR47" s="492"/>
      <c r="AS47" s="492"/>
      <c r="AT47" s="492"/>
      <c r="AU47" s="493">
        <f>CEILING(3374*B5,1)</f>
        <v>4724</v>
      </c>
      <c r="AV47" s="493"/>
      <c r="AW47" s="493"/>
      <c r="AX47" s="493"/>
      <c r="AY47" s="227"/>
      <c r="AZ47" s="492" t="s">
        <v>426</v>
      </c>
      <c r="BA47" s="492"/>
      <c r="BB47" s="492"/>
      <c r="BC47" s="492"/>
      <c r="BD47" s="492"/>
      <c r="BE47" s="493">
        <f>CEILING(3637*B5,1)</f>
        <v>5092</v>
      </c>
      <c r="BF47" s="493"/>
      <c r="BG47" s="493"/>
      <c r="BH47" s="493"/>
      <c r="BI47" s="227"/>
      <c r="BJ47" s="492" t="s">
        <v>426</v>
      </c>
      <c r="BK47" s="492"/>
      <c r="BL47" s="492"/>
      <c r="BM47" s="492"/>
      <c r="BN47" s="492"/>
      <c r="BO47" s="493">
        <f>CEILING(3977*B5,1)</f>
        <v>5568</v>
      </c>
      <c r="BP47" s="493"/>
      <c r="BQ47" s="493"/>
      <c r="BR47" s="493"/>
      <c r="BS47" s="38"/>
      <c r="BT47" s="31"/>
    </row>
    <row r="48" spans="1:72" s="23" customFormat="1" ht="1.5" customHeight="1" x14ac:dyDescent="0.25"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94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26"/>
      <c r="BT48" s="31"/>
    </row>
    <row r="49" spans="1:72" s="23" customFormat="1" ht="9" customHeight="1" x14ac:dyDescent="0.25">
      <c r="B49" s="474" t="s">
        <v>454</v>
      </c>
      <c r="C49" s="475"/>
      <c r="D49" s="476"/>
      <c r="E49" s="504" t="s">
        <v>179</v>
      </c>
      <c r="F49" s="505"/>
      <c r="G49" s="505"/>
      <c r="H49" s="505"/>
      <c r="I49" s="505"/>
      <c r="J49" s="506"/>
      <c r="K49" s="87"/>
      <c r="L49" s="474" t="s">
        <v>455</v>
      </c>
      <c r="M49" s="475"/>
      <c r="N49" s="476"/>
      <c r="O49" s="504" t="s">
        <v>179</v>
      </c>
      <c r="P49" s="505"/>
      <c r="Q49" s="505"/>
      <c r="R49" s="505"/>
      <c r="S49" s="505"/>
      <c r="T49" s="506"/>
      <c r="U49" s="87"/>
      <c r="V49" s="474" t="s">
        <v>456</v>
      </c>
      <c r="W49" s="475"/>
      <c r="X49" s="476"/>
      <c r="Y49" s="504" t="s">
        <v>179</v>
      </c>
      <c r="Z49" s="505"/>
      <c r="AA49" s="505"/>
      <c r="AB49" s="505"/>
      <c r="AC49" s="505"/>
      <c r="AD49" s="506"/>
      <c r="AE49" s="87"/>
      <c r="AF49" s="474" t="s">
        <v>457</v>
      </c>
      <c r="AG49" s="475"/>
      <c r="AH49" s="476"/>
      <c r="AI49" s="504" t="s">
        <v>179</v>
      </c>
      <c r="AJ49" s="505"/>
      <c r="AK49" s="505"/>
      <c r="AL49" s="505"/>
      <c r="AM49" s="505"/>
      <c r="AN49" s="506"/>
      <c r="AO49" s="87"/>
      <c r="AP49" s="474" t="s">
        <v>458</v>
      </c>
      <c r="AQ49" s="475"/>
      <c r="AR49" s="476"/>
      <c r="AS49" s="504" t="s">
        <v>179</v>
      </c>
      <c r="AT49" s="505"/>
      <c r="AU49" s="505"/>
      <c r="AV49" s="505"/>
      <c r="AW49" s="505"/>
      <c r="AX49" s="506"/>
      <c r="AY49" s="87"/>
      <c r="AZ49" s="474" t="s">
        <v>459</v>
      </c>
      <c r="BA49" s="475"/>
      <c r="BB49" s="476"/>
      <c r="BC49" s="504" t="s">
        <v>179</v>
      </c>
      <c r="BD49" s="505"/>
      <c r="BE49" s="505"/>
      <c r="BF49" s="505"/>
      <c r="BG49" s="505"/>
      <c r="BH49" s="506"/>
      <c r="BI49" s="87"/>
      <c r="BJ49" s="474" t="s">
        <v>460</v>
      </c>
      <c r="BK49" s="475"/>
      <c r="BL49" s="476"/>
      <c r="BM49" s="504" t="s">
        <v>179</v>
      </c>
      <c r="BN49" s="505"/>
      <c r="BO49" s="505"/>
      <c r="BP49" s="505"/>
      <c r="BQ49" s="505"/>
      <c r="BR49" s="506"/>
      <c r="BS49" s="26"/>
      <c r="BT49" s="31"/>
    </row>
    <row r="50" spans="1:72" s="32" customFormat="1" ht="9" customHeight="1" x14ac:dyDescent="0.25">
      <c r="B50" s="489" t="s">
        <v>445</v>
      </c>
      <c r="C50" s="490"/>
      <c r="D50" s="490"/>
      <c r="E50" s="490"/>
      <c r="F50" s="490"/>
      <c r="G50" s="490"/>
      <c r="H50" s="490"/>
      <c r="I50" s="490"/>
      <c r="J50" s="491"/>
      <c r="K50" s="90"/>
      <c r="L50" s="489" t="s">
        <v>445</v>
      </c>
      <c r="M50" s="490"/>
      <c r="N50" s="490"/>
      <c r="O50" s="490"/>
      <c r="P50" s="490"/>
      <c r="Q50" s="490"/>
      <c r="R50" s="490"/>
      <c r="S50" s="490"/>
      <c r="T50" s="491"/>
      <c r="U50" s="90"/>
      <c r="V50" s="489" t="s">
        <v>445</v>
      </c>
      <c r="W50" s="490"/>
      <c r="X50" s="490"/>
      <c r="Y50" s="490"/>
      <c r="Z50" s="490"/>
      <c r="AA50" s="490"/>
      <c r="AB50" s="490"/>
      <c r="AC50" s="490"/>
      <c r="AD50" s="491"/>
      <c r="AE50" s="90"/>
      <c r="AF50" s="489" t="s">
        <v>445</v>
      </c>
      <c r="AG50" s="490"/>
      <c r="AH50" s="490"/>
      <c r="AI50" s="490"/>
      <c r="AJ50" s="490"/>
      <c r="AK50" s="490"/>
      <c r="AL50" s="490"/>
      <c r="AM50" s="490"/>
      <c r="AN50" s="491"/>
      <c r="AO50" s="90"/>
      <c r="AP50" s="489" t="s">
        <v>445</v>
      </c>
      <c r="AQ50" s="490"/>
      <c r="AR50" s="490"/>
      <c r="AS50" s="490"/>
      <c r="AT50" s="490"/>
      <c r="AU50" s="490"/>
      <c r="AV50" s="490"/>
      <c r="AW50" s="490"/>
      <c r="AX50" s="491"/>
      <c r="AY50" s="90"/>
      <c r="AZ50" s="489" t="s">
        <v>445</v>
      </c>
      <c r="BA50" s="490"/>
      <c r="BB50" s="490"/>
      <c r="BC50" s="490"/>
      <c r="BD50" s="490"/>
      <c r="BE50" s="490"/>
      <c r="BF50" s="490"/>
      <c r="BG50" s="490"/>
      <c r="BH50" s="491"/>
      <c r="BI50" s="90"/>
      <c r="BJ50" s="489" t="s">
        <v>445</v>
      </c>
      <c r="BK50" s="490"/>
      <c r="BL50" s="490"/>
      <c r="BM50" s="490"/>
      <c r="BN50" s="490"/>
      <c r="BO50" s="490"/>
      <c r="BP50" s="490"/>
      <c r="BQ50" s="490"/>
      <c r="BR50" s="491"/>
      <c r="BS50" s="34"/>
      <c r="BT50" s="36"/>
    </row>
    <row r="51" spans="1:72" s="32" customFormat="1" ht="9" customHeight="1" x14ac:dyDescent="0.25">
      <c r="B51" s="103"/>
      <c r="C51" s="90"/>
      <c r="D51" s="90"/>
      <c r="E51" s="90"/>
      <c r="F51" s="90"/>
      <c r="G51" s="90"/>
      <c r="H51" s="90"/>
      <c r="I51" s="90"/>
      <c r="J51" s="91"/>
      <c r="K51" s="90"/>
      <c r="L51" s="103"/>
      <c r="M51" s="90"/>
      <c r="N51" s="90"/>
      <c r="O51" s="90"/>
      <c r="P51" s="90"/>
      <c r="Q51" s="90"/>
      <c r="R51" s="90"/>
      <c r="S51" s="90"/>
      <c r="T51" s="91"/>
      <c r="U51" s="90"/>
      <c r="V51" s="103"/>
      <c r="W51" s="90"/>
      <c r="X51" s="90"/>
      <c r="Y51" s="90"/>
      <c r="Z51" s="90"/>
      <c r="AA51" s="90"/>
      <c r="AB51" s="90"/>
      <c r="AC51" s="90"/>
      <c r="AD51" s="91"/>
      <c r="AE51" s="90"/>
      <c r="AF51" s="103"/>
      <c r="AG51" s="90"/>
      <c r="AH51" s="90"/>
      <c r="AI51" s="90"/>
      <c r="AJ51" s="90"/>
      <c r="AK51" s="90"/>
      <c r="AL51" s="90"/>
      <c r="AM51" s="90"/>
      <c r="AN51" s="91"/>
      <c r="AO51" s="90"/>
      <c r="AP51" s="103"/>
      <c r="AQ51" s="90"/>
      <c r="AR51" s="90"/>
      <c r="AS51" s="90"/>
      <c r="AT51" s="90"/>
      <c r="AU51" s="90"/>
      <c r="AV51" s="90"/>
      <c r="AW51" s="90"/>
      <c r="AX51" s="91"/>
      <c r="AY51" s="90"/>
      <c r="AZ51" s="103"/>
      <c r="BA51" s="90"/>
      <c r="BB51" s="90"/>
      <c r="BC51" s="90"/>
      <c r="BD51" s="90"/>
      <c r="BE51" s="90"/>
      <c r="BF51" s="90"/>
      <c r="BG51" s="90"/>
      <c r="BH51" s="91"/>
      <c r="BI51" s="90"/>
      <c r="BJ51" s="103"/>
      <c r="BK51" s="90"/>
      <c r="BL51" s="90"/>
      <c r="BM51" s="90"/>
      <c r="BN51" s="90"/>
      <c r="BO51" s="90"/>
      <c r="BP51" s="90"/>
      <c r="BQ51" s="90"/>
      <c r="BR51" s="91"/>
      <c r="BS51" s="34"/>
      <c r="BT51" s="31"/>
    </row>
    <row r="52" spans="1:72" s="32" customFormat="1" ht="9" customHeight="1" x14ac:dyDescent="0.25">
      <c r="B52" s="103"/>
      <c r="C52" s="90"/>
      <c r="D52" s="90"/>
      <c r="E52" s="90"/>
      <c r="F52" s="90"/>
      <c r="G52" s="90"/>
      <c r="H52" s="90"/>
      <c r="I52" s="90"/>
      <c r="J52" s="91"/>
      <c r="K52" s="90"/>
      <c r="L52" s="103"/>
      <c r="M52" s="90"/>
      <c r="N52" s="90"/>
      <c r="O52" s="90"/>
      <c r="P52" s="90"/>
      <c r="Q52" s="90"/>
      <c r="R52" s="90"/>
      <c r="S52" s="90"/>
      <c r="T52" s="91"/>
      <c r="U52" s="90"/>
      <c r="V52" s="103"/>
      <c r="W52" s="90"/>
      <c r="X52" s="90"/>
      <c r="Y52" s="90"/>
      <c r="Z52" s="90"/>
      <c r="AA52" s="90"/>
      <c r="AB52" s="90"/>
      <c r="AC52" s="90"/>
      <c r="AD52" s="91"/>
      <c r="AE52" s="90"/>
      <c r="AF52" s="103"/>
      <c r="AG52" s="90"/>
      <c r="AH52" s="90"/>
      <c r="AI52" s="90"/>
      <c r="AJ52" s="90"/>
      <c r="AK52" s="90"/>
      <c r="AL52" s="90"/>
      <c r="AM52" s="90"/>
      <c r="AN52" s="91"/>
      <c r="AO52" s="90"/>
      <c r="AP52" s="103"/>
      <c r="AQ52" s="90"/>
      <c r="AR52" s="90"/>
      <c r="AS52" s="90"/>
      <c r="AT52" s="90"/>
      <c r="AU52" s="90"/>
      <c r="AV52" s="90"/>
      <c r="AW52" s="90"/>
      <c r="AX52" s="91"/>
      <c r="AY52" s="90"/>
      <c r="AZ52" s="103"/>
      <c r="BA52" s="90"/>
      <c r="BB52" s="90"/>
      <c r="BC52" s="90"/>
      <c r="BD52" s="90"/>
      <c r="BE52" s="90"/>
      <c r="BF52" s="90"/>
      <c r="BG52" s="90"/>
      <c r="BH52" s="91"/>
      <c r="BI52" s="90"/>
      <c r="BJ52" s="103"/>
      <c r="BK52" s="90"/>
      <c r="BL52" s="90"/>
      <c r="BM52" s="90"/>
      <c r="BN52" s="90"/>
      <c r="BO52" s="90"/>
      <c r="BP52" s="90"/>
      <c r="BQ52" s="90"/>
      <c r="BR52" s="91"/>
      <c r="BS52" s="34"/>
      <c r="BT52" s="31"/>
    </row>
    <row r="53" spans="1:72" s="23" customFormat="1" ht="9" customHeight="1" x14ac:dyDescent="0.25">
      <c r="B53" s="88"/>
      <c r="C53" s="87"/>
      <c r="D53" s="87"/>
      <c r="E53" s="87"/>
      <c r="F53" s="87"/>
      <c r="G53" s="87"/>
      <c r="H53" s="87"/>
      <c r="I53" s="87"/>
      <c r="J53" s="89"/>
      <c r="K53" s="87"/>
      <c r="L53" s="88"/>
      <c r="M53" s="87"/>
      <c r="N53" s="87"/>
      <c r="O53" s="87"/>
      <c r="P53" s="87"/>
      <c r="Q53" s="87"/>
      <c r="R53" s="87"/>
      <c r="S53" s="87"/>
      <c r="T53" s="89"/>
      <c r="U53" s="87"/>
      <c r="V53" s="88"/>
      <c r="W53" s="87"/>
      <c r="X53" s="87"/>
      <c r="Y53" s="87"/>
      <c r="Z53" s="87"/>
      <c r="AA53" s="87"/>
      <c r="AB53" s="87"/>
      <c r="AC53" s="87"/>
      <c r="AD53" s="89"/>
      <c r="AE53" s="87"/>
      <c r="AF53" s="88"/>
      <c r="AG53" s="87"/>
      <c r="AH53" s="87"/>
      <c r="AI53" s="87"/>
      <c r="AJ53" s="87"/>
      <c r="AK53" s="87"/>
      <c r="AL53" s="87"/>
      <c r="AM53" s="87"/>
      <c r="AN53" s="89"/>
      <c r="AO53" s="87"/>
      <c r="AP53" s="88"/>
      <c r="AQ53" s="87"/>
      <c r="AR53" s="87"/>
      <c r="AS53" s="87"/>
      <c r="AT53" s="87"/>
      <c r="AU53" s="87"/>
      <c r="AV53" s="87"/>
      <c r="AW53" s="87"/>
      <c r="AX53" s="89"/>
      <c r="AY53" s="87"/>
      <c r="AZ53" s="88"/>
      <c r="BA53" s="87"/>
      <c r="BB53" s="87"/>
      <c r="BC53" s="87"/>
      <c r="BD53" s="87"/>
      <c r="BE53" s="87"/>
      <c r="BF53" s="87"/>
      <c r="BG53" s="87"/>
      <c r="BH53" s="89"/>
      <c r="BI53" s="87"/>
      <c r="BJ53" s="88"/>
      <c r="BK53" s="87"/>
      <c r="BL53" s="87"/>
      <c r="BM53" s="87"/>
      <c r="BN53" s="87"/>
      <c r="BO53" s="87"/>
      <c r="BP53" s="87"/>
      <c r="BQ53" s="87"/>
      <c r="BR53" s="89"/>
      <c r="BS53" s="26"/>
      <c r="BT53" s="31"/>
    </row>
    <row r="54" spans="1:72" s="39" customFormat="1" ht="9" customHeight="1" x14ac:dyDescent="0.25">
      <c r="B54" s="107"/>
      <c r="C54" s="106"/>
      <c r="D54" s="106"/>
      <c r="E54" s="106"/>
      <c r="F54" s="106"/>
      <c r="G54" s="106"/>
      <c r="H54" s="106"/>
      <c r="I54" s="106"/>
      <c r="J54" s="108"/>
      <c r="K54" s="106"/>
      <c r="L54" s="107"/>
      <c r="M54" s="106"/>
      <c r="N54" s="106"/>
      <c r="O54" s="106"/>
      <c r="P54" s="106"/>
      <c r="Q54" s="106"/>
      <c r="R54" s="106"/>
      <c r="S54" s="106"/>
      <c r="T54" s="108"/>
      <c r="U54" s="106"/>
      <c r="V54" s="107"/>
      <c r="W54" s="106"/>
      <c r="X54" s="106"/>
      <c r="Y54" s="106"/>
      <c r="Z54" s="106"/>
      <c r="AA54" s="106"/>
      <c r="AB54" s="106"/>
      <c r="AC54" s="106"/>
      <c r="AD54" s="108"/>
      <c r="AE54" s="106"/>
      <c r="AF54" s="107"/>
      <c r="AG54" s="106"/>
      <c r="AH54" s="106"/>
      <c r="AI54" s="106"/>
      <c r="AJ54" s="106"/>
      <c r="AK54" s="106"/>
      <c r="AL54" s="106"/>
      <c r="AM54" s="106"/>
      <c r="AN54" s="108"/>
      <c r="AO54" s="106"/>
      <c r="AP54" s="107"/>
      <c r="AQ54" s="106"/>
      <c r="AR54" s="106"/>
      <c r="AS54" s="106"/>
      <c r="AT54" s="106"/>
      <c r="AU54" s="106"/>
      <c r="AV54" s="106"/>
      <c r="AW54" s="106"/>
      <c r="AX54" s="108"/>
      <c r="AY54" s="106"/>
      <c r="AZ54" s="107"/>
      <c r="BA54" s="106"/>
      <c r="BB54" s="106"/>
      <c r="BC54" s="106"/>
      <c r="BD54" s="106"/>
      <c r="BE54" s="106"/>
      <c r="BF54" s="106"/>
      <c r="BG54" s="106"/>
      <c r="BH54" s="108"/>
      <c r="BI54" s="106"/>
      <c r="BJ54" s="107"/>
      <c r="BK54" s="106"/>
      <c r="BL54" s="106"/>
      <c r="BM54" s="106"/>
      <c r="BN54" s="106"/>
      <c r="BO54" s="106"/>
      <c r="BP54" s="106"/>
      <c r="BQ54" s="106"/>
      <c r="BR54" s="108"/>
      <c r="BS54" s="38"/>
      <c r="BT54" s="31"/>
    </row>
    <row r="55" spans="1:72" s="39" customFormat="1" ht="9" customHeight="1" x14ac:dyDescent="0.25">
      <c r="B55" s="107"/>
      <c r="C55" s="106"/>
      <c r="D55" s="106"/>
      <c r="E55" s="106"/>
      <c r="F55" s="106"/>
      <c r="G55" s="106"/>
      <c r="H55" s="106"/>
      <c r="I55" s="106"/>
      <c r="J55" s="108"/>
      <c r="K55" s="106"/>
      <c r="L55" s="107"/>
      <c r="M55" s="106"/>
      <c r="N55" s="106"/>
      <c r="O55" s="106"/>
      <c r="P55" s="106"/>
      <c r="Q55" s="106"/>
      <c r="R55" s="106"/>
      <c r="S55" s="106"/>
      <c r="T55" s="108"/>
      <c r="U55" s="106"/>
      <c r="V55" s="107"/>
      <c r="W55" s="106"/>
      <c r="X55" s="106"/>
      <c r="Y55" s="106"/>
      <c r="Z55" s="106"/>
      <c r="AA55" s="106"/>
      <c r="AB55" s="106"/>
      <c r="AC55" s="106"/>
      <c r="AD55" s="108"/>
      <c r="AE55" s="106"/>
      <c r="AF55" s="107"/>
      <c r="AG55" s="106"/>
      <c r="AH55" s="106"/>
      <c r="AI55" s="106"/>
      <c r="AJ55" s="106"/>
      <c r="AK55" s="106"/>
      <c r="AL55" s="106"/>
      <c r="AM55" s="106"/>
      <c r="AN55" s="108"/>
      <c r="AO55" s="106"/>
      <c r="AP55" s="107"/>
      <c r="AQ55" s="106"/>
      <c r="AR55" s="106"/>
      <c r="AS55" s="106"/>
      <c r="AT55" s="106"/>
      <c r="AU55" s="106"/>
      <c r="AV55" s="106"/>
      <c r="AW55" s="106"/>
      <c r="AX55" s="108"/>
      <c r="AY55" s="106"/>
      <c r="AZ55" s="107"/>
      <c r="BA55" s="106"/>
      <c r="BB55" s="106"/>
      <c r="BC55" s="106"/>
      <c r="BD55" s="106"/>
      <c r="BE55" s="106"/>
      <c r="BF55" s="106"/>
      <c r="BG55" s="106"/>
      <c r="BH55" s="108"/>
      <c r="BI55" s="106"/>
      <c r="BJ55" s="107"/>
      <c r="BK55" s="106"/>
      <c r="BL55" s="106"/>
      <c r="BM55" s="106"/>
      <c r="BN55" s="106"/>
      <c r="BO55" s="106"/>
      <c r="BP55" s="106"/>
      <c r="BQ55" s="106"/>
      <c r="BR55" s="108"/>
      <c r="BS55" s="38"/>
      <c r="BT55" s="31"/>
    </row>
    <row r="56" spans="1:72" s="39" customFormat="1" ht="9" customHeight="1" x14ac:dyDescent="0.25">
      <c r="B56" s="107"/>
      <c r="C56" s="106"/>
      <c r="D56" s="106"/>
      <c r="E56" s="106"/>
      <c r="F56" s="106"/>
      <c r="G56" s="106"/>
      <c r="H56" s="106"/>
      <c r="I56" s="106"/>
      <c r="J56" s="108"/>
      <c r="K56" s="106"/>
      <c r="L56" s="107"/>
      <c r="M56" s="106"/>
      <c r="N56" s="106"/>
      <c r="O56" s="106"/>
      <c r="P56" s="106"/>
      <c r="Q56" s="106"/>
      <c r="R56" s="106"/>
      <c r="S56" s="106"/>
      <c r="T56" s="108"/>
      <c r="U56" s="106"/>
      <c r="V56" s="107"/>
      <c r="W56" s="106"/>
      <c r="X56" s="106"/>
      <c r="Y56" s="106"/>
      <c r="Z56" s="106"/>
      <c r="AA56" s="106"/>
      <c r="AB56" s="106"/>
      <c r="AC56" s="106"/>
      <c r="AD56" s="108"/>
      <c r="AE56" s="106"/>
      <c r="AF56" s="107"/>
      <c r="AG56" s="106"/>
      <c r="AH56" s="106"/>
      <c r="AI56" s="106"/>
      <c r="AJ56" s="106"/>
      <c r="AK56" s="106"/>
      <c r="AL56" s="106"/>
      <c r="AM56" s="106"/>
      <c r="AN56" s="108"/>
      <c r="AO56" s="106"/>
      <c r="AP56" s="107"/>
      <c r="AQ56" s="106"/>
      <c r="AR56" s="106"/>
      <c r="AS56" s="106"/>
      <c r="AT56" s="106"/>
      <c r="AU56" s="106"/>
      <c r="AV56" s="106"/>
      <c r="AW56" s="106"/>
      <c r="AX56" s="108"/>
      <c r="AY56" s="106"/>
      <c r="AZ56" s="107"/>
      <c r="BA56" s="106"/>
      <c r="BB56" s="106"/>
      <c r="BC56" s="106"/>
      <c r="BD56" s="106"/>
      <c r="BE56" s="106"/>
      <c r="BF56" s="106"/>
      <c r="BG56" s="106"/>
      <c r="BH56" s="108"/>
      <c r="BI56" s="106"/>
      <c r="BJ56" s="107"/>
      <c r="BK56" s="106"/>
      <c r="BL56" s="106"/>
      <c r="BM56" s="106"/>
      <c r="BN56" s="106"/>
      <c r="BO56" s="106"/>
      <c r="BP56" s="106"/>
      <c r="BQ56" s="106"/>
      <c r="BR56" s="108"/>
      <c r="BS56" s="38"/>
      <c r="BT56" s="31"/>
    </row>
    <row r="57" spans="1:72" s="39" customFormat="1" ht="9" customHeight="1" x14ac:dyDescent="0.25">
      <c r="A57" s="38"/>
      <c r="B57" s="107"/>
      <c r="C57" s="106"/>
      <c r="D57" s="106"/>
      <c r="E57" s="106"/>
      <c r="F57" s="106"/>
      <c r="G57" s="106"/>
      <c r="H57" s="106"/>
      <c r="I57" s="106"/>
      <c r="J57" s="108"/>
      <c r="K57" s="106"/>
      <c r="L57" s="107"/>
      <c r="M57" s="106"/>
      <c r="N57" s="106"/>
      <c r="O57" s="106"/>
      <c r="P57" s="106"/>
      <c r="Q57" s="106"/>
      <c r="R57" s="106"/>
      <c r="S57" s="106"/>
      <c r="T57" s="108"/>
      <c r="U57" s="106"/>
      <c r="V57" s="107"/>
      <c r="W57" s="106"/>
      <c r="X57" s="106"/>
      <c r="Y57" s="106"/>
      <c r="Z57" s="106"/>
      <c r="AA57" s="106"/>
      <c r="AB57" s="106"/>
      <c r="AC57" s="106"/>
      <c r="AD57" s="108"/>
      <c r="AE57" s="106"/>
      <c r="AF57" s="107"/>
      <c r="AG57" s="106"/>
      <c r="AH57" s="106"/>
      <c r="AI57" s="106"/>
      <c r="AJ57" s="106"/>
      <c r="AK57" s="106"/>
      <c r="AL57" s="106"/>
      <c r="AM57" s="106"/>
      <c r="AN57" s="108"/>
      <c r="AO57" s="106"/>
      <c r="AP57" s="107"/>
      <c r="AQ57" s="106"/>
      <c r="AR57" s="106"/>
      <c r="AS57" s="106"/>
      <c r="AT57" s="106"/>
      <c r="AU57" s="106"/>
      <c r="AV57" s="106"/>
      <c r="AW57" s="106"/>
      <c r="AX57" s="108"/>
      <c r="AY57" s="106"/>
      <c r="AZ57" s="107"/>
      <c r="BA57" s="106"/>
      <c r="BB57" s="106"/>
      <c r="BC57" s="106"/>
      <c r="BD57" s="106"/>
      <c r="BE57" s="106"/>
      <c r="BF57" s="106"/>
      <c r="BG57" s="106"/>
      <c r="BH57" s="108"/>
      <c r="BI57" s="106"/>
      <c r="BJ57" s="107"/>
      <c r="BK57" s="106"/>
      <c r="BL57" s="106"/>
      <c r="BM57" s="106"/>
      <c r="BN57" s="106"/>
      <c r="BO57" s="106"/>
      <c r="BP57" s="106"/>
      <c r="BQ57" s="106"/>
      <c r="BR57" s="108"/>
      <c r="BS57" s="38"/>
      <c r="BT57" s="31"/>
    </row>
    <row r="58" spans="1:72" s="39" customFormat="1" ht="9" customHeight="1" x14ac:dyDescent="0.25">
      <c r="A58" s="38"/>
      <c r="B58" s="107"/>
      <c r="C58" s="106"/>
      <c r="D58" s="106"/>
      <c r="E58" s="106"/>
      <c r="F58" s="106"/>
      <c r="G58" s="106"/>
      <c r="H58" s="106"/>
      <c r="I58" s="106"/>
      <c r="J58" s="108"/>
      <c r="K58" s="106"/>
      <c r="L58" s="107"/>
      <c r="M58" s="106"/>
      <c r="N58" s="106"/>
      <c r="O58" s="106"/>
      <c r="P58" s="106"/>
      <c r="Q58" s="106"/>
      <c r="R58" s="106"/>
      <c r="S58" s="106"/>
      <c r="T58" s="108"/>
      <c r="U58" s="106"/>
      <c r="V58" s="107"/>
      <c r="W58" s="106"/>
      <c r="X58" s="106"/>
      <c r="Y58" s="106"/>
      <c r="Z58" s="106"/>
      <c r="AA58" s="106"/>
      <c r="AB58" s="106"/>
      <c r="AC58" s="106"/>
      <c r="AD58" s="108"/>
      <c r="AE58" s="106"/>
      <c r="AF58" s="107"/>
      <c r="AG58" s="106"/>
      <c r="AH58" s="106"/>
      <c r="AI58" s="106"/>
      <c r="AJ58" s="106"/>
      <c r="AK58" s="106"/>
      <c r="AL58" s="106"/>
      <c r="AM58" s="106"/>
      <c r="AN58" s="108"/>
      <c r="AO58" s="106"/>
      <c r="AP58" s="107"/>
      <c r="AQ58" s="106"/>
      <c r="AR58" s="106"/>
      <c r="AS58" s="106"/>
      <c r="AT58" s="106"/>
      <c r="AU58" s="106"/>
      <c r="AV58" s="106"/>
      <c r="AW58" s="106"/>
      <c r="AX58" s="108"/>
      <c r="AY58" s="106"/>
      <c r="AZ58" s="107"/>
      <c r="BA58" s="106"/>
      <c r="BB58" s="106"/>
      <c r="BC58" s="106"/>
      <c r="BD58" s="106"/>
      <c r="BE58" s="106"/>
      <c r="BF58" s="106"/>
      <c r="BG58" s="106"/>
      <c r="BH58" s="108"/>
      <c r="BI58" s="106"/>
      <c r="BJ58" s="107"/>
      <c r="BK58" s="106"/>
      <c r="BL58" s="106"/>
      <c r="BM58" s="106"/>
      <c r="BN58" s="106"/>
      <c r="BO58" s="106"/>
      <c r="BP58" s="106"/>
      <c r="BQ58" s="106"/>
      <c r="BR58" s="108"/>
      <c r="BS58" s="38"/>
      <c r="BT58" s="31"/>
    </row>
    <row r="59" spans="1:72" s="39" customFormat="1" ht="9" customHeight="1" x14ac:dyDescent="0.25">
      <c r="A59" s="38"/>
      <c r="B59" s="107"/>
      <c r="C59" s="106"/>
      <c r="D59" s="106"/>
      <c r="E59" s="106"/>
      <c r="F59" s="106"/>
      <c r="G59" s="106"/>
      <c r="H59" s="106"/>
      <c r="I59" s="106"/>
      <c r="J59" s="108"/>
      <c r="K59" s="106"/>
      <c r="L59" s="107"/>
      <c r="M59" s="106"/>
      <c r="N59" s="106"/>
      <c r="O59" s="106"/>
      <c r="P59" s="106"/>
      <c r="Q59" s="106"/>
      <c r="R59" s="106"/>
      <c r="S59" s="106"/>
      <c r="T59" s="108"/>
      <c r="U59" s="106"/>
      <c r="V59" s="107"/>
      <c r="W59" s="106"/>
      <c r="X59" s="106"/>
      <c r="Y59" s="106"/>
      <c r="Z59" s="106"/>
      <c r="AA59" s="106"/>
      <c r="AB59" s="106"/>
      <c r="AC59" s="106"/>
      <c r="AD59" s="108"/>
      <c r="AE59" s="106"/>
      <c r="AF59" s="107"/>
      <c r="AG59" s="106"/>
      <c r="AH59" s="106"/>
      <c r="AI59" s="106"/>
      <c r="AJ59" s="106"/>
      <c r="AK59" s="106"/>
      <c r="AL59" s="106"/>
      <c r="AM59" s="106"/>
      <c r="AN59" s="108"/>
      <c r="AO59" s="106"/>
      <c r="AP59" s="107"/>
      <c r="AQ59" s="106"/>
      <c r="AR59" s="106"/>
      <c r="AS59" s="106"/>
      <c r="AT59" s="106"/>
      <c r="AU59" s="106"/>
      <c r="AV59" s="106"/>
      <c r="AW59" s="106"/>
      <c r="AX59" s="108"/>
      <c r="AY59" s="106"/>
      <c r="AZ59" s="107"/>
      <c r="BA59" s="106"/>
      <c r="BB59" s="106"/>
      <c r="BC59" s="106"/>
      <c r="BD59" s="106"/>
      <c r="BE59" s="106"/>
      <c r="BF59" s="106"/>
      <c r="BG59" s="106"/>
      <c r="BH59" s="108"/>
      <c r="BI59" s="106"/>
      <c r="BJ59" s="107"/>
      <c r="BK59" s="106"/>
      <c r="BL59" s="106"/>
      <c r="BM59" s="106"/>
      <c r="BN59" s="106"/>
      <c r="BO59" s="106"/>
      <c r="BP59" s="106"/>
      <c r="BQ59" s="106"/>
      <c r="BR59" s="108"/>
      <c r="BS59" s="38"/>
      <c r="BT59" s="31"/>
    </row>
    <row r="60" spans="1:72" s="39" customFormat="1" ht="9" customHeight="1" x14ac:dyDescent="0.25">
      <c r="A60" s="38"/>
      <c r="B60" s="107"/>
      <c r="C60" s="106"/>
      <c r="D60" s="106"/>
      <c r="E60" s="106"/>
      <c r="F60" s="106"/>
      <c r="G60" s="106"/>
      <c r="H60" s="106"/>
      <c r="I60" s="106"/>
      <c r="J60" s="108"/>
      <c r="K60" s="106"/>
      <c r="L60" s="107"/>
      <c r="M60" s="106"/>
      <c r="N60" s="106"/>
      <c r="O60" s="106"/>
      <c r="P60" s="106"/>
      <c r="Q60" s="106"/>
      <c r="R60" s="106"/>
      <c r="S60" s="106"/>
      <c r="T60" s="108"/>
      <c r="U60" s="106"/>
      <c r="V60" s="107"/>
      <c r="W60" s="106"/>
      <c r="X60" s="106"/>
      <c r="Y60" s="106"/>
      <c r="Z60" s="106"/>
      <c r="AA60" s="106"/>
      <c r="AB60" s="106"/>
      <c r="AC60" s="106"/>
      <c r="AD60" s="108"/>
      <c r="AE60" s="106"/>
      <c r="AF60" s="107"/>
      <c r="AG60" s="106"/>
      <c r="AH60" s="106"/>
      <c r="AI60" s="106"/>
      <c r="AJ60" s="106"/>
      <c r="AK60" s="106"/>
      <c r="AL60" s="106"/>
      <c r="AM60" s="106"/>
      <c r="AN60" s="108"/>
      <c r="AO60" s="106"/>
      <c r="AP60" s="107"/>
      <c r="AQ60" s="106"/>
      <c r="AR60" s="106"/>
      <c r="AS60" s="106"/>
      <c r="AT60" s="106"/>
      <c r="AU60" s="106"/>
      <c r="AV60" s="106"/>
      <c r="AW60" s="106"/>
      <c r="AX60" s="108"/>
      <c r="AY60" s="106"/>
      <c r="AZ60" s="107"/>
      <c r="BA60" s="106"/>
      <c r="BB60" s="106"/>
      <c r="BC60" s="106"/>
      <c r="BD60" s="106"/>
      <c r="BE60" s="106"/>
      <c r="BF60" s="106"/>
      <c r="BG60" s="106"/>
      <c r="BH60" s="108"/>
      <c r="BI60" s="106"/>
      <c r="BJ60" s="107"/>
      <c r="BK60" s="106"/>
      <c r="BL60" s="106"/>
      <c r="BM60" s="106"/>
      <c r="BN60" s="106"/>
      <c r="BO60" s="106"/>
      <c r="BP60" s="106"/>
      <c r="BQ60" s="106"/>
      <c r="BR60" s="108"/>
      <c r="BS60" s="38"/>
      <c r="BT60" s="31"/>
    </row>
    <row r="61" spans="1:72" s="23" customFormat="1" ht="9" customHeight="1" x14ac:dyDescent="0.25">
      <c r="A61" s="26"/>
      <c r="B61" s="88"/>
      <c r="C61" s="87"/>
      <c r="D61" s="87"/>
      <c r="E61" s="87"/>
      <c r="F61" s="87"/>
      <c r="G61" s="87"/>
      <c r="H61" s="87"/>
      <c r="I61" s="87"/>
      <c r="J61" s="89"/>
      <c r="K61" s="87"/>
      <c r="L61" s="88"/>
      <c r="M61" s="87"/>
      <c r="N61" s="87"/>
      <c r="O61" s="87"/>
      <c r="P61" s="87"/>
      <c r="Q61" s="87"/>
      <c r="R61" s="87"/>
      <c r="S61" s="87"/>
      <c r="T61" s="89"/>
      <c r="U61" s="87"/>
      <c r="V61" s="88"/>
      <c r="W61" s="87"/>
      <c r="X61" s="87"/>
      <c r="Y61" s="87"/>
      <c r="Z61" s="87"/>
      <c r="AA61" s="87"/>
      <c r="AB61" s="87"/>
      <c r="AC61" s="87"/>
      <c r="AD61" s="89"/>
      <c r="AE61" s="87"/>
      <c r="AF61" s="88"/>
      <c r="AG61" s="87"/>
      <c r="AH61" s="87"/>
      <c r="AI61" s="87"/>
      <c r="AJ61" s="87"/>
      <c r="AK61" s="87"/>
      <c r="AL61" s="87"/>
      <c r="AM61" s="87"/>
      <c r="AN61" s="89"/>
      <c r="AO61" s="87"/>
      <c r="AP61" s="88"/>
      <c r="AQ61" s="87"/>
      <c r="AR61" s="87"/>
      <c r="AS61" s="87"/>
      <c r="AT61" s="87"/>
      <c r="AU61" s="87"/>
      <c r="AV61" s="87"/>
      <c r="AW61" s="87"/>
      <c r="AX61" s="89"/>
      <c r="AY61" s="87"/>
      <c r="AZ61" s="88"/>
      <c r="BA61" s="87"/>
      <c r="BB61" s="87"/>
      <c r="BC61" s="87"/>
      <c r="BD61" s="87"/>
      <c r="BE61" s="87"/>
      <c r="BF61" s="87"/>
      <c r="BG61" s="87"/>
      <c r="BH61" s="89"/>
      <c r="BI61" s="87"/>
      <c r="BJ61" s="116"/>
      <c r="BK61" s="96"/>
      <c r="BL61" s="96"/>
      <c r="BM61" s="96"/>
      <c r="BN61" s="96"/>
      <c r="BO61" s="96"/>
      <c r="BP61" s="96"/>
      <c r="BQ61" s="96"/>
      <c r="BR61" s="97"/>
      <c r="BS61" s="26"/>
      <c r="BT61" s="31"/>
    </row>
    <row r="62" spans="1:72" s="23" customFormat="1" ht="9" customHeight="1" x14ac:dyDescent="0.25">
      <c r="A62" s="26"/>
      <c r="B62" s="492" t="s">
        <v>422</v>
      </c>
      <c r="C62" s="492"/>
      <c r="D62" s="492"/>
      <c r="E62" s="492"/>
      <c r="F62" s="492"/>
      <c r="G62" s="493">
        <f>CEILING(3059*B5,1)</f>
        <v>4283</v>
      </c>
      <c r="H62" s="493"/>
      <c r="I62" s="493"/>
      <c r="J62" s="493"/>
      <c r="K62" s="223"/>
      <c r="L62" s="492" t="s">
        <v>422</v>
      </c>
      <c r="M62" s="492"/>
      <c r="N62" s="492"/>
      <c r="O62" s="492"/>
      <c r="P62" s="492"/>
      <c r="Q62" s="493">
        <f>CEILING(3603*B5,1)</f>
        <v>5045</v>
      </c>
      <c r="R62" s="493"/>
      <c r="S62" s="493"/>
      <c r="T62" s="493"/>
      <c r="U62" s="223"/>
      <c r="V62" s="492" t="s">
        <v>422</v>
      </c>
      <c r="W62" s="492"/>
      <c r="X62" s="492"/>
      <c r="Y62" s="492"/>
      <c r="Z62" s="492"/>
      <c r="AA62" s="493">
        <f>CEILING(4439*B5,1)</f>
        <v>6215</v>
      </c>
      <c r="AB62" s="493"/>
      <c r="AC62" s="493"/>
      <c r="AD62" s="493"/>
      <c r="AE62" s="223"/>
      <c r="AF62" s="492" t="s">
        <v>422</v>
      </c>
      <c r="AG62" s="492"/>
      <c r="AH62" s="492"/>
      <c r="AI62" s="492"/>
      <c r="AJ62" s="492"/>
      <c r="AK62" s="493">
        <f>CEILING(4318*B5,1)</f>
        <v>6046</v>
      </c>
      <c r="AL62" s="493"/>
      <c r="AM62" s="493"/>
      <c r="AN62" s="493"/>
      <c r="AO62" s="223"/>
      <c r="AP62" s="492" t="s">
        <v>422</v>
      </c>
      <c r="AQ62" s="492"/>
      <c r="AR62" s="492"/>
      <c r="AS62" s="492"/>
      <c r="AT62" s="492"/>
      <c r="AU62" s="493">
        <f>CEILING(4761*B5,1)</f>
        <v>6666</v>
      </c>
      <c r="AV62" s="493"/>
      <c r="AW62" s="493"/>
      <c r="AX62" s="493"/>
      <c r="AY62" s="223"/>
      <c r="AZ62" s="492" t="s">
        <v>422</v>
      </c>
      <c r="BA62" s="492"/>
      <c r="BB62" s="492"/>
      <c r="BC62" s="492"/>
      <c r="BD62" s="492"/>
      <c r="BE62" s="493">
        <f>CEILING(5316*B5,1)</f>
        <v>7443</v>
      </c>
      <c r="BF62" s="493"/>
      <c r="BG62" s="493"/>
      <c r="BH62" s="493"/>
      <c r="BI62" s="182"/>
      <c r="BJ62" s="193"/>
      <c r="BK62" s="185"/>
      <c r="BL62" s="185"/>
      <c r="BM62" s="185"/>
      <c r="BN62" s="185"/>
      <c r="BO62" s="185"/>
      <c r="BP62" s="185"/>
      <c r="BQ62" s="185"/>
      <c r="BR62" s="186"/>
      <c r="BS62" s="26"/>
      <c r="BT62" s="31"/>
    </row>
    <row r="63" spans="1:72" s="23" customFormat="1" ht="9" customHeight="1" x14ac:dyDescent="0.25">
      <c r="A63" s="26"/>
      <c r="B63" s="492" t="s">
        <v>219</v>
      </c>
      <c r="C63" s="492"/>
      <c r="D63" s="492"/>
      <c r="E63" s="492"/>
      <c r="F63" s="492"/>
      <c r="G63" s="493">
        <f>CEILING(3215*B5,1)</f>
        <v>4501</v>
      </c>
      <c r="H63" s="493"/>
      <c r="I63" s="493"/>
      <c r="J63" s="493"/>
      <c r="K63" s="223"/>
      <c r="L63" s="492" t="s">
        <v>219</v>
      </c>
      <c r="M63" s="492"/>
      <c r="N63" s="492"/>
      <c r="O63" s="492"/>
      <c r="P63" s="492"/>
      <c r="Q63" s="493">
        <f>CEILING(3931*B5,1)</f>
        <v>5504</v>
      </c>
      <c r="R63" s="493"/>
      <c r="S63" s="493"/>
      <c r="T63" s="493"/>
      <c r="U63" s="223"/>
      <c r="V63" s="492" t="s">
        <v>219</v>
      </c>
      <c r="W63" s="492"/>
      <c r="X63" s="492"/>
      <c r="Y63" s="492"/>
      <c r="Z63" s="492"/>
      <c r="AA63" s="493">
        <f>CEILING(4646*B5,1)</f>
        <v>6505</v>
      </c>
      <c r="AB63" s="493"/>
      <c r="AC63" s="493"/>
      <c r="AD63" s="493"/>
      <c r="AE63" s="223"/>
      <c r="AF63" s="492" t="s">
        <v>219</v>
      </c>
      <c r="AG63" s="492"/>
      <c r="AH63" s="492"/>
      <c r="AI63" s="492"/>
      <c r="AJ63" s="492"/>
      <c r="AK63" s="493">
        <f>CEILING(4693*B5,1)</f>
        <v>6571</v>
      </c>
      <c r="AL63" s="493"/>
      <c r="AM63" s="493"/>
      <c r="AN63" s="493"/>
      <c r="AO63" s="223"/>
      <c r="AP63" s="492" t="s">
        <v>219</v>
      </c>
      <c r="AQ63" s="492"/>
      <c r="AR63" s="492"/>
      <c r="AS63" s="492"/>
      <c r="AT63" s="492"/>
      <c r="AU63" s="493">
        <f>CEILING(4919*B5,1)</f>
        <v>6887</v>
      </c>
      <c r="AV63" s="493"/>
      <c r="AW63" s="493"/>
      <c r="AX63" s="493"/>
      <c r="AY63" s="223"/>
      <c r="AZ63" s="492" t="s">
        <v>219</v>
      </c>
      <c r="BA63" s="492"/>
      <c r="BB63" s="492"/>
      <c r="BC63" s="492"/>
      <c r="BD63" s="492"/>
      <c r="BE63" s="493">
        <f>CEILING(5827*B5,1)</f>
        <v>8158</v>
      </c>
      <c r="BF63" s="493"/>
      <c r="BG63" s="493"/>
      <c r="BH63" s="493"/>
      <c r="BI63" s="182"/>
      <c r="BJ63" s="492" t="s">
        <v>219</v>
      </c>
      <c r="BK63" s="492"/>
      <c r="BL63" s="492"/>
      <c r="BM63" s="492"/>
      <c r="BN63" s="492"/>
      <c r="BO63" s="493">
        <f>CEILING(5590*B5,1)</f>
        <v>7826</v>
      </c>
      <c r="BP63" s="493"/>
      <c r="BQ63" s="493"/>
      <c r="BR63" s="493"/>
      <c r="BS63" s="26"/>
      <c r="BT63" s="31"/>
    </row>
    <row r="64" spans="1:72" s="23" customFormat="1" ht="1.5" customHeight="1" x14ac:dyDescent="0.25">
      <c r="A64" s="26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26"/>
      <c r="BT64" s="31"/>
    </row>
    <row r="65" spans="1:72" s="23" customFormat="1" ht="9" customHeight="1" x14ac:dyDescent="0.25">
      <c r="A65" s="26"/>
      <c r="B65" s="474" t="s">
        <v>461</v>
      </c>
      <c r="C65" s="475"/>
      <c r="D65" s="476"/>
      <c r="E65" s="504" t="s">
        <v>179</v>
      </c>
      <c r="F65" s="505"/>
      <c r="G65" s="505"/>
      <c r="H65" s="505"/>
      <c r="I65" s="505"/>
      <c r="J65" s="506"/>
      <c r="K65" s="87"/>
      <c r="L65" s="474" t="s">
        <v>462</v>
      </c>
      <c r="M65" s="475"/>
      <c r="N65" s="476"/>
      <c r="O65" s="504" t="s">
        <v>179</v>
      </c>
      <c r="P65" s="505"/>
      <c r="Q65" s="505"/>
      <c r="R65" s="505"/>
      <c r="S65" s="505"/>
      <c r="T65" s="506"/>
      <c r="U65" s="87"/>
      <c r="V65" s="474" t="s">
        <v>463</v>
      </c>
      <c r="W65" s="475"/>
      <c r="X65" s="476"/>
      <c r="Y65" s="504" t="s">
        <v>179</v>
      </c>
      <c r="Z65" s="505"/>
      <c r="AA65" s="505"/>
      <c r="AB65" s="505"/>
      <c r="AC65" s="505"/>
      <c r="AD65" s="506"/>
      <c r="AE65" s="87"/>
      <c r="AF65" s="474" t="s">
        <v>464</v>
      </c>
      <c r="AG65" s="475"/>
      <c r="AH65" s="476"/>
      <c r="AI65" s="504" t="s">
        <v>179</v>
      </c>
      <c r="AJ65" s="505"/>
      <c r="AK65" s="505"/>
      <c r="AL65" s="505"/>
      <c r="AM65" s="505"/>
      <c r="AN65" s="506"/>
      <c r="AO65" s="87"/>
      <c r="AP65" s="474" t="s">
        <v>465</v>
      </c>
      <c r="AQ65" s="475"/>
      <c r="AR65" s="476"/>
      <c r="AS65" s="504" t="s">
        <v>179</v>
      </c>
      <c r="AT65" s="505"/>
      <c r="AU65" s="505"/>
      <c r="AV65" s="505"/>
      <c r="AW65" s="505"/>
      <c r="AX65" s="506"/>
      <c r="AY65" s="87"/>
      <c r="AZ65" s="474" t="s">
        <v>466</v>
      </c>
      <c r="BA65" s="475"/>
      <c r="BB65" s="476"/>
      <c r="BC65" s="504" t="s">
        <v>179</v>
      </c>
      <c r="BD65" s="505"/>
      <c r="BE65" s="505"/>
      <c r="BF65" s="505"/>
      <c r="BG65" s="505"/>
      <c r="BH65" s="506"/>
      <c r="BI65" s="106"/>
      <c r="BJ65" s="474" t="s">
        <v>467</v>
      </c>
      <c r="BK65" s="475"/>
      <c r="BL65" s="476"/>
      <c r="BM65" s="504" t="s">
        <v>179</v>
      </c>
      <c r="BN65" s="505"/>
      <c r="BO65" s="505"/>
      <c r="BP65" s="505"/>
      <c r="BQ65" s="505"/>
      <c r="BR65" s="506"/>
      <c r="BS65" s="26"/>
      <c r="BT65" s="31"/>
    </row>
    <row r="66" spans="1:72" s="23" customFormat="1" ht="9" customHeight="1" x14ac:dyDescent="0.25">
      <c r="A66" s="26"/>
      <c r="B66" s="489" t="s">
        <v>616</v>
      </c>
      <c r="C66" s="490"/>
      <c r="D66" s="490"/>
      <c r="E66" s="490"/>
      <c r="F66" s="490"/>
      <c r="G66" s="490"/>
      <c r="H66" s="490"/>
      <c r="I66" s="490"/>
      <c r="J66" s="491"/>
      <c r="K66" s="90"/>
      <c r="L66" s="489" t="s">
        <v>616</v>
      </c>
      <c r="M66" s="490"/>
      <c r="N66" s="490"/>
      <c r="O66" s="490"/>
      <c r="P66" s="490"/>
      <c r="Q66" s="490"/>
      <c r="R66" s="490"/>
      <c r="S66" s="490"/>
      <c r="T66" s="491"/>
      <c r="U66" s="90"/>
      <c r="V66" s="489" t="s">
        <v>616</v>
      </c>
      <c r="W66" s="490"/>
      <c r="X66" s="490"/>
      <c r="Y66" s="490"/>
      <c r="Z66" s="490"/>
      <c r="AA66" s="490"/>
      <c r="AB66" s="490"/>
      <c r="AC66" s="490"/>
      <c r="AD66" s="491"/>
      <c r="AE66" s="90"/>
      <c r="AF66" s="489" t="s">
        <v>616</v>
      </c>
      <c r="AG66" s="490"/>
      <c r="AH66" s="490"/>
      <c r="AI66" s="490"/>
      <c r="AJ66" s="490"/>
      <c r="AK66" s="490"/>
      <c r="AL66" s="490"/>
      <c r="AM66" s="490"/>
      <c r="AN66" s="491"/>
      <c r="AO66" s="90"/>
      <c r="AP66" s="489" t="s">
        <v>616</v>
      </c>
      <c r="AQ66" s="490"/>
      <c r="AR66" s="490"/>
      <c r="AS66" s="490"/>
      <c r="AT66" s="490"/>
      <c r="AU66" s="490"/>
      <c r="AV66" s="490"/>
      <c r="AW66" s="490"/>
      <c r="AX66" s="491"/>
      <c r="AY66" s="87"/>
      <c r="AZ66" s="489" t="s">
        <v>616</v>
      </c>
      <c r="BA66" s="490"/>
      <c r="BB66" s="490"/>
      <c r="BC66" s="490"/>
      <c r="BD66" s="490"/>
      <c r="BE66" s="490"/>
      <c r="BF66" s="490"/>
      <c r="BG66" s="490"/>
      <c r="BH66" s="491"/>
      <c r="BI66" s="106"/>
      <c r="BJ66" s="489" t="s">
        <v>616</v>
      </c>
      <c r="BK66" s="490"/>
      <c r="BL66" s="490"/>
      <c r="BM66" s="490"/>
      <c r="BN66" s="490"/>
      <c r="BO66" s="490"/>
      <c r="BP66" s="490"/>
      <c r="BQ66" s="490"/>
      <c r="BR66" s="491"/>
      <c r="BS66" s="26"/>
      <c r="BT66" s="36"/>
    </row>
    <row r="67" spans="1:72" s="23" customFormat="1" ht="9" customHeight="1" x14ac:dyDescent="0.25">
      <c r="A67" s="26"/>
      <c r="B67" s="103"/>
      <c r="C67" s="90"/>
      <c r="D67" s="90"/>
      <c r="E67" s="90"/>
      <c r="F67" s="90"/>
      <c r="G67" s="90"/>
      <c r="H67" s="90"/>
      <c r="I67" s="90"/>
      <c r="J67" s="91"/>
      <c r="K67" s="90"/>
      <c r="L67" s="103"/>
      <c r="M67" s="90"/>
      <c r="N67" s="90"/>
      <c r="O67" s="90"/>
      <c r="P67" s="90"/>
      <c r="Q67" s="90"/>
      <c r="R67" s="90"/>
      <c r="S67" s="90"/>
      <c r="T67" s="91"/>
      <c r="U67" s="90"/>
      <c r="V67" s="103"/>
      <c r="W67" s="90"/>
      <c r="X67" s="90"/>
      <c r="Y67" s="90"/>
      <c r="Z67" s="90"/>
      <c r="AA67" s="90"/>
      <c r="AB67" s="90"/>
      <c r="AC67" s="90"/>
      <c r="AD67" s="91"/>
      <c r="AE67" s="90"/>
      <c r="AF67" s="103"/>
      <c r="AG67" s="90"/>
      <c r="AH67" s="90"/>
      <c r="AI67" s="90"/>
      <c r="AJ67" s="90"/>
      <c r="AK67" s="90"/>
      <c r="AL67" s="90"/>
      <c r="AM67" s="90"/>
      <c r="AN67" s="91"/>
      <c r="AO67" s="90"/>
      <c r="AP67" s="103"/>
      <c r="AQ67" s="90"/>
      <c r="AR67" s="90"/>
      <c r="AS67" s="90"/>
      <c r="AT67" s="90"/>
      <c r="AU67" s="90"/>
      <c r="AV67" s="90"/>
      <c r="AW67" s="90"/>
      <c r="AX67" s="91"/>
      <c r="AY67" s="87"/>
      <c r="AZ67" s="116"/>
      <c r="BA67" s="96"/>
      <c r="BB67" s="96"/>
      <c r="BC67" s="90"/>
      <c r="BD67" s="90"/>
      <c r="BE67" s="90"/>
      <c r="BF67" s="90"/>
      <c r="BG67" s="90"/>
      <c r="BH67" s="91"/>
      <c r="BI67" s="106"/>
      <c r="BJ67" s="116"/>
      <c r="BK67" s="96"/>
      <c r="BL67" s="96"/>
      <c r="BM67" s="90"/>
      <c r="BN67" s="90"/>
      <c r="BO67" s="90"/>
      <c r="BP67" s="90"/>
      <c r="BQ67" s="90"/>
      <c r="BR67" s="91"/>
      <c r="BS67" s="26"/>
      <c r="BT67" s="31"/>
    </row>
    <row r="68" spans="1:72" s="23" customFormat="1" ht="9" customHeight="1" x14ac:dyDescent="0.25">
      <c r="A68" s="26"/>
      <c r="B68" s="103"/>
      <c r="C68" s="90"/>
      <c r="D68" s="90"/>
      <c r="E68" s="90"/>
      <c r="F68" s="90"/>
      <c r="G68" s="90"/>
      <c r="H68" s="90"/>
      <c r="I68" s="90"/>
      <c r="J68" s="91"/>
      <c r="K68" s="90"/>
      <c r="L68" s="103"/>
      <c r="M68" s="90"/>
      <c r="N68" s="90"/>
      <c r="O68" s="90"/>
      <c r="P68" s="90"/>
      <c r="Q68" s="90"/>
      <c r="R68" s="90"/>
      <c r="S68" s="90"/>
      <c r="T68" s="91"/>
      <c r="U68" s="90"/>
      <c r="V68" s="103"/>
      <c r="W68" s="90"/>
      <c r="X68" s="90"/>
      <c r="Y68" s="90"/>
      <c r="Z68" s="90"/>
      <c r="AA68" s="90"/>
      <c r="AB68" s="90"/>
      <c r="AC68" s="90"/>
      <c r="AD68" s="91"/>
      <c r="AE68" s="90"/>
      <c r="AF68" s="103"/>
      <c r="AG68" s="90"/>
      <c r="AH68" s="90"/>
      <c r="AI68" s="90"/>
      <c r="AJ68" s="90"/>
      <c r="AK68" s="90"/>
      <c r="AL68" s="90"/>
      <c r="AM68" s="90"/>
      <c r="AN68" s="91"/>
      <c r="AO68" s="90"/>
      <c r="AP68" s="103"/>
      <c r="AQ68" s="90"/>
      <c r="AR68" s="90"/>
      <c r="AS68" s="90"/>
      <c r="AT68" s="90"/>
      <c r="AU68" s="90"/>
      <c r="AV68" s="90"/>
      <c r="AW68" s="90"/>
      <c r="AX68" s="91"/>
      <c r="AY68" s="87"/>
      <c r="AZ68" s="116"/>
      <c r="BA68" s="96"/>
      <c r="BB68" s="96"/>
      <c r="BC68" s="96"/>
      <c r="BD68" s="96"/>
      <c r="BE68" s="96"/>
      <c r="BF68" s="96"/>
      <c r="BG68" s="96"/>
      <c r="BH68" s="97"/>
      <c r="BI68" s="106"/>
      <c r="BJ68" s="103"/>
      <c r="BK68" s="90"/>
      <c r="BL68" s="90"/>
      <c r="BM68" s="90"/>
      <c r="BN68" s="90"/>
      <c r="BO68" s="90"/>
      <c r="BP68" s="90"/>
      <c r="BQ68" s="90"/>
      <c r="BR68" s="91"/>
      <c r="BS68" s="26"/>
      <c r="BT68" s="31"/>
    </row>
    <row r="69" spans="1:72" s="23" customFormat="1" ht="9" customHeight="1" x14ac:dyDescent="0.25">
      <c r="A69" s="26"/>
      <c r="B69" s="88"/>
      <c r="C69" s="87"/>
      <c r="D69" s="87"/>
      <c r="E69" s="87"/>
      <c r="F69" s="87"/>
      <c r="G69" s="87"/>
      <c r="H69" s="87"/>
      <c r="I69" s="87"/>
      <c r="J69" s="89"/>
      <c r="K69" s="87"/>
      <c r="L69" s="88"/>
      <c r="M69" s="87"/>
      <c r="N69" s="87"/>
      <c r="O69" s="87"/>
      <c r="P69" s="87"/>
      <c r="Q69" s="87"/>
      <c r="R69" s="87"/>
      <c r="S69" s="87"/>
      <c r="T69" s="89"/>
      <c r="U69" s="87"/>
      <c r="V69" s="88"/>
      <c r="W69" s="87"/>
      <c r="X69" s="87"/>
      <c r="Y69" s="87"/>
      <c r="Z69" s="87"/>
      <c r="AA69" s="87"/>
      <c r="AB69" s="87"/>
      <c r="AC69" s="87"/>
      <c r="AD69" s="89"/>
      <c r="AE69" s="87"/>
      <c r="AF69" s="88"/>
      <c r="AG69" s="87"/>
      <c r="AH69" s="87"/>
      <c r="AI69" s="87"/>
      <c r="AJ69" s="87"/>
      <c r="AK69" s="87"/>
      <c r="AL69" s="87"/>
      <c r="AM69" s="87"/>
      <c r="AN69" s="89"/>
      <c r="AO69" s="87"/>
      <c r="AP69" s="88"/>
      <c r="AQ69" s="87"/>
      <c r="AR69" s="87"/>
      <c r="AS69" s="87"/>
      <c r="AT69" s="87"/>
      <c r="AU69" s="87"/>
      <c r="AV69" s="87"/>
      <c r="AW69" s="87"/>
      <c r="AX69" s="89"/>
      <c r="AY69" s="87"/>
      <c r="AZ69" s="116"/>
      <c r="BA69" s="96"/>
      <c r="BB69" s="96"/>
      <c r="BC69" s="96"/>
      <c r="BD69" s="96"/>
      <c r="BE69" s="96"/>
      <c r="BF69" s="96"/>
      <c r="BG69" s="96"/>
      <c r="BH69" s="97"/>
      <c r="BI69" s="106"/>
      <c r="BJ69" s="116"/>
      <c r="BK69" s="96"/>
      <c r="BL69" s="96"/>
      <c r="BM69" s="96"/>
      <c r="BN69" s="96"/>
      <c r="BO69" s="96"/>
      <c r="BP69" s="96"/>
      <c r="BQ69" s="96"/>
      <c r="BR69" s="97"/>
      <c r="BS69" s="26"/>
      <c r="BT69" s="31"/>
    </row>
    <row r="70" spans="1:72" s="23" customFormat="1" ht="9" customHeight="1" x14ac:dyDescent="0.25">
      <c r="A70" s="26"/>
      <c r="B70" s="88"/>
      <c r="C70" s="87"/>
      <c r="D70" s="87"/>
      <c r="E70" s="87"/>
      <c r="F70" s="87"/>
      <c r="G70" s="87"/>
      <c r="H70" s="87"/>
      <c r="I70" s="87"/>
      <c r="J70" s="89"/>
      <c r="K70" s="87"/>
      <c r="L70" s="88"/>
      <c r="M70" s="87"/>
      <c r="N70" s="87"/>
      <c r="O70" s="87"/>
      <c r="P70" s="87"/>
      <c r="Q70" s="87"/>
      <c r="R70" s="87"/>
      <c r="S70" s="87"/>
      <c r="T70" s="89"/>
      <c r="U70" s="87"/>
      <c r="V70" s="88"/>
      <c r="W70" s="87"/>
      <c r="X70" s="87"/>
      <c r="Y70" s="87"/>
      <c r="Z70" s="87"/>
      <c r="AA70" s="87"/>
      <c r="AB70" s="87"/>
      <c r="AC70" s="87"/>
      <c r="AD70" s="89"/>
      <c r="AE70" s="87"/>
      <c r="AF70" s="88"/>
      <c r="AG70" s="87"/>
      <c r="AH70" s="87"/>
      <c r="AI70" s="87"/>
      <c r="AJ70" s="87"/>
      <c r="AK70" s="87"/>
      <c r="AL70" s="87"/>
      <c r="AM70" s="87"/>
      <c r="AN70" s="89"/>
      <c r="AO70" s="87"/>
      <c r="AP70" s="88"/>
      <c r="AQ70" s="87"/>
      <c r="AR70" s="87"/>
      <c r="AS70" s="87"/>
      <c r="AT70" s="87"/>
      <c r="AU70" s="87"/>
      <c r="AV70" s="87"/>
      <c r="AW70" s="87"/>
      <c r="AX70" s="89"/>
      <c r="AY70" s="87"/>
      <c r="AZ70" s="116"/>
      <c r="BA70" s="96"/>
      <c r="BB70" s="96"/>
      <c r="BC70" s="96"/>
      <c r="BD70" s="96"/>
      <c r="BE70" s="96"/>
      <c r="BF70" s="96"/>
      <c r="BG70" s="96"/>
      <c r="BH70" s="97"/>
      <c r="BI70" s="106"/>
      <c r="BJ70" s="116"/>
      <c r="BK70" s="96"/>
      <c r="BL70" s="96"/>
      <c r="BM70" s="96"/>
      <c r="BN70" s="96"/>
      <c r="BO70" s="96"/>
      <c r="BP70" s="96"/>
      <c r="BQ70" s="96"/>
      <c r="BR70" s="97"/>
      <c r="BS70" s="26"/>
      <c r="BT70" s="31"/>
    </row>
    <row r="71" spans="1:72" s="23" customFormat="1" ht="9" customHeight="1" x14ac:dyDescent="0.25">
      <c r="A71" s="26"/>
      <c r="B71" s="88"/>
      <c r="C71" s="87"/>
      <c r="D71" s="87"/>
      <c r="E71" s="87"/>
      <c r="F71" s="87"/>
      <c r="G71" s="87"/>
      <c r="H71" s="87"/>
      <c r="I71" s="87"/>
      <c r="J71" s="89"/>
      <c r="K71" s="87"/>
      <c r="L71" s="88"/>
      <c r="M71" s="87"/>
      <c r="N71" s="87"/>
      <c r="O71" s="87"/>
      <c r="P71" s="87"/>
      <c r="Q71" s="87"/>
      <c r="R71" s="87"/>
      <c r="S71" s="87"/>
      <c r="T71" s="89"/>
      <c r="U71" s="87"/>
      <c r="V71" s="88"/>
      <c r="W71" s="87"/>
      <c r="X71" s="87"/>
      <c r="Y71" s="87"/>
      <c r="Z71" s="87"/>
      <c r="AA71" s="87"/>
      <c r="AB71" s="87"/>
      <c r="AC71" s="87"/>
      <c r="AD71" s="89"/>
      <c r="AE71" s="87"/>
      <c r="AF71" s="88"/>
      <c r="AG71" s="87"/>
      <c r="AH71" s="87"/>
      <c r="AI71" s="87"/>
      <c r="AJ71" s="87"/>
      <c r="AK71" s="87"/>
      <c r="AL71" s="87"/>
      <c r="AM71" s="87"/>
      <c r="AN71" s="89"/>
      <c r="AO71" s="87"/>
      <c r="AP71" s="88"/>
      <c r="AQ71" s="87"/>
      <c r="AR71" s="87"/>
      <c r="AS71" s="87"/>
      <c r="AT71" s="87"/>
      <c r="AU71" s="87"/>
      <c r="AV71" s="87"/>
      <c r="AW71" s="87"/>
      <c r="AX71" s="89"/>
      <c r="AY71" s="87"/>
      <c r="AZ71" s="116"/>
      <c r="BA71" s="96"/>
      <c r="BB71" s="96"/>
      <c r="BC71" s="96"/>
      <c r="BD71" s="96"/>
      <c r="BE71" s="96"/>
      <c r="BF71" s="96"/>
      <c r="BG71" s="96"/>
      <c r="BH71" s="97"/>
      <c r="BI71" s="106"/>
      <c r="BJ71" s="116"/>
      <c r="BK71" s="96"/>
      <c r="BL71" s="96"/>
      <c r="BM71" s="96"/>
      <c r="BN71" s="96"/>
      <c r="BO71" s="96"/>
      <c r="BP71" s="96"/>
      <c r="BQ71" s="96"/>
      <c r="BR71" s="97"/>
      <c r="BS71" s="26"/>
      <c r="BT71" s="31"/>
    </row>
    <row r="72" spans="1:72" s="23" customFormat="1" ht="9" customHeight="1" x14ac:dyDescent="0.25">
      <c r="A72" s="26"/>
      <c r="B72" s="88"/>
      <c r="C72" s="87"/>
      <c r="D72" s="87"/>
      <c r="E72" s="87"/>
      <c r="F72" s="87"/>
      <c r="G72" s="87"/>
      <c r="H72" s="87"/>
      <c r="I72" s="87"/>
      <c r="J72" s="89"/>
      <c r="K72" s="87"/>
      <c r="L72" s="88"/>
      <c r="M72" s="87"/>
      <c r="N72" s="87"/>
      <c r="O72" s="87"/>
      <c r="P72" s="87"/>
      <c r="Q72" s="87"/>
      <c r="R72" s="87"/>
      <c r="S72" s="87"/>
      <c r="T72" s="89"/>
      <c r="U72" s="87"/>
      <c r="V72" s="88"/>
      <c r="W72" s="87"/>
      <c r="X72" s="87"/>
      <c r="Y72" s="87"/>
      <c r="Z72" s="87"/>
      <c r="AA72" s="87"/>
      <c r="AB72" s="87"/>
      <c r="AC72" s="87"/>
      <c r="AD72" s="89"/>
      <c r="AE72" s="87"/>
      <c r="AF72" s="88"/>
      <c r="AG72" s="87"/>
      <c r="AH72" s="87"/>
      <c r="AI72" s="87"/>
      <c r="AJ72" s="87"/>
      <c r="AK72" s="87"/>
      <c r="AL72" s="87"/>
      <c r="AM72" s="87"/>
      <c r="AN72" s="89"/>
      <c r="AO72" s="87"/>
      <c r="AP72" s="88"/>
      <c r="AQ72" s="87"/>
      <c r="AR72" s="87"/>
      <c r="AS72" s="87"/>
      <c r="AT72" s="87"/>
      <c r="AU72" s="87"/>
      <c r="AV72" s="87"/>
      <c r="AW72" s="87"/>
      <c r="AX72" s="89"/>
      <c r="AY72" s="87"/>
      <c r="AZ72" s="116"/>
      <c r="BA72" s="96"/>
      <c r="BB72" s="96"/>
      <c r="BC72" s="96"/>
      <c r="BD72" s="96"/>
      <c r="BE72" s="96"/>
      <c r="BF72" s="96"/>
      <c r="BG72" s="96"/>
      <c r="BH72" s="97"/>
      <c r="BI72" s="106"/>
      <c r="BJ72" s="116"/>
      <c r="BK72" s="96"/>
      <c r="BL72" s="96"/>
      <c r="BM72" s="96"/>
      <c r="BN72" s="96"/>
      <c r="BO72" s="96"/>
      <c r="BP72" s="96"/>
      <c r="BQ72" s="96"/>
      <c r="BR72" s="97"/>
      <c r="BS72" s="26"/>
      <c r="BT72" s="31"/>
    </row>
    <row r="73" spans="1:72" s="23" customFormat="1" ht="9" customHeight="1" x14ac:dyDescent="0.25">
      <c r="A73" s="26"/>
      <c r="B73" s="88"/>
      <c r="C73" s="87"/>
      <c r="D73" s="87"/>
      <c r="E73" s="87"/>
      <c r="F73" s="87"/>
      <c r="G73" s="87"/>
      <c r="H73" s="87"/>
      <c r="I73" s="87"/>
      <c r="J73" s="89"/>
      <c r="K73" s="87"/>
      <c r="L73" s="88"/>
      <c r="M73" s="87"/>
      <c r="N73" s="87"/>
      <c r="O73" s="87"/>
      <c r="P73" s="87"/>
      <c r="Q73" s="87"/>
      <c r="R73" s="87"/>
      <c r="S73" s="87"/>
      <c r="T73" s="89"/>
      <c r="U73" s="87"/>
      <c r="V73" s="88"/>
      <c r="W73" s="87"/>
      <c r="X73" s="87"/>
      <c r="Y73" s="87"/>
      <c r="Z73" s="87"/>
      <c r="AA73" s="87"/>
      <c r="AB73" s="87"/>
      <c r="AC73" s="87"/>
      <c r="AD73" s="89"/>
      <c r="AE73" s="87"/>
      <c r="AF73" s="88"/>
      <c r="AG73" s="87"/>
      <c r="AH73" s="87"/>
      <c r="AI73" s="87"/>
      <c r="AJ73" s="87"/>
      <c r="AK73" s="87"/>
      <c r="AL73" s="87"/>
      <c r="AM73" s="87"/>
      <c r="AN73" s="89"/>
      <c r="AO73" s="87"/>
      <c r="AP73" s="88"/>
      <c r="AQ73" s="87"/>
      <c r="AR73" s="87"/>
      <c r="AS73" s="87"/>
      <c r="AT73" s="87"/>
      <c r="AU73" s="87"/>
      <c r="AV73" s="87"/>
      <c r="AW73" s="87"/>
      <c r="AX73" s="89"/>
      <c r="AY73" s="87"/>
      <c r="AZ73" s="116"/>
      <c r="BA73" s="96"/>
      <c r="BB73" s="96"/>
      <c r="BC73" s="96"/>
      <c r="BD73" s="96"/>
      <c r="BE73" s="96"/>
      <c r="BF73" s="96"/>
      <c r="BG73" s="96"/>
      <c r="BH73" s="97"/>
      <c r="BI73" s="106"/>
      <c r="BJ73" s="116"/>
      <c r="BK73" s="96"/>
      <c r="BL73" s="96"/>
      <c r="BM73" s="96"/>
      <c r="BN73" s="96"/>
      <c r="BO73" s="96"/>
      <c r="BP73" s="96"/>
      <c r="BQ73" s="96"/>
      <c r="BR73" s="97"/>
      <c r="BS73" s="26"/>
      <c r="BT73" s="31"/>
    </row>
    <row r="74" spans="1:72" s="23" customFormat="1" ht="9" customHeight="1" x14ac:dyDescent="0.25">
      <c r="A74" s="26"/>
      <c r="B74" s="88"/>
      <c r="C74" s="87"/>
      <c r="D74" s="87"/>
      <c r="E74" s="87"/>
      <c r="F74" s="87"/>
      <c r="G74" s="87"/>
      <c r="H74" s="87"/>
      <c r="I74" s="87"/>
      <c r="J74" s="89"/>
      <c r="K74" s="87"/>
      <c r="L74" s="88"/>
      <c r="M74" s="87"/>
      <c r="N74" s="87"/>
      <c r="O74" s="87"/>
      <c r="P74" s="87"/>
      <c r="Q74" s="87"/>
      <c r="R74" s="87"/>
      <c r="S74" s="87"/>
      <c r="T74" s="89"/>
      <c r="U74" s="87"/>
      <c r="V74" s="88"/>
      <c r="W74" s="87"/>
      <c r="X74" s="87"/>
      <c r="Y74" s="87"/>
      <c r="Z74" s="87"/>
      <c r="AA74" s="87"/>
      <c r="AB74" s="87"/>
      <c r="AC74" s="87"/>
      <c r="AD74" s="89"/>
      <c r="AE74" s="87"/>
      <c r="AF74" s="88"/>
      <c r="AG74" s="87"/>
      <c r="AH74" s="87"/>
      <c r="AI74" s="87"/>
      <c r="AJ74" s="87"/>
      <c r="AK74" s="87"/>
      <c r="AL74" s="87"/>
      <c r="AM74" s="87"/>
      <c r="AN74" s="89"/>
      <c r="AO74" s="87"/>
      <c r="AP74" s="88"/>
      <c r="AQ74" s="87"/>
      <c r="AR74" s="87"/>
      <c r="AS74" s="87"/>
      <c r="AT74" s="87"/>
      <c r="AU74" s="87"/>
      <c r="AV74" s="87"/>
      <c r="AW74" s="87"/>
      <c r="AX74" s="89"/>
      <c r="AY74" s="87"/>
      <c r="AZ74" s="116"/>
      <c r="BA74" s="96"/>
      <c r="BB74" s="96"/>
      <c r="BC74" s="96"/>
      <c r="BD74" s="96"/>
      <c r="BE74" s="96"/>
      <c r="BF74" s="96"/>
      <c r="BG74" s="96"/>
      <c r="BH74" s="97"/>
      <c r="BI74" s="106"/>
      <c r="BJ74" s="116"/>
      <c r="BK74" s="96"/>
      <c r="BL74" s="96"/>
      <c r="BM74" s="96"/>
      <c r="BN74" s="96"/>
      <c r="BO74" s="96"/>
      <c r="BP74" s="96"/>
      <c r="BQ74" s="96"/>
      <c r="BR74" s="97"/>
      <c r="BS74" s="26"/>
      <c r="BT74" s="31"/>
    </row>
    <row r="75" spans="1:72" s="23" customFormat="1" ht="9" customHeight="1" x14ac:dyDescent="0.25">
      <c r="A75" s="26"/>
      <c r="B75" s="88"/>
      <c r="C75" s="87"/>
      <c r="D75" s="87"/>
      <c r="E75" s="87"/>
      <c r="F75" s="87"/>
      <c r="G75" s="87"/>
      <c r="H75" s="87"/>
      <c r="I75" s="87"/>
      <c r="J75" s="89"/>
      <c r="K75" s="87"/>
      <c r="L75" s="88"/>
      <c r="M75" s="87"/>
      <c r="N75" s="87"/>
      <c r="O75" s="87"/>
      <c r="P75" s="87"/>
      <c r="Q75" s="87"/>
      <c r="R75" s="87"/>
      <c r="S75" s="87"/>
      <c r="T75" s="89"/>
      <c r="U75" s="87"/>
      <c r="V75" s="88"/>
      <c r="W75" s="87"/>
      <c r="X75" s="87"/>
      <c r="Y75" s="87"/>
      <c r="Z75" s="87"/>
      <c r="AA75" s="87"/>
      <c r="AB75" s="87"/>
      <c r="AC75" s="87"/>
      <c r="AD75" s="89"/>
      <c r="AE75" s="87"/>
      <c r="AF75" s="88"/>
      <c r="AG75" s="87"/>
      <c r="AH75" s="87"/>
      <c r="AI75" s="87"/>
      <c r="AJ75" s="87"/>
      <c r="AK75" s="87"/>
      <c r="AL75" s="87"/>
      <c r="AM75" s="87"/>
      <c r="AN75" s="89"/>
      <c r="AO75" s="87"/>
      <c r="AP75" s="88"/>
      <c r="AQ75" s="87"/>
      <c r="AR75" s="87"/>
      <c r="AS75" s="87"/>
      <c r="AT75" s="87"/>
      <c r="AU75" s="87"/>
      <c r="AV75" s="87"/>
      <c r="AW75" s="87"/>
      <c r="AX75" s="89"/>
      <c r="AY75" s="87"/>
      <c r="AZ75" s="116"/>
      <c r="BA75" s="96"/>
      <c r="BB75" s="96"/>
      <c r="BC75" s="96"/>
      <c r="BD75" s="96"/>
      <c r="BE75" s="96"/>
      <c r="BF75" s="96"/>
      <c r="BG75" s="96"/>
      <c r="BH75" s="97"/>
      <c r="BI75" s="106"/>
      <c r="BJ75" s="116"/>
      <c r="BK75" s="96"/>
      <c r="BL75" s="96"/>
      <c r="BM75" s="96"/>
      <c r="BN75" s="96"/>
      <c r="BO75" s="96"/>
      <c r="BP75" s="96"/>
      <c r="BQ75" s="96"/>
      <c r="BR75" s="97"/>
      <c r="BS75" s="26"/>
      <c r="BT75" s="31"/>
    </row>
    <row r="76" spans="1:72" s="23" customFormat="1" ht="9" customHeight="1" x14ac:dyDescent="0.25">
      <c r="A76" s="26"/>
      <c r="B76" s="107"/>
      <c r="C76" s="106"/>
      <c r="D76" s="106"/>
      <c r="E76" s="106"/>
      <c r="F76" s="106"/>
      <c r="G76" s="106"/>
      <c r="H76" s="106"/>
      <c r="I76" s="106"/>
      <c r="J76" s="108"/>
      <c r="K76" s="87"/>
      <c r="L76" s="107"/>
      <c r="M76" s="106"/>
      <c r="N76" s="106"/>
      <c r="O76" s="106"/>
      <c r="P76" s="106"/>
      <c r="Q76" s="106"/>
      <c r="R76" s="106"/>
      <c r="S76" s="106"/>
      <c r="T76" s="108"/>
      <c r="U76" s="87"/>
      <c r="V76" s="107"/>
      <c r="W76" s="106"/>
      <c r="X76" s="106"/>
      <c r="Y76" s="106"/>
      <c r="Z76" s="106"/>
      <c r="AA76" s="106"/>
      <c r="AB76" s="106"/>
      <c r="AC76" s="106"/>
      <c r="AD76" s="108"/>
      <c r="AE76" s="87"/>
      <c r="AF76" s="88"/>
      <c r="AG76" s="87"/>
      <c r="AH76" s="87"/>
      <c r="AI76" s="87"/>
      <c r="AJ76" s="87"/>
      <c r="AK76" s="87"/>
      <c r="AL76" s="87"/>
      <c r="AM76" s="87"/>
      <c r="AN76" s="89"/>
      <c r="AO76" s="87"/>
      <c r="AP76" s="88"/>
      <c r="AQ76" s="87"/>
      <c r="AR76" s="87"/>
      <c r="AS76" s="87"/>
      <c r="AT76" s="87"/>
      <c r="AU76" s="87"/>
      <c r="AV76" s="87"/>
      <c r="AW76" s="87"/>
      <c r="AX76" s="89"/>
      <c r="AY76" s="87"/>
      <c r="AZ76" s="116"/>
      <c r="BA76" s="96"/>
      <c r="BB76" s="96"/>
      <c r="BC76" s="96"/>
      <c r="BD76" s="96"/>
      <c r="BE76" s="96"/>
      <c r="BF76" s="96"/>
      <c r="BG76" s="96"/>
      <c r="BH76" s="97"/>
      <c r="BI76" s="106"/>
      <c r="BJ76" s="116"/>
      <c r="BK76" s="96"/>
      <c r="BL76" s="96"/>
      <c r="BM76" s="96"/>
      <c r="BN76" s="96"/>
      <c r="BO76" s="96"/>
      <c r="BP76" s="96"/>
      <c r="BQ76" s="96"/>
      <c r="BR76" s="97"/>
      <c r="BS76" s="26"/>
      <c r="BT76" s="31"/>
    </row>
    <row r="77" spans="1:72" s="23" customFormat="1" ht="8.25" customHeight="1" x14ac:dyDescent="0.25">
      <c r="A77" s="26"/>
      <c r="B77" s="88"/>
      <c r="C77" s="87"/>
      <c r="D77" s="87"/>
      <c r="E77" s="87"/>
      <c r="F77" s="87"/>
      <c r="G77" s="87"/>
      <c r="H77" s="87"/>
      <c r="I77" s="87"/>
      <c r="J77" s="89"/>
      <c r="K77" s="87"/>
      <c r="L77" s="88"/>
      <c r="M77" s="87"/>
      <c r="N77" s="87"/>
      <c r="O77" s="87"/>
      <c r="P77" s="87"/>
      <c r="Q77" s="87"/>
      <c r="R77" s="87"/>
      <c r="S77" s="87"/>
      <c r="T77" s="89"/>
      <c r="U77" s="87"/>
      <c r="V77" s="88"/>
      <c r="W77" s="87"/>
      <c r="X77" s="87"/>
      <c r="Y77" s="87"/>
      <c r="Z77" s="87"/>
      <c r="AA77" s="87"/>
      <c r="AB77" s="87"/>
      <c r="AC77" s="87"/>
      <c r="AD77" s="89"/>
      <c r="AE77" s="87"/>
      <c r="AF77" s="88"/>
      <c r="AG77" s="202"/>
      <c r="AH77" s="202"/>
      <c r="AI77" s="202"/>
      <c r="AJ77" s="202"/>
      <c r="AK77" s="202"/>
      <c r="AL77" s="202"/>
      <c r="AM77" s="202"/>
      <c r="AN77" s="203"/>
      <c r="AO77" s="87"/>
      <c r="AP77" s="88"/>
      <c r="AQ77" s="202"/>
      <c r="AR77" s="202"/>
      <c r="AS77" s="202"/>
      <c r="AT77" s="202"/>
      <c r="AU77" s="202"/>
      <c r="AV77" s="202"/>
      <c r="AW77" s="202"/>
      <c r="AX77" s="203"/>
      <c r="AY77" s="87"/>
      <c r="AZ77" s="116"/>
      <c r="BA77" s="96"/>
      <c r="BB77" s="96"/>
      <c r="BC77" s="96"/>
      <c r="BD77" s="96"/>
      <c r="BE77" s="96"/>
      <c r="BF77" s="96"/>
      <c r="BG77" s="96"/>
      <c r="BH77" s="97"/>
      <c r="BI77" s="106"/>
      <c r="BJ77" s="116"/>
      <c r="BK77" s="96"/>
      <c r="BL77" s="96"/>
      <c r="BM77" s="96"/>
      <c r="BN77" s="96"/>
      <c r="BO77" s="96"/>
      <c r="BP77" s="96"/>
      <c r="BQ77" s="96"/>
      <c r="BR77" s="97"/>
      <c r="BS77" s="26"/>
      <c r="BT77" s="31"/>
    </row>
    <row r="78" spans="1:72" s="23" customFormat="1" ht="9" customHeight="1" x14ac:dyDescent="0.25">
      <c r="A78" s="26"/>
      <c r="B78" s="492" t="s">
        <v>475</v>
      </c>
      <c r="C78" s="492"/>
      <c r="D78" s="492"/>
      <c r="E78" s="492"/>
      <c r="F78" s="492"/>
      <c r="G78" s="493">
        <f>CEILING(3250*B5,1)</f>
        <v>4550</v>
      </c>
      <c r="H78" s="493"/>
      <c r="I78" s="493"/>
      <c r="J78" s="493"/>
      <c r="K78" s="223"/>
      <c r="L78" s="492" t="s">
        <v>422</v>
      </c>
      <c r="M78" s="492"/>
      <c r="N78" s="492"/>
      <c r="O78" s="492"/>
      <c r="P78" s="492"/>
      <c r="Q78" s="493">
        <f>CEILING(3624*B5,1)</f>
        <v>5074</v>
      </c>
      <c r="R78" s="493"/>
      <c r="S78" s="493"/>
      <c r="T78" s="493"/>
      <c r="U78" s="223"/>
      <c r="V78" s="492" t="s">
        <v>636</v>
      </c>
      <c r="W78" s="492"/>
      <c r="X78" s="492"/>
      <c r="Y78" s="492"/>
      <c r="Z78" s="492"/>
      <c r="AA78" s="493">
        <f>CEILING(3387*B5,1)</f>
        <v>4742</v>
      </c>
      <c r="AB78" s="493"/>
      <c r="AC78" s="493"/>
      <c r="AD78" s="493"/>
      <c r="AE78" s="223"/>
      <c r="AF78" s="492" t="s">
        <v>478</v>
      </c>
      <c r="AG78" s="492"/>
      <c r="AH78" s="492"/>
      <c r="AI78" s="492"/>
      <c r="AJ78" s="492"/>
      <c r="AK78" s="493">
        <f>CEILING(4942*B5,1)</f>
        <v>6919</v>
      </c>
      <c r="AL78" s="493"/>
      <c r="AM78" s="493"/>
      <c r="AN78" s="493"/>
      <c r="AO78" s="223"/>
      <c r="AP78" s="492" t="s">
        <v>419</v>
      </c>
      <c r="AQ78" s="492"/>
      <c r="AR78" s="492"/>
      <c r="AS78" s="492"/>
      <c r="AT78" s="492"/>
      <c r="AU78" s="493">
        <f>CEILING(4967*B5,1)</f>
        <v>6954</v>
      </c>
      <c r="AV78" s="493"/>
      <c r="AW78" s="493"/>
      <c r="AX78" s="493"/>
      <c r="AY78" s="223"/>
      <c r="AZ78" s="492" t="s">
        <v>478</v>
      </c>
      <c r="BA78" s="492"/>
      <c r="BB78" s="492"/>
      <c r="BC78" s="492"/>
      <c r="BD78" s="492"/>
      <c r="BE78" s="493">
        <f>CEILING(5963*B5,1)</f>
        <v>8349</v>
      </c>
      <c r="BF78" s="493"/>
      <c r="BG78" s="493"/>
      <c r="BH78" s="493"/>
      <c r="BI78" s="223"/>
      <c r="BJ78" s="492" t="s">
        <v>479</v>
      </c>
      <c r="BK78" s="492"/>
      <c r="BL78" s="492"/>
      <c r="BM78" s="492"/>
      <c r="BN78" s="492"/>
      <c r="BO78" s="493">
        <f>CEILING(3135*B5,1)</f>
        <v>4389</v>
      </c>
      <c r="BP78" s="493"/>
      <c r="BQ78" s="493"/>
      <c r="BR78" s="493"/>
      <c r="BS78" s="26"/>
      <c r="BT78" s="31"/>
    </row>
    <row r="79" spans="1:72" s="23" customFormat="1" ht="9" customHeight="1" x14ac:dyDescent="0.25">
      <c r="A79" s="26"/>
      <c r="B79" s="492" t="s">
        <v>476</v>
      </c>
      <c r="C79" s="492"/>
      <c r="D79" s="492"/>
      <c r="E79" s="492"/>
      <c r="F79" s="492"/>
      <c r="G79" s="493">
        <f>CEILING(3705*B5,1)</f>
        <v>5187</v>
      </c>
      <c r="H79" s="493"/>
      <c r="I79" s="493"/>
      <c r="J79" s="493"/>
      <c r="K79" s="223"/>
      <c r="L79" s="492" t="s">
        <v>219</v>
      </c>
      <c r="M79" s="492"/>
      <c r="N79" s="492"/>
      <c r="O79" s="492"/>
      <c r="P79" s="492"/>
      <c r="Q79" s="493">
        <f>CEILING(3818*B5,1)</f>
        <v>5346</v>
      </c>
      <c r="R79" s="493"/>
      <c r="S79" s="493"/>
      <c r="T79" s="493"/>
      <c r="U79" s="223"/>
      <c r="V79" s="492" t="s">
        <v>477</v>
      </c>
      <c r="W79" s="492"/>
      <c r="X79" s="492"/>
      <c r="Y79" s="492"/>
      <c r="Z79" s="492"/>
      <c r="AA79" s="493">
        <f>CEILING(3886*B5,1)</f>
        <v>5441</v>
      </c>
      <c r="AB79" s="493"/>
      <c r="AC79" s="493"/>
      <c r="AD79" s="493"/>
      <c r="AE79" s="223"/>
      <c r="AF79" s="492" t="s">
        <v>428</v>
      </c>
      <c r="AG79" s="492"/>
      <c r="AH79" s="492"/>
      <c r="AI79" s="492"/>
      <c r="AJ79" s="492"/>
      <c r="AK79" s="493">
        <f>CEILING(5216*B5,1)</f>
        <v>7303</v>
      </c>
      <c r="AL79" s="493"/>
      <c r="AM79" s="493"/>
      <c r="AN79" s="493"/>
      <c r="AO79" s="223"/>
      <c r="AP79" s="492" t="s">
        <v>424</v>
      </c>
      <c r="AQ79" s="492"/>
      <c r="AR79" s="492"/>
      <c r="AS79" s="492"/>
      <c r="AT79" s="492"/>
      <c r="AU79" s="493">
        <f>CEILING(5635*B5,1)</f>
        <v>7889</v>
      </c>
      <c r="AV79" s="493"/>
      <c r="AW79" s="493"/>
      <c r="AX79" s="493"/>
      <c r="AY79" s="223"/>
      <c r="AZ79" s="492" t="s">
        <v>428</v>
      </c>
      <c r="BA79" s="492"/>
      <c r="BB79" s="492"/>
      <c r="BC79" s="492"/>
      <c r="BD79" s="492"/>
      <c r="BE79" s="493">
        <f>CEILING(7361*B5,1)</f>
        <v>10306</v>
      </c>
      <c r="BF79" s="493"/>
      <c r="BG79" s="493"/>
      <c r="BH79" s="493"/>
      <c r="BI79" s="223"/>
      <c r="BJ79" s="492" t="s">
        <v>638</v>
      </c>
      <c r="BK79" s="492"/>
      <c r="BL79" s="492"/>
      <c r="BM79" s="492"/>
      <c r="BN79" s="492"/>
      <c r="BO79" s="493">
        <f>CEILING(3488*B5,1)</f>
        <v>4884</v>
      </c>
      <c r="BP79" s="493"/>
      <c r="BQ79" s="493"/>
      <c r="BR79" s="493"/>
      <c r="BS79" s="26"/>
      <c r="BT79" s="31"/>
    </row>
    <row r="80" spans="1:72" s="23" customFormat="1" ht="1.5" customHeight="1" x14ac:dyDescent="0.25">
      <c r="A80" s="26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202"/>
      <c r="BO80" s="202"/>
      <c r="BP80" s="202"/>
      <c r="BQ80" s="202"/>
      <c r="BR80" s="202"/>
      <c r="BS80" s="26"/>
      <c r="BT80" s="31"/>
    </row>
    <row r="81" spans="1:80" s="23" customFormat="1" ht="9" customHeight="1" x14ac:dyDescent="0.25">
      <c r="A81" s="26"/>
      <c r="B81" s="474" t="s">
        <v>468</v>
      </c>
      <c r="C81" s="475"/>
      <c r="D81" s="476"/>
      <c r="E81" s="504" t="s">
        <v>179</v>
      </c>
      <c r="F81" s="505"/>
      <c r="G81" s="505"/>
      <c r="H81" s="505"/>
      <c r="I81" s="505"/>
      <c r="J81" s="506"/>
      <c r="K81" s="87"/>
      <c r="L81" s="474" t="s">
        <v>469</v>
      </c>
      <c r="M81" s="475"/>
      <c r="N81" s="476"/>
      <c r="O81" s="504" t="s">
        <v>179</v>
      </c>
      <c r="P81" s="505"/>
      <c r="Q81" s="505"/>
      <c r="R81" s="505"/>
      <c r="S81" s="505"/>
      <c r="T81" s="506"/>
      <c r="U81" s="87"/>
      <c r="V81" s="474" t="s">
        <v>470</v>
      </c>
      <c r="W81" s="475"/>
      <c r="X81" s="476"/>
      <c r="Y81" s="504" t="s">
        <v>179</v>
      </c>
      <c r="Z81" s="505"/>
      <c r="AA81" s="505"/>
      <c r="AB81" s="505"/>
      <c r="AC81" s="505"/>
      <c r="AD81" s="506"/>
      <c r="AE81" s="87"/>
      <c r="AF81" s="474" t="s">
        <v>471</v>
      </c>
      <c r="AG81" s="475"/>
      <c r="AH81" s="476"/>
      <c r="AI81" s="505" t="s">
        <v>565</v>
      </c>
      <c r="AJ81" s="505"/>
      <c r="AK81" s="505"/>
      <c r="AL81" s="505"/>
      <c r="AM81" s="505"/>
      <c r="AN81" s="506"/>
      <c r="AO81" s="87"/>
      <c r="AP81" s="474" t="s">
        <v>472</v>
      </c>
      <c r="AQ81" s="475"/>
      <c r="AR81" s="476"/>
      <c r="AS81" s="504" t="s">
        <v>179</v>
      </c>
      <c r="AT81" s="505"/>
      <c r="AU81" s="505"/>
      <c r="AV81" s="505"/>
      <c r="AW81" s="505"/>
      <c r="AX81" s="506"/>
      <c r="AY81" s="87"/>
      <c r="AZ81" s="474" t="s">
        <v>474</v>
      </c>
      <c r="BA81" s="475"/>
      <c r="BB81" s="476"/>
      <c r="BC81" s="504" t="s">
        <v>179</v>
      </c>
      <c r="BD81" s="505"/>
      <c r="BE81" s="505"/>
      <c r="BF81" s="505"/>
      <c r="BG81" s="505"/>
      <c r="BH81" s="506"/>
      <c r="BI81" s="106"/>
      <c r="BJ81" s="474" t="s">
        <v>473</v>
      </c>
      <c r="BK81" s="475"/>
      <c r="BL81" s="476"/>
      <c r="BM81" s="504" t="s">
        <v>179</v>
      </c>
      <c r="BN81" s="505"/>
      <c r="BO81" s="505"/>
      <c r="BP81" s="505"/>
      <c r="BQ81" s="505"/>
      <c r="BR81" s="506"/>
      <c r="BS81" s="26"/>
      <c r="BT81" s="530"/>
      <c r="BU81" s="530"/>
      <c r="BV81" s="530"/>
      <c r="BW81" s="530"/>
      <c r="BX81" s="530"/>
      <c r="BY81" s="530"/>
      <c r="BZ81" s="530"/>
      <c r="CA81" s="530"/>
      <c r="CB81" s="530"/>
    </row>
    <row r="82" spans="1:80" s="23" customFormat="1" ht="9" customHeight="1" x14ac:dyDescent="0.25">
      <c r="A82" s="26"/>
      <c r="B82" s="489" t="s">
        <v>616</v>
      </c>
      <c r="C82" s="490"/>
      <c r="D82" s="490"/>
      <c r="E82" s="490"/>
      <c r="F82" s="490"/>
      <c r="G82" s="490"/>
      <c r="H82" s="490"/>
      <c r="I82" s="490"/>
      <c r="J82" s="491"/>
      <c r="K82" s="87"/>
      <c r="L82" s="489" t="s">
        <v>616</v>
      </c>
      <c r="M82" s="490"/>
      <c r="N82" s="490"/>
      <c r="O82" s="490"/>
      <c r="P82" s="490"/>
      <c r="Q82" s="490"/>
      <c r="R82" s="490"/>
      <c r="S82" s="490"/>
      <c r="T82" s="491"/>
      <c r="U82" s="87"/>
      <c r="V82" s="489" t="s">
        <v>616</v>
      </c>
      <c r="W82" s="490"/>
      <c r="X82" s="490"/>
      <c r="Y82" s="490"/>
      <c r="Z82" s="490"/>
      <c r="AA82" s="490"/>
      <c r="AB82" s="490"/>
      <c r="AC82" s="490"/>
      <c r="AD82" s="491"/>
      <c r="AE82" s="87"/>
      <c r="AF82" s="489" t="s">
        <v>637</v>
      </c>
      <c r="AG82" s="490"/>
      <c r="AH82" s="490"/>
      <c r="AI82" s="490"/>
      <c r="AJ82" s="490"/>
      <c r="AK82" s="490"/>
      <c r="AL82" s="490"/>
      <c r="AM82" s="490"/>
      <c r="AN82" s="491"/>
      <c r="AO82" s="87"/>
      <c r="AP82" s="489" t="s">
        <v>637</v>
      </c>
      <c r="AQ82" s="490"/>
      <c r="AR82" s="490"/>
      <c r="AS82" s="490"/>
      <c r="AT82" s="490"/>
      <c r="AU82" s="490"/>
      <c r="AV82" s="490"/>
      <c r="AW82" s="490"/>
      <c r="AX82" s="491"/>
      <c r="AY82" s="87"/>
      <c r="AZ82" s="489" t="s">
        <v>637</v>
      </c>
      <c r="BA82" s="490"/>
      <c r="BB82" s="490"/>
      <c r="BC82" s="490"/>
      <c r="BD82" s="490"/>
      <c r="BE82" s="490"/>
      <c r="BF82" s="490"/>
      <c r="BG82" s="490"/>
      <c r="BH82" s="491"/>
      <c r="BI82" s="108"/>
      <c r="BJ82" s="489" t="s">
        <v>637</v>
      </c>
      <c r="BK82" s="490"/>
      <c r="BL82" s="490"/>
      <c r="BM82" s="490"/>
      <c r="BN82" s="490"/>
      <c r="BO82" s="490"/>
      <c r="BP82" s="490"/>
      <c r="BQ82" s="490"/>
      <c r="BR82" s="491"/>
      <c r="BS82" s="26"/>
      <c r="BT82" s="41"/>
      <c r="BU82" s="33"/>
      <c r="BV82" s="33"/>
      <c r="BW82" s="33"/>
      <c r="BX82" s="33"/>
      <c r="BY82" s="33"/>
      <c r="BZ82" s="33"/>
      <c r="CA82" s="33"/>
      <c r="CB82" s="33"/>
    </row>
    <row r="83" spans="1:80" s="23" customFormat="1" ht="9" customHeight="1" x14ac:dyDescent="0.25">
      <c r="A83" s="26"/>
      <c r="B83" s="88"/>
      <c r="C83" s="87"/>
      <c r="D83" s="87"/>
      <c r="E83" s="87"/>
      <c r="F83" s="87"/>
      <c r="G83" s="87"/>
      <c r="H83" s="87"/>
      <c r="I83" s="87"/>
      <c r="J83" s="89"/>
      <c r="K83" s="87"/>
      <c r="L83" s="88"/>
      <c r="M83" s="87"/>
      <c r="N83" s="87"/>
      <c r="O83" s="87"/>
      <c r="P83" s="87"/>
      <c r="Q83" s="87"/>
      <c r="R83" s="87"/>
      <c r="S83" s="87"/>
      <c r="T83" s="89"/>
      <c r="U83" s="87"/>
      <c r="V83" s="88"/>
      <c r="W83" s="87"/>
      <c r="X83" s="87"/>
      <c r="Y83" s="87"/>
      <c r="Z83" s="87"/>
      <c r="AA83" s="87"/>
      <c r="AB83" s="87"/>
      <c r="AC83" s="87"/>
      <c r="AD83" s="89"/>
      <c r="AE83" s="87"/>
      <c r="AF83" s="88"/>
      <c r="AG83" s="87"/>
      <c r="AH83" s="87"/>
      <c r="AI83" s="87"/>
      <c r="AJ83" s="87"/>
      <c r="AK83" s="87"/>
      <c r="AL83" s="87"/>
      <c r="AM83" s="87"/>
      <c r="AN83" s="89"/>
      <c r="AO83" s="87"/>
      <c r="AP83" s="88"/>
      <c r="AQ83" s="87"/>
      <c r="AR83" s="87"/>
      <c r="AS83" s="87"/>
      <c r="AT83" s="87"/>
      <c r="AU83" s="87"/>
      <c r="AV83" s="87"/>
      <c r="AW83" s="87"/>
      <c r="AX83" s="89"/>
      <c r="AY83" s="87"/>
      <c r="AZ83" s="116"/>
      <c r="BA83" s="96"/>
      <c r="BB83" s="96"/>
      <c r="BC83" s="90"/>
      <c r="BD83" s="90"/>
      <c r="BE83" s="90"/>
      <c r="BF83" s="90"/>
      <c r="BG83" s="90"/>
      <c r="BH83" s="91"/>
      <c r="BI83" s="108"/>
      <c r="BJ83" s="116"/>
      <c r="BK83" s="96"/>
      <c r="BL83" s="96"/>
      <c r="BM83" s="90"/>
      <c r="BN83" s="90"/>
      <c r="BO83" s="90"/>
      <c r="BP83" s="90"/>
      <c r="BQ83" s="90"/>
      <c r="BR83" s="91"/>
      <c r="BS83" s="26"/>
      <c r="BT83" s="41"/>
      <c r="BU83" s="33"/>
      <c r="BV83" s="33"/>
      <c r="BW83" s="34"/>
      <c r="BX83" s="34"/>
      <c r="BY83" s="34"/>
      <c r="BZ83" s="34"/>
      <c r="CA83" s="34"/>
      <c r="CB83" s="34"/>
    </row>
    <row r="84" spans="1:80" s="23" customFormat="1" ht="9" customHeight="1" x14ac:dyDescent="0.25">
      <c r="A84" s="26"/>
      <c r="B84" s="88"/>
      <c r="C84" s="87"/>
      <c r="D84" s="87"/>
      <c r="E84" s="87"/>
      <c r="F84" s="87"/>
      <c r="G84" s="87"/>
      <c r="H84" s="87"/>
      <c r="I84" s="87"/>
      <c r="J84" s="89"/>
      <c r="K84" s="87"/>
      <c r="L84" s="88"/>
      <c r="M84" s="87"/>
      <c r="N84" s="87"/>
      <c r="O84" s="87"/>
      <c r="P84" s="87"/>
      <c r="Q84" s="87"/>
      <c r="R84" s="87"/>
      <c r="S84" s="87"/>
      <c r="T84" s="89"/>
      <c r="U84" s="87"/>
      <c r="V84" s="88"/>
      <c r="W84" s="87"/>
      <c r="X84" s="87"/>
      <c r="Y84" s="87"/>
      <c r="Z84" s="87"/>
      <c r="AA84" s="87"/>
      <c r="AB84" s="87"/>
      <c r="AC84" s="87"/>
      <c r="AD84" s="89"/>
      <c r="AE84" s="87"/>
      <c r="AF84" s="88"/>
      <c r="AG84" s="87"/>
      <c r="AH84" s="87"/>
      <c r="AI84" s="87"/>
      <c r="AJ84" s="87"/>
      <c r="AK84" s="87"/>
      <c r="AL84" s="87"/>
      <c r="AM84" s="87"/>
      <c r="AN84" s="89"/>
      <c r="AO84" s="87"/>
      <c r="AP84" s="88"/>
      <c r="AQ84" s="87"/>
      <c r="AR84" s="87"/>
      <c r="AS84" s="87"/>
      <c r="AT84" s="87"/>
      <c r="AU84" s="87"/>
      <c r="AV84" s="87"/>
      <c r="AW84" s="87"/>
      <c r="AX84" s="89"/>
      <c r="AY84" s="87"/>
      <c r="AZ84" s="116"/>
      <c r="BA84" s="96"/>
      <c r="BB84" s="96"/>
      <c r="BC84" s="90"/>
      <c r="BD84" s="90"/>
      <c r="BE84" s="90"/>
      <c r="BF84" s="90"/>
      <c r="BG84" s="90"/>
      <c r="BH84" s="91"/>
      <c r="BI84" s="108"/>
      <c r="BJ84" s="116"/>
      <c r="BK84" s="96"/>
      <c r="BL84" s="96"/>
      <c r="BM84" s="90"/>
      <c r="BN84" s="90"/>
      <c r="BO84" s="90"/>
      <c r="BP84" s="90"/>
      <c r="BQ84" s="90"/>
      <c r="BR84" s="91"/>
      <c r="BS84" s="26"/>
      <c r="BT84" s="41"/>
      <c r="BU84" s="33"/>
      <c r="BV84" s="33"/>
      <c r="BW84" s="34"/>
      <c r="BX84" s="34"/>
      <c r="BY84" s="34"/>
      <c r="BZ84" s="34"/>
      <c r="CA84" s="34"/>
      <c r="CB84" s="34"/>
    </row>
    <row r="85" spans="1:80" s="23" customFormat="1" ht="9" customHeight="1" x14ac:dyDescent="0.25">
      <c r="A85" s="26"/>
      <c r="B85" s="88"/>
      <c r="C85" s="87"/>
      <c r="D85" s="87"/>
      <c r="E85" s="87"/>
      <c r="F85" s="87"/>
      <c r="G85" s="87"/>
      <c r="H85" s="87"/>
      <c r="I85" s="87"/>
      <c r="J85" s="89"/>
      <c r="K85" s="87"/>
      <c r="L85" s="88"/>
      <c r="M85" s="87"/>
      <c r="N85" s="87"/>
      <c r="O85" s="87"/>
      <c r="P85" s="87"/>
      <c r="Q85" s="87"/>
      <c r="R85" s="87"/>
      <c r="S85" s="87"/>
      <c r="T85" s="89"/>
      <c r="U85" s="87"/>
      <c r="V85" s="88"/>
      <c r="W85" s="87"/>
      <c r="X85" s="87"/>
      <c r="Y85" s="87"/>
      <c r="Z85" s="87"/>
      <c r="AA85" s="87"/>
      <c r="AB85" s="87"/>
      <c r="AC85" s="87"/>
      <c r="AD85" s="89"/>
      <c r="AE85" s="87"/>
      <c r="AF85" s="88"/>
      <c r="AG85" s="87"/>
      <c r="AH85" s="87"/>
      <c r="AI85" s="87"/>
      <c r="AJ85" s="87"/>
      <c r="AK85" s="87"/>
      <c r="AL85" s="87"/>
      <c r="AM85" s="87"/>
      <c r="AN85" s="89"/>
      <c r="AO85" s="87"/>
      <c r="AP85" s="88"/>
      <c r="AQ85" s="87"/>
      <c r="AR85" s="87"/>
      <c r="AS85" s="87"/>
      <c r="AT85" s="87"/>
      <c r="AU85" s="87"/>
      <c r="AV85" s="87"/>
      <c r="AW85" s="87"/>
      <c r="AX85" s="89"/>
      <c r="AY85" s="87"/>
      <c r="AZ85" s="116"/>
      <c r="BA85" s="96"/>
      <c r="BB85" s="96"/>
      <c r="BC85" s="90"/>
      <c r="BD85" s="90"/>
      <c r="BE85" s="90"/>
      <c r="BF85" s="90"/>
      <c r="BG85" s="90"/>
      <c r="BH85" s="91"/>
      <c r="BI85" s="108"/>
      <c r="BJ85" s="116"/>
      <c r="BK85" s="96"/>
      <c r="BL85" s="96"/>
      <c r="BM85" s="90"/>
      <c r="BN85" s="90"/>
      <c r="BO85" s="90"/>
      <c r="BP85" s="90"/>
      <c r="BQ85" s="90"/>
      <c r="BR85" s="91"/>
      <c r="BS85" s="26"/>
      <c r="BT85" s="41"/>
      <c r="BU85" s="33"/>
      <c r="BV85" s="33"/>
      <c r="BW85" s="34"/>
      <c r="BX85" s="34"/>
      <c r="BY85" s="34"/>
      <c r="BZ85" s="34"/>
      <c r="CA85" s="34"/>
      <c r="CB85" s="34"/>
    </row>
    <row r="86" spans="1:80" s="23" customFormat="1" ht="9" customHeight="1" x14ac:dyDescent="0.25">
      <c r="A86" s="26"/>
      <c r="B86" s="88"/>
      <c r="C86" s="87"/>
      <c r="D86" s="87"/>
      <c r="E86" s="87"/>
      <c r="F86" s="87"/>
      <c r="G86" s="87"/>
      <c r="H86" s="87"/>
      <c r="I86" s="87"/>
      <c r="J86" s="89"/>
      <c r="K86" s="87"/>
      <c r="L86" s="88"/>
      <c r="M86" s="87"/>
      <c r="N86" s="87"/>
      <c r="O86" s="87"/>
      <c r="P86" s="87"/>
      <c r="Q86" s="87"/>
      <c r="R86" s="87"/>
      <c r="S86" s="87"/>
      <c r="T86" s="89"/>
      <c r="U86" s="87"/>
      <c r="V86" s="88"/>
      <c r="W86" s="87"/>
      <c r="X86" s="87"/>
      <c r="Y86" s="87"/>
      <c r="Z86" s="87"/>
      <c r="AA86" s="87"/>
      <c r="AB86" s="87"/>
      <c r="AC86" s="87"/>
      <c r="AD86" s="89"/>
      <c r="AE86" s="87"/>
      <c r="AF86" s="88"/>
      <c r="AG86" s="87"/>
      <c r="AH86" s="87"/>
      <c r="AI86" s="87"/>
      <c r="AJ86" s="87"/>
      <c r="AK86" s="87"/>
      <c r="AL86" s="87"/>
      <c r="AM86" s="87"/>
      <c r="AN86" s="89"/>
      <c r="AO86" s="87"/>
      <c r="AP86" s="88"/>
      <c r="AQ86" s="87"/>
      <c r="AR86" s="87"/>
      <c r="AS86" s="87"/>
      <c r="AT86" s="87"/>
      <c r="AU86" s="87"/>
      <c r="AV86" s="87"/>
      <c r="AW86" s="87"/>
      <c r="AX86" s="89"/>
      <c r="AY86" s="87"/>
      <c r="AZ86" s="116"/>
      <c r="BA86" s="96"/>
      <c r="BB86" s="96"/>
      <c r="BC86" s="90"/>
      <c r="BD86" s="90"/>
      <c r="BE86" s="90"/>
      <c r="BF86" s="90"/>
      <c r="BG86" s="90"/>
      <c r="BH86" s="91"/>
      <c r="BI86" s="108"/>
      <c r="BJ86" s="116"/>
      <c r="BK86" s="96"/>
      <c r="BL86" s="96"/>
      <c r="BM86" s="90"/>
      <c r="BN86" s="90"/>
      <c r="BO86" s="90"/>
      <c r="BP86" s="90"/>
      <c r="BQ86" s="90"/>
      <c r="BR86" s="91"/>
      <c r="BS86" s="26"/>
      <c r="BT86" s="41"/>
      <c r="BU86" s="33"/>
      <c r="BV86" s="33"/>
      <c r="BW86" s="34"/>
      <c r="BX86" s="34"/>
      <c r="BY86" s="34"/>
      <c r="BZ86" s="34"/>
      <c r="CA86" s="34"/>
      <c r="CB86" s="34"/>
    </row>
    <row r="87" spans="1:80" s="23" customFormat="1" ht="9" customHeight="1" x14ac:dyDescent="0.25">
      <c r="A87" s="26"/>
      <c r="B87" s="88"/>
      <c r="C87" s="87"/>
      <c r="D87" s="87"/>
      <c r="E87" s="87"/>
      <c r="F87" s="87"/>
      <c r="G87" s="87"/>
      <c r="H87" s="87"/>
      <c r="I87" s="87"/>
      <c r="J87" s="89"/>
      <c r="K87" s="87"/>
      <c r="L87" s="88"/>
      <c r="M87" s="87"/>
      <c r="N87" s="87"/>
      <c r="O87" s="87"/>
      <c r="P87" s="87"/>
      <c r="Q87" s="87"/>
      <c r="R87" s="87"/>
      <c r="S87" s="87"/>
      <c r="T87" s="89"/>
      <c r="U87" s="87"/>
      <c r="V87" s="88"/>
      <c r="W87" s="87"/>
      <c r="X87" s="87"/>
      <c r="Y87" s="87"/>
      <c r="Z87" s="87"/>
      <c r="AA87" s="87"/>
      <c r="AB87" s="87"/>
      <c r="AC87" s="87"/>
      <c r="AD87" s="89"/>
      <c r="AE87" s="87"/>
      <c r="AF87" s="88"/>
      <c r="AG87" s="87"/>
      <c r="AH87" s="87"/>
      <c r="AI87" s="87"/>
      <c r="AJ87" s="87"/>
      <c r="AK87" s="87"/>
      <c r="AL87" s="87"/>
      <c r="AM87" s="87"/>
      <c r="AN87" s="89"/>
      <c r="AO87" s="87"/>
      <c r="AP87" s="88"/>
      <c r="AQ87" s="87"/>
      <c r="AR87" s="87"/>
      <c r="AS87" s="87"/>
      <c r="AT87" s="87"/>
      <c r="AU87" s="87"/>
      <c r="AV87" s="87"/>
      <c r="AW87" s="87"/>
      <c r="AX87" s="89"/>
      <c r="AY87" s="87"/>
      <c r="AZ87" s="116"/>
      <c r="BA87" s="96"/>
      <c r="BB87" s="96"/>
      <c r="BC87" s="90"/>
      <c r="BD87" s="90"/>
      <c r="BE87" s="90"/>
      <c r="BF87" s="90"/>
      <c r="BG87" s="90"/>
      <c r="BH87" s="91"/>
      <c r="BI87" s="108"/>
      <c r="BJ87" s="116"/>
      <c r="BK87" s="96"/>
      <c r="BL87" s="96"/>
      <c r="BM87" s="90"/>
      <c r="BN87" s="90"/>
      <c r="BO87" s="90"/>
      <c r="BP87" s="90"/>
      <c r="BQ87" s="90"/>
      <c r="BR87" s="91"/>
      <c r="BS87" s="26"/>
      <c r="BT87" s="41"/>
      <c r="BU87" s="33"/>
      <c r="BV87" s="33"/>
      <c r="BW87" s="34"/>
      <c r="BX87" s="34"/>
      <c r="BY87" s="34"/>
      <c r="BZ87" s="34"/>
      <c r="CA87" s="34"/>
      <c r="CB87" s="34"/>
    </row>
    <row r="88" spans="1:80" s="23" customFormat="1" ht="9" customHeight="1" x14ac:dyDescent="0.25">
      <c r="A88" s="26"/>
      <c r="B88" s="88"/>
      <c r="C88" s="87"/>
      <c r="D88" s="87"/>
      <c r="E88" s="87"/>
      <c r="F88" s="87"/>
      <c r="G88" s="87"/>
      <c r="H88" s="87"/>
      <c r="I88" s="87"/>
      <c r="J88" s="89"/>
      <c r="K88" s="87"/>
      <c r="L88" s="88"/>
      <c r="M88" s="87"/>
      <c r="N88" s="87"/>
      <c r="O88" s="87"/>
      <c r="P88" s="87"/>
      <c r="Q88" s="87"/>
      <c r="R88" s="87"/>
      <c r="S88" s="87"/>
      <c r="T88" s="89"/>
      <c r="U88" s="87"/>
      <c r="V88" s="88"/>
      <c r="W88" s="87"/>
      <c r="X88" s="87"/>
      <c r="Y88" s="87"/>
      <c r="Z88" s="87"/>
      <c r="AA88" s="87"/>
      <c r="AB88" s="87"/>
      <c r="AC88" s="87"/>
      <c r="AD88" s="89"/>
      <c r="AE88" s="87"/>
      <c r="AF88" s="88"/>
      <c r="AG88" s="87"/>
      <c r="AH88" s="87"/>
      <c r="AI88" s="87"/>
      <c r="AJ88" s="87"/>
      <c r="AK88" s="87"/>
      <c r="AL88" s="87"/>
      <c r="AM88" s="87"/>
      <c r="AN88" s="89"/>
      <c r="AO88" s="87"/>
      <c r="AP88" s="88"/>
      <c r="AQ88" s="87"/>
      <c r="AR88" s="87"/>
      <c r="AS88" s="87"/>
      <c r="AT88" s="87"/>
      <c r="AU88" s="87"/>
      <c r="AV88" s="87"/>
      <c r="AW88" s="87"/>
      <c r="AX88" s="89"/>
      <c r="AY88" s="87"/>
      <c r="AZ88" s="116"/>
      <c r="BA88" s="96"/>
      <c r="BB88" s="96"/>
      <c r="BC88" s="90"/>
      <c r="BD88" s="90"/>
      <c r="BE88" s="90"/>
      <c r="BF88" s="90"/>
      <c r="BG88" s="90"/>
      <c r="BH88" s="91"/>
      <c r="BI88" s="108"/>
      <c r="BJ88" s="116"/>
      <c r="BK88" s="96"/>
      <c r="BL88" s="96"/>
      <c r="BM88" s="90"/>
      <c r="BN88" s="90"/>
      <c r="BO88" s="90"/>
      <c r="BP88" s="90"/>
      <c r="BQ88" s="90"/>
      <c r="BR88" s="91"/>
      <c r="BS88" s="26"/>
      <c r="BT88" s="41"/>
      <c r="BU88" s="33"/>
      <c r="BV88" s="33"/>
      <c r="BW88" s="34"/>
      <c r="BX88" s="34"/>
      <c r="BY88" s="34"/>
      <c r="BZ88" s="34"/>
      <c r="CA88" s="34"/>
      <c r="CB88" s="34"/>
    </row>
    <row r="89" spans="1:80" s="23" customFormat="1" ht="9" customHeight="1" x14ac:dyDescent="0.25">
      <c r="A89" s="26"/>
      <c r="B89" s="88"/>
      <c r="C89" s="87"/>
      <c r="D89" s="87"/>
      <c r="E89" s="87"/>
      <c r="F89" s="87"/>
      <c r="G89" s="87"/>
      <c r="H89" s="87"/>
      <c r="I89" s="87"/>
      <c r="J89" s="89"/>
      <c r="K89" s="87"/>
      <c r="L89" s="88"/>
      <c r="M89" s="87"/>
      <c r="N89" s="87"/>
      <c r="O89" s="87"/>
      <c r="P89" s="87"/>
      <c r="Q89" s="87"/>
      <c r="R89" s="87"/>
      <c r="S89" s="87"/>
      <c r="T89" s="89"/>
      <c r="U89" s="87"/>
      <c r="V89" s="88"/>
      <c r="W89" s="87"/>
      <c r="X89" s="87"/>
      <c r="Y89" s="87"/>
      <c r="Z89" s="87"/>
      <c r="AA89" s="87"/>
      <c r="AB89" s="87"/>
      <c r="AC89" s="87"/>
      <c r="AD89" s="89"/>
      <c r="AE89" s="87"/>
      <c r="AF89" s="88"/>
      <c r="AG89" s="87"/>
      <c r="AH89" s="87"/>
      <c r="AI89" s="87"/>
      <c r="AJ89" s="87"/>
      <c r="AK89" s="87"/>
      <c r="AL89" s="87"/>
      <c r="AM89" s="87"/>
      <c r="AN89" s="89"/>
      <c r="AO89" s="87"/>
      <c r="AP89" s="88"/>
      <c r="AQ89" s="87"/>
      <c r="AR89" s="87"/>
      <c r="AS89" s="87"/>
      <c r="AT89" s="87"/>
      <c r="AU89" s="87"/>
      <c r="AV89" s="87"/>
      <c r="AW89" s="87"/>
      <c r="AX89" s="89"/>
      <c r="AY89" s="87"/>
      <c r="AZ89" s="116"/>
      <c r="BA89" s="96"/>
      <c r="BB89" s="96"/>
      <c r="BC89" s="90"/>
      <c r="BD89" s="90"/>
      <c r="BE89" s="90"/>
      <c r="BF89" s="90"/>
      <c r="BG89" s="90"/>
      <c r="BH89" s="91"/>
      <c r="BI89" s="108"/>
      <c r="BJ89" s="116"/>
      <c r="BK89" s="96"/>
      <c r="BL89" s="96"/>
      <c r="BM89" s="90"/>
      <c r="BN89" s="90"/>
      <c r="BO89" s="90"/>
      <c r="BP89" s="90"/>
      <c r="BQ89" s="90"/>
      <c r="BR89" s="91"/>
      <c r="BS89" s="26"/>
      <c r="BT89" s="41"/>
      <c r="BU89" s="33"/>
      <c r="BV89" s="33"/>
      <c r="BW89" s="34"/>
      <c r="BX89" s="34"/>
      <c r="BY89" s="34"/>
      <c r="BZ89" s="34"/>
      <c r="CA89" s="34"/>
      <c r="CB89" s="34"/>
    </row>
    <row r="90" spans="1:80" s="23" customFormat="1" ht="9" customHeight="1" x14ac:dyDescent="0.25">
      <c r="A90" s="26"/>
      <c r="B90" s="88"/>
      <c r="C90" s="87"/>
      <c r="D90" s="87"/>
      <c r="E90" s="87"/>
      <c r="F90" s="87"/>
      <c r="G90" s="87"/>
      <c r="H90" s="87"/>
      <c r="I90" s="87"/>
      <c r="J90" s="89"/>
      <c r="K90" s="87"/>
      <c r="L90" s="88"/>
      <c r="M90" s="87"/>
      <c r="N90" s="87"/>
      <c r="O90" s="87"/>
      <c r="P90" s="87"/>
      <c r="Q90" s="87"/>
      <c r="R90" s="87"/>
      <c r="S90" s="87"/>
      <c r="T90" s="89"/>
      <c r="U90" s="87"/>
      <c r="V90" s="88"/>
      <c r="W90" s="87"/>
      <c r="X90" s="87"/>
      <c r="Y90" s="87"/>
      <c r="Z90" s="87"/>
      <c r="AA90" s="87"/>
      <c r="AB90" s="87"/>
      <c r="AC90" s="87"/>
      <c r="AD90" s="89"/>
      <c r="AE90" s="87"/>
      <c r="AF90" s="88"/>
      <c r="AG90" s="87"/>
      <c r="AH90" s="87"/>
      <c r="AI90" s="87"/>
      <c r="AJ90" s="87"/>
      <c r="AK90" s="87"/>
      <c r="AL90" s="87"/>
      <c r="AM90" s="87"/>
      <c r="AN90" s="89"/>
      <c r="AO90" s="87"/>
      <c r="AP90" s="88"/>
      <c r="AQ90" s="87"/>
      <c r="AR90" s="87"/>
      <c r="AS90" s="87"/>
      <c r="AT90" s="87"/>
      <c r="AU90" s="87"/>
      <c r="AV90" s="87"/>
      <c r="AW90" s="87"/>
      <c r="AX90" s="89"/>
      <c r="AY90" s="87"/>
      <c r="AZ90" s="116"/>
      <c r="BA90" s="96"/>
      <c r="BB90" s="96"/>
      <c r="BC90" s="90"/>
      <c r="BD90" s="90"/>
      <c r="BE90" s="90"/>
      <c r="BF90" s="90"/>
      <c r="BG90" s="90"/>
      <c r="BH90" s="91"/>
      <c r="BI90" s="108"/>
      <c r="BJ90" s="116"/>
      <c r="BK90" s="96"/>
      <c r="BL90" s="96"/>
      <c r="BM90" s="90"/>
      <c r="BN90" s="90"/>
      <c r="BO90" s="90"/>
      <c r="BP90" s="90"/>
      <c r="BQ90" s="90"/>
      <c r="BR90" s="91"/>
      <c r="BS90" s="26"/>
      <c r="BT90" s="41"/>
      <c r="BU90" s="33"/>
      <c r="BV90" s="33"/>
      <c r="BW90" s="34"/>
      <c r="BX90" s="34"/>
      <c r="BY90" s="34"/>
      <c r="BZ90" s="34"/>
      <c r="CA90" s="34"/>
      <c r="CB90" s="34"/>
    </row>
    <row r="91" spans="1:80" s="23" customFormat="1" ht="9" customHeight="1" x14ac:dyDescent="0.25">
      <c r="A91" s="26"/>
      <c r="B91" s="88"/>
      <c r="C91" s="87"/>
      <c r="D91" s="87"/>
      <c r="E91" s="87"/>
      <c r="F91" s="87"/>
      <c r="G91" s="87"/>
      <c r="H91" s="87"/>
      <c r="I91" s="87"/>
      <c r="J91" s="89"/>
      <c r="K91" s="87"/>
      <c r="L91" s="88"/>
      <c r="M91" s="87"/>
      <c r="N91" s="87"/>
      <c r="O91" s="87"/>
      <c r="P91" s="87"/>
      <c r="Q91" s="87"/>
      <c r="R91" s="87"/>
      <c r="S91" s="87"/>
      <c r="T91" s="89"/>
      <c r="U91" s="87"/>
      <c r="V91" s="88"/>
      <c r="W91" s="87"/>
      <c r="X91" s="87"/>
      <c r="Y91" s="87"/>
      <c r="Z91" s="87"/>
      <c r="AA91" s="87"/>
      <c r="AB91" s="87"/>
      <c r="AC91" s="87"/>
      <c r="AD91" s="89"/>
      <c r="AE91" s="87"/>
      <c r="AF91" s="88"/>
      <c r="AG91" s="87"/>
      <c r="AH91" s="87"/>
      <c r="AI91" s="87"/>
      <c r="AJ91" s="87"/>
      <c r="AK91" s="87"/>
      <c r="AL91" s="87"/>
      <c r="AM91" s="87"/>
      <c r="AN91" s="89"/>
      <c r="AO91" s="87"/>
      <c r="AP91" s="88"/>
      <c r="AQ91" s="87"/>
      <c r="AR91" s="87"/>
      <c r="AS91" s="87"/>
      <c r="AT91" s="87"/>
      <c r="AU91" s="87"/>
      <c r="AV91" s="87"/>
      <c r="AW91" s="87"/>
      <c r="AX91" s="89"/>
      <c r="AY91" s="87"/>
      <c r="AZ91" s="116"/>
      <c r="BA91" s="96"/>
      <c r="BB91" s="96"/>
      <c r="BC91" s="90"/>
      <c r="BD91" s="90"/>
      <c r="BE91" s="90"/>
      <c r="BF91" s="90"/>
      <c r="BG91" s="90"/>
      <c r="BH91" s="91"/>
      <c r="BI91" s="108"/>
      <c r="BJ91" s="116"/>
      <c r="BK91" s="96"/>
      <c r="BL91" s="96"/>
      <c r="BM91" s="90"/>
      <c r="BN91" s="90"/>
      <c r="BO91" s="90"/>
      <c r="BP91" s="90"/>
      <c r="BQ91" s="90"/>
      <c r="BR91" s="91"/>
      <c r="BS91" s="26"/>
      <c r="BT91" s="41"/>
      <c r="BU91" s="33"/>
      <c r="BV91" s="33"/>
      <c r="BW91" s="34"/>
      <c r="BX91" s="34"/>
      <c r="BY91" s="34"/>
      <c r="BZ91" s="34"/>
      <c r="CA91" s="34"/>
      <c r="CB91" s="34"/>
    </row>
    <row r="92" spans="1:80" s="23" customFormat="1" ht="9" customHeight="1" x14ac:dyDescent="0.25">
      <c r="A92" s="26"/>
      <c r="B92" s="116"/>
      <c r="C92" s="96"/>
      <c r="D92" s="96"/>
      <c r="E92" s="96"/>
      <c r="F92" s="96"/>
      <c r="G92" s="96"/>
      <c r="H92" s="96"/>
      <c r="I92" s="96"/>
      <c r="J92" s="97"/>
      <c r="K92" s="87"/>
      <c r="L92" s="116"/>
      <c r="M92" s="96"/>
      <c r="N92" s="96"/>
      <c r="O92" s="96"/>
      <c r="P92" s="96"/>
      <c r="Q92" s="96"/>
      <c r="R92" s="96"/>
      <c r="S92" s="96"/>
      <c r="T92" s="97"/>
      <c r="U92" s="87"/>
      <c r="V92" s="116"/>
      <c r="W92" s="96"/>
      <c r="X92" s="96"/>
      <c r="Y92" s="96"/>
      <c r="Z92" s="96"/>
      <c r="AA92" s="96"/>
      <c r="AB92" s="96"/>
      <c r="AC92" s="96"/>
      <c r="AD92" s="97"/>
      <c r="AE92" s="87"/>
      <c r="AF92" s="88"/>
      <c r="AG92" s="87"/>
      <c r="AH92" s="87"/>
      <c r="AI92" s="87"/>
      <c r="AJ92" s="87"/>
      <c r="AK92" s="87"/>
      <c r="AL92" s="87"/>
      <c r="AM92" s="87"/>
      <c r="AN92" s="89"/>
      <c r="AO92" s="87"/>
      <c r="AP92" s="88"/>
      <c r="AQ92" s="87"/>
      <c r="AR92" s="87"/>
      <c r="AS92" s="87"/>
      <c r="AT92" s="87"/>
      <c r="AU92" s="87"/>
      <c r="AV92" s="87"/>
      <c r="AW92" s="87"/>
      <c r="AX92" s="89"/>
      <c r="AY92" s="87"/>
      <c r="AZ92" s="88"/>
      <c r="BA92" s="87"/>
      <c r="BB92" s="87"/>
      <c r="BC92" s="87"/>
      <c r="BD92" s="87"/>
      <c r="BE92" s="87"/>
      <c r="BF92" s="87"/>
      <c r="BG92" s="87"/>
      <c r="BH92" s="89"/>
      <c r="BI92" s="108"/>
      <c r="BJ92" s="88"/>
      <c r="BK92" s="87"/>
      <c r="BL92" s="87"/>
      <c r="BM92" s="87"/>
      <c r="BN92" s="87"/>
      <c r="BO92" s="87"/>
      <c r="BP92" s="87"/>
      <c r="BQ92" s="87"/>
      <c r="BR92" s="89"/>
      <c r="BS92" s="26"/>
      <c r="BT92" s="41"/>
      <c r="BU92" s="33"/>
      <c r="BV92" s="33"/>
      <c r="BW92" s="33"/>
      <c r="BX92" s="33"/>
      <c r="BY92" s="33"/>
      <c r="BZ92" s="33"/>
      <c r="CA92" s="33"/>
      <c r="CB92" s="33"/>
    </row>
    <row r="93" spans="1:80" s="23" customFormat="1" ht="9" customHeight="1" x14ac:dyDescent="0.25">
      <c r="A93" s="26"/>
      <c r="B93" s="116"/>
      <c r="C93" s="96"/>
      <c r="D93" s="96"/>
      <c r="E93" s="96"/>
      <c r="F93" s="96"/>
      <c r="G93" s="96"/>
      <c r="H93" s="96"/>
      <c r="I93" s="96"/>
      <c r="J93" s="97"/>
      <c r="K93" s="87"/>
      <c r="L93" s="116"/>
      <c r="M93" s="96"/>
      <c r="N93" s="96"/>
      <c r="O93" s="96"/>
      <c r="P93" s="96"/>
      <c r="Q93" s="96"/>
      <c r="R93" s="96"/>
      <c r="S93" s="96"/>
      <c r="T93" s="97"/>
      <c r="U93" s="87"/>
      <c r="V93" s="116"/>
      <c r="W93" s="96"/>
      <c r="X93" s="96"/>
      <c r="Y93" s="96"/>
      <c r="Z93" s="96"/>
      <c r="AA93" s="96"/>
      <c r="AB93" s="96"/>
      <c r="AC93" s="96"/>
      <c r="AD93" s="97"/>
      <c r="AE93" s="87"/>
      <c r="AF93" s="88"/>
      <c r="AG93" s="87"/>
      <c r="AH93" s="87"/>
      <c r="AI93" s="87"/>
      <c r="AJ93" s="87"/>
      <c r="AK93" s="87"/>
      <c r="AL93" s="87"/>
      <c r="AM93" s="87"/>
      <c r="AN93" s="89"/>
      <c r="AO93" s="87"/>
      <c r="AP93" s="88"/>
      <c r="AQ93" s="87"/>
      <c r="AR93" s="87"/>
      <c r="AS93" s="87"/>
      <c r="AT93" s="87"/>
      <c r="AU93" s="87"/>
      <c r="AV93" s="87"/>
      <c r="AW93" s="87"/>
      <c r="AX93" s="89"/>
      <c r="AY93" s="87"/>
      <c r="AZ93" s="88"/>
      <c r="BA93" s="87"/>
      <c r="BB93" s="87"/>
      <c r="BC93" s="87"/>
      <c r="BD93" s="87"/>
      <c r="BE93" s="87"/>
      <c r="BF93" s="87"/>
      <c r="BG93" s="87"/>
      <c r="BH93" s="89"/>
      <c r="BI93" s="108"/>
      <c r="BJ93" s="88"/>
      <c r="BK93" s="87"/>
      <c r="BL93" s="87"/>
      <c r="BM93" s="87"/>
      <c r="BN93" s="87"/>
      <c r="BO93" s="87"/>
      <c r="BP93" s="87"/>
      <c r="BQ93" s="87"/>
      <c r="BR93" s="89"/>
      <c r="BS93" s="26"/>
      <c r="BT93" s="533"/>
      <c r="BU93" s="533"/>
      <c r="BV93" s="533"/>
      <c r="BW93" s="533"/>
      <c r="BX93" s="533"/>
      <c r="BY93" s="530"/>
      <c r="BZ93" s="530"/>
      <c r="CA93" s="530"/>
      <c r="CB93" s="530"/>
    </row>
    <row r="94" spans="1:80" s="23" customFormat="1" ht="9" customHeight="1" x14ac:dyDescent="0.25">
      <c r="A94" s="26"/>
      <c r="B94" s="116"/>
      <c r="C94" s="96"/>
      <c r="D94" s="96"/>
      <c r="E94" s="96"/>
      <c r="F94" s="96"/>
      <c r="G94" s="96"/>
      <c r="H94" s="96"/>
      <c r="I94" s="96"/>
      <c r="J94" s="97"/>
      <c r="K94" s="87"/>
      <c r="L94" s="116"/>
      <c r="M94" s="96"/>
      <c r="N94" s="96"/>
      <c r="O94" s="96"/>
      <c r="P94" s="96"/>
      <c r="Q94" s="96"/>
      <c r="R94" s="96"/>
      <c r="S94" s="96"/>
      <c r="T94" s="97"/>
      <c r="U94" s="87"/>
      <c r="V94" s="116"/>
      <c r="W94" s="96"/>
      <c r="X94" s="96"/>
      <c r="Y94" s="96"/>
      <c r="Z94" s="96"/>
      <c r="AA94" s="96"/>
      <c r="AB94" s="96"/>
      <c r="AC94" s="96"/>
      <c r="AD94" s="97"/>
      <c r="AE94" s="87"/>
      <c r="AF94" s="492" t="s">
        <v>422</v>
      </c>
      <c r="AG94" s="492"/>
      <c r="AH94" s="492"/>
      <c r="AI94" s="492"/>
      <c r="AJ94" s="492"/>
      <c r="AK94" s="493" t="s">
        <v>480</v>
      </c>
      <c r="AL94" s="493"/>
      <c r="AM94" s="493">
        <f>CEILING(6157*B5,1)</f>
        <v>8620</v>
      </c>
      <c r="AN94" s="493"/>
      <c r="AO94" s="223"/>
      <c r="AP94" s="492" t="s">
        <v>422</v>
      </c>
      <c r="AQ94" s="492"/>
      <c r="AR94" s="492"/>
      <c r="AS94" s="492"/>
      <c r="AT94" s="492"/>
      <c r="AU94" s="493" t="s">
        <v>480</v>
      </c>
      <c r="AV94" s="493"/>
      <c r="AW94" s="554">
        <f>CEILING(6509*B5,1)</f>
        <v>9113</v>
      </c>
      <c r="AX94" s="554"/>
      <c r="AY94" s="223"/>
      <c r="AZ94" s="492" t="s">
        <v>422</v>
      </c>
      <c r="BA94" s="492"/>
      <c r="BB94" s="492"/>
      <c r="BC94" s="492"/>
      <c r="BD94" s="492"/>
      <c r="BE94" s="493" t="s">
        <v>614</v>
      </c>
      <c r="BF94" s="493"/>
      <c r="BG94" s="554">
        <f>CEILING(4636*B5,1)</f>
        <v>6491</v>
      </c>
      <c r="BH94" s="554"/>
      <c r="BI94" s="223"/>
      <c r="BJ94" s="492" t="s">
        <v>422</v>
      </c>
      <c r="BK94" s="492"/>
      <c r="BL94" s="492"/>
      <c r="BM94" s="492"/>
      <c r="BN94" s="492"/>
      <c r="BO94" s="493" t="s">
        <v>614</v>
      </c>
      <c r="BP94" s="493"/>
      <c r="BQ94" s="554">
        <f>CEILING(5113*B5,1)</f>
        <v>7159</v>
      </c>
      <c r="BR94" s="554"/>
      <c r="BS94" s="26"/>
      <c r="BT94" s="41"/>
      <c r="BU94" s="33"/>
      <c r="BV94" s="33"/>
      <c r="BW94" s="33"/>
      <c r="BX94" s="33"/>
      <c r="BY94" s="33"/>
      <c r="BZ94" s="33"/>
      <c r="CA94" s="33"/>
      <c r="CB94" s="33"/>
    </row>
    <row r="95" spans="1:80" s="23" customFormat="1" ht="9" customHeight="1" x14ac:dyDescent="0.25">
      <c r="A95" s="26"/>
      <c r="B95" s="492" t="s">
        <v>482</v>
      </c>
      <c r="C95" s="492"/>
      <c r="D95" s="492"/>
      <c r="E95" s="492"/>
      <c r="F95" s="492"/>
      <c r="G95" s="493">
        <f>CEILING(2967*B5,1)</f>
        <v>4154</v>
      </c>
      <c r="H95" s="493"/>
      <c r="I95" s="493"/>
      <c r="J95" s="493"/>
      <c r="K95" s="223"/>
      <c r="L95" s="492" t="s">
        <v>638</v>
      </c>
      <c r="M95" s="492"/>
      <c r="N95" s="492"/>
      <c r="O95" s="492"/>
      <c r="P95" s="492"/>
      <c r="Q95" s="493">
        <f>CEILING(4544*B5,1)</f>
        <v>6362</v>
      </c>
      <c r="R95" s="493"/>
      <c r="S95" s="493"/>
      <c r="T95" s="493"/>
      <c r="U95" s="223"/>
      <c r="V95" s="492" t="s">
        <v>483</v>
      </c>
      <c r="W95" s="492"/>
      <c r="X95" s="492"/>
      <c r="Y95" s="492"/>
      <c r="Z95" s="492"/>
      <c r="AA95" s="493">
        <f>CEILING(3863*B5,1)</f>
        <v>5409</v>
      </c>
      <c r="AB95" s="493"/>
      <c r="AC95" s="493"/>
      <c r="AD95" s="493"/>
      <c r="AE95" s="99"/>
      <c r="AF95" s="492" t="s">
        <v>219</v>
      </c>
      <c r="AG95" s="492"/>
      <c r="AH95" s="492"/>
      <c r="AI95" s="492"/>
      <c r="AJ95" s="492"/>
      <c r="AK95" s="493" t="s">
        <v>481</v>
      </c>
      <c r="AL95" s="493"/>
      <c r="AM95" s="493">
        <f>CEILING(7339*B5,1)</f>
        <v>10275</v>
      </c>
      <c r="AN95" s="493"/>
      <c r="AO95" s="223"/>
      <c r="AP95" s="492" t="s">
        <v>219</v>
      </c>
      <c r="AQ95" s="492"/>
      <c r="AR95" s="492"/>
      <c r="AS95" s="492"/>
      <c r="AT95" s="492"/>
      <c r="AU95" s="493" t="s">
        <v>481</v>
      </c>
      <c r="AV95" s="493"/>
      <c r="AW95" s="554">
        <f>CEILING(7692*B5,1)</f>
        <v>10769</v>
      </c>
      <c r="AX95" s="554"/>
      <c r="AY95" s="223"/>
      <c r="AZ95" s="492" t="s">
        <v>219</v>
      </c>
      <c r="BA95" s="492"/>
      <c r="BB95" s="492"/>
      <c r="BC95" s="492"/>
      <c r="BD95" s="492"/>
      <c r="BE95" s="493" t="s">
        <v>615</v>
      </c>
      <c r="BF95" s="493"/>
      <c r="BG95" s="554">
        <f>CEILING(5284*B5,1)</f>
        <v>7398</v>
      </c>
      <c r="BH95" s="554"/>
      <c r="BI95" s="223"/>
      <c r="BJ95" s="492" t="s">
        <v>219</v>
      </c>
      <c r="BK95" s="492"/>
      <c r="BL95" s="492"/>
      <c r="BM95" s="492"/>
      <c r="BN95" s="492"/>
      <c r="BO95" s="493" t="s">
        <v>615</v>
      </c>
      <c r="BP95" s="493"/>
      <c r="BQ95" s="554">
        <f>CEILING(5329*B5,1)</f>
        <v>7461</v>
      </c>
      <c r="BR95" s="554"/>
      <c r="BS95" s="26"/>
      <c r="BT95" s="533"/>
      <c r="BU95" s="533"/>
      <c r="BV95" s="533"/>
      <c r="BW95" s="533"/>
      <c r="BX95" s="533"/>
      <c r="BY95" s="530"/>
      <c r="BZ95" s="530"/>
      <c r="CA95" s="530"/>
      <c r="CB95" s="530"/>
    </row>
    <row r="96" spans="1:80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</row>
    <row r="97" spans="1:71" x14ac:dyDescent="0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</row>
    <row r="98" spans="1:71" x14ac:dyDescent="0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</row>
    <row r="99" spans="1:71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</row>
    <row r="100" spans="1:71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</row>
    <row r="101" spans="1:71" x14ac:dyDescent="0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</row>
    <row r="102" spans="1:71" x14ac:dyDescent="0.25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</row>
    <row r="103" spans="1:71" x14ac:dyDescent="0.25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</row>
    <row r="104" spans="1:71" x14ac:dyDescent="0.25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</row>
    <row r="105" spans="1:71" x14ac:dyDescent="0.2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</row>
    <row r="106" spans="1:71" x14ac:dyDescent="0.2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</row>
    <row r="107" spans="1:71" x14ac:dyDescent="0.25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</row>
    <row r="108" spans="1:71" x14ac:dyDescent="0.2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</row>
    <row r="109" spans="1:71" x14ac:dyDescent="0.2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</row>
    <row r="110" spans="1:71" x14ac:dyDescent="0.25">
      <c r="A110" s="11"/>
    </row>
    <row r="111" spans="1:71" x14ac:dyDescent="0.25">
      <c r="A111" s="11"/>
    </row>
    <row r="112" spans="1:71" x14ac:dyDescent="0.25">
      <c r="A112" s="11"/>
    </row>
    <row r="113" spans="1:71" x14ac:dyDescent="0.25">
      <c r="A113" s="11"/>
    </row>
    <row r="114" spans="1:71" x14ac:dyDescent="0.25">
      <c r="A114" s="11"/>
    </row>
    <row r="115" spans="1:71" x14ac:dyDescent="0.25">
      <c r="A115" s="11"/>
    </row>
    <row r="116" spans="1:71" x14ac:dyDescent="0.25">
      <c r="A116" s="11"/>
    </row>
    <row r="117" spans="1:71" x14ac:dyDescent="0.25">
      <c r="A117" s="11"/>
    </row>
    <row r="118" spans="1:71" x14ac:dyDescent="0.25">
      <c r="A118" s="11"/>
    </row>
    <row r="119" spans="1:71" x14ac:dyDescent="0.25">
      <c r="A119" s="11"/>
    </row>
    <row r="120" spans="1:71" x14ac:dyDescent="0.25">
      <c r="A120" s="11"/>
    </row>
    <row r="121" spans="1:71" x14ac:dyDescent="0.25">
      <c r="A121" s="11"/>
    </row>
    <row r="122" spans="1:71" x14ac:dyDescent="0.25">
      <c r="A122" s="11"/>
    </row>
    <row r="123" spans="1:71" x14ac:dyDescent="0.25">
      <c r="A123" s="11"/>
    </row>
    <row r="124" spans="1:71" x14ac:dyDescent="0.2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</row>
    <row r="125" spans="1:71" x14ac:dyDescent="0.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</row>
    <row r="126" spans="1:71" x14ac:dyDescent="0.25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</row>
    <row r="127" spans="1:71" x14ac:dyDescent="0.25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</row>
    <row r="128" spans="1:71" x14ac:dyDescent="0.25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</row>
    <row r="129" spans="1:71" x14ac:dyDescent="0.25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</row>
    <row r="130" spans="1:71" x14ac:dyDescent="0.25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</row>
    <row r="131" spans="1:71" x14ac:dyDescent="0.25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</row>
    <row r="132" spans="1:71" x14ac:dyDescent="0.25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</row>
    <row r="133" spans="1:71" x14ac:dyDescent="0.25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</row>
    <row r="134" spans="1:71" x14ac:dyDescent="0.25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</row>
    <row r="135" spans="1:71" x14ac:dyDescent="0.2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</row>
    <row r="136" spans="1:71" x14ac:dyDescent="0.25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</row>
    <row r="137" spans="1:71" x14ac:dyDescent="0.2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</row>
    <row r="138" spans="1:71" x14ac:dyDescent="0.25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</row>
    <row r="139" spans="1:71" x14ac:dyDescent="0.25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</row>
    <row r="140" spans="1:71" x14ac:dyDescent="0.25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</row>
    <row r="141" spans="1:71" x14ac:dyDescent="0.25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</row>
    <row r="142" spans="1:71" x14ac:dyDescent="0.25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</row>
    <row r="143" spans="1:71" x14ac:dyDescent="0.25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</row>
    <row r="144" spans="1:71" x14ac:dyDescent="0.2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</row>
    <row r="145" spans="1:71" x14ac:dyDescent="0.2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</row>
    <row r="146" spans="1:71" x14ac:dyDescent="0.25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</row>
    <row r="147" spans="1:71" x14ac:dyDescent="0.25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</row>
    <row r="148" spans="1:71" x14ac:dyDescent="0.25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</row>
    <row r="149" spans="1:71" x14ac:dyDescent="0.25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</row>
    <row r="150" spans="1:71" x14ac:dyDescent="0.25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</row>
    <row r="151" spans="1:71" x14ac:dyDescent="0.25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</row>
    <row r="152" spans="1:71" x14ac:dyDescent="0.25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</row>
    <row r="153" spans="1:71" x14ac:dyDescent="0.25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</row>
    <row r="154" spans="1:71" x14ac:dyDescent="0.25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</row>
    <row r="155" spans="1:71" x14ac:dyDescent="0.2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</row>
    <row r="156" spans="1:71" x14ac:dyDescent="0.25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</row>
    <row r="157" spans="1:71" x14ac:dyDescent="0.25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</row>
    <row r="158" spans="1:71" x14ac:dyDescent="0.25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</row>
    <row r="159" spans="1:71" x14ac:dyDescent="0.25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</row>
    <row r="160" spans="1:71" x14ac:dyDescent="0.25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</row>
    <row r="161" spans="1:71" x14ac:dyDescent="0.25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</row>
    <row r="162" spans="1:71" x14ac:dyDescent="0.25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</row>
    <row r="163" spans="1:71" x14ac:dyDescent="0.2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</row>
    <row r="164" spans="1:71" x14ac:dyDescent="0.25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</row>
    <row r="165" spans="1:71" x14ac:dyDescent="0.2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</row>
    <row r="166" spans="1:71" x14ac:dyDescent="0.25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</row>
    <row r="167" spans="1:71" x14ac:dyDescent="0.2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</row>
    <row r="168" spans="1:71" x14ac:dyDescent="0.2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</row>
    <row r="169" spans="1:71" x14ac:dyDescent="0.25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</row>
    <row r="170" spans="1:71" x14ac:dyDescent="0.2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</row>
    <row r="171" spans="1:71" x14ac:dyDescent="0.25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</row>
    <row r="172" spans="1:71" x14ac:dyDescent="0.25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</row>
    <row r="173" spans="1:71" x14ac:dyDescent="0.25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</row>
    <row r="174" spans="1:71" x14ac:dyDescent="0.25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</row>
    <row r="175" spans="1:71" x14ac:dyDescent="0.2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</row>
    <row r="176" spans="1:71" x14ac:dyDescent="0.25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</row>
    <row r="177" spans="1:71" x14ac:dyDescent="0.2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</row>
    <row r="178" spans="1:71" x14ac:dyDescent="0.25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</row>
    <row r="179" spans="1:71" x14ac:dyDescent="0.25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</row>
    <row r="180" spans="1:71" x14ac:dyDescent="0.25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</row>
    <row r="181" spans="1:71" x14ac:dyDescent="0.25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</row>
    <row r="182" spans="1:71" x14ac:dyDescent="0.2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</row>
    <row r="183" spans="1:71" x14ac:dyDescent="0.25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</row>
    <row r="184" spans="1:71" x14ac:dyDescent="0.25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</row>
    <row r="185" spans="1:71" x14ac:dyDescent="0.2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</row>
    <row r="186" spans="1:71" x14ac:dyDescent="0.25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</row>
    <row r="187" spans="1:71" x14ac:dyDescent="0.25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</row>
    <row r="188" spans="1:71" x14ac:dyDescent="0.25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</row>
    <row r="189" spans="1:71" x14ac:dyDescent="0.25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</row>
    <row r="190" spans="1:71" x14ac:dyDescent="0.25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</row>
    <row r="191" spans="1:71" x14ac:dyDescent="0.25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</row>
    <row r="192" spans="1:71" x14ac:dyDescent="0.25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</row>
    <row r="193" spans="1:71" x14ac:dyDescent="0.25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</row>
    <row r="194" spans="1:71" x14ac:dyDescent="0.25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</row>
    <row r="195" spans="1:71" x14ac:dyDescent="0.2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</row>
    <row r="196" spans="1:71" x14ac:dyDescent="0.25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</row>
    <row r="197" spans="1:71" x14ac:dyDescent="0.25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</row>
    <row r="198" spans="1:71" x14ac:dyDescent="0.25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</row>
    <row r="199" spans="1:71" x14ac:dyDescent="0.25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</row>
    <row r="200" spans="1:71" x14ac:dyDescent="0.25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</row>
    <row r="201" spans="1:71" x14ac:dyDescent="0.25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</row>
    <row r="202" spans="1:71" x14ac:dyDescent="0.25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</row>
    <row r="203" spans="1:71" x14ac:dyDescent="0.25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</row>
    <row r="204" spans="1:71" x14ac:dyDescent="0.25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</row>
    <row r="205" spans="1:71" x14ac:dyDescent="0.2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</row>
    <row r="206" spans="1:71" x14ac:dyDescent="0.25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</row>
    <row r="207" spans="1:71" x14ac:dyDescent="0.2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</row>
    <row r="208" spans="1:71" x14ac:dyDescent="0.25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</row>
    <row r="209" spans="1:71" x14ac:dyDescent="0.2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</row>
    <row r="210" spans="1:71" x14ac:dyDescent="0.25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</row>
    <row r="211" spans="1:71" x14ac:dyDescent="0.25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</row>
    <row r="212" spans="1:71" x14ac:dyDescent="0.25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</row>
    <row r="213" spans="1:71" x14ac:dyDescent="0.25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</row>
    <row r="214" spans="1:71" x14ac:dyDescent="0.25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</row>
    <row r="215" spans="1:71" x14ac:dyDescent="0.2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</row>
    <row r="216" spans="1:71" x14ac:dyDescent="0.2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</row>
    <row r="217" spans="1:71" x14ac:dyDescent="0.25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</row>
    <row r="218" spans="1:71" x14ac:dyDescent="0.25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</row>
    <row r="219" spans="1:71" x14ac:dyDescent="0.25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</row>
    <row r="220" spans="1:71" x14ac:dyDescent="0.25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</row>
    <row r="221" spans="1:71" x14ac:dyDescent="0.25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</row>
    <row r="222" spans="1:71" x14ac:dyDescent="0.2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</row>
    <row r="223" spans="1:71" x14ac:dyDescent="0.2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</row>
    <row r="224" spans="1:71" x14ac:dyDescent="0.2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</row>
    <row r="225" spans="1:71" x14ac:dyDescent="0.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</row>
    <row r="226" spans="1:71" x14ac:dyDescent="0.25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</row>
    <row r="227" spans="1:71" x14ac:dyDescent="0.2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</row>
    <row r="228" spans="1:71" x14ac:dyDescent="0.2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</row>
    <row r="229" spans="1:71" x14ac:dyDescent="0.2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</row>
    <row r="230" spans="1:71" x14ac:dyDescent="0.2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</row>
    <row r="231" spans="1:71" x14ac:dyDescent="0.2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</row>
    <row r="232" spans="1:71" x14ac:dyDescent="0.25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</row>
    <row r="233" spans="1:71" x14ac:dyDescent="0.2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</row>
    <row r="234" spans="1:71" x14ac:dyDescent="0.2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</row>
    <row r="235" spans="1:71" x14ac:dyDescent="0.2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</row>
    <row r="236" spans="1:71" x14ac:dyDescent="0.2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</row>
    <row r="237" spans="1:71" x14ac:dyDescent="0.2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</row>
    <row r="238" spans="1:71" x14ac:dyDescent="0.25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</row>
    <row r="239" spans="1:71" x14ac:dyDescent="0.2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</row>
    <row r="240" spans="1:71" x14ac:dyDescent="0.2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</row>
    <row r="241" spans="1:71" x14ac:dyDescent="0.25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</row>
    <row r="242" spans="1:71" x14ac:dyDescent="0.2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</row>
    <row r="243" spans="1:71" x14ac:dyDescent="0.2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</row>
    <row r="244" spans="1:71" x14ac:dyDescent="0.25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</row>
    <row r="245" spans="1:71" x14ac:dyDescent="0.2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</row>
    <row r="246" spans="1:71" x14ac:dyDescent="0.25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</row>
    <row r="247" spans="1:71" x14ac:dyDescent="0.25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</row>
    <row r="248" spans="1:71" x14ac:dyDescent="0.25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</row>
    <row r="249" spans="1:71" x14ac:dyDescent="0.25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</row>
    <row r="250" spans="1:71" x14ac:dyDescent="0.25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</row>
    <row r="251" spans="1:71" x14ac:dyDescent="0.25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</row>
    <row r="252" spans="1:71" x14ac:dyDescent="0.25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</row>
    <row r="253" spans="1:71" x14ac:dyDescent="0.25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</row>
    <row r="254" spans="1:71" x14ac:dyDescent="0.25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</row>
    <row r="255" spans="1:71" x14ac:dyDescent="0.2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</row>
    <row r="256" spans="1:71" x14ac:dyDescent="0.25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</row>
    <row r="257" spans="1:71" x14ac:dyDescent="0.25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</row>
    <row r="258" spans="1:71" x14ac:dyDescent="0.25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</row>
    <row r="259" spans="1:71" x14ac:dyDescent="0.25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</row>
    <row r="260" spans="1:71" x14ac:dyDescent="0.25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</row>
    <row r="261" spans="1:71" x14ac:dyDescent="0.25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</row>
    <row r="262" spans="1:71" x14ac:dyDescent="0.25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</row>
    <row r="263" spans="1:71" x14ac:dyDescent="0.25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</row>
    <row r="264" spans="1:71" x14ac:dyDescent="0.25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</row>
    <row r="265" spans="1:71" x14ac:dyDescent="0.2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</row>
    <row r="266" spans="1:71" x14ac:dyDescent="0.25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</row>
    <row r="267" spans="1:71" x14ac:dyDescent="0.25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</row>
    <row r="268" spans="1:71" x14ac:dyDescent="0.25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</row>
    <row r="269" spans="1:71" x14ac:dyDescent="0.25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</row>
    <row r="270" spans="1:71" x14ac:dyDescent="0.2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</row>
    <row r="271" spans="1:71" x14ac:dyDescent="0.2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</row>
    <row r="272" spans="1:71" x14ac:dyDescent="0.2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</row>
    <row r="273" spans="1:71" x14ac:dyDescent="0.2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</row>
    <row r="274" spans="1:71" x14ac:dyDescent="0.25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</row>
    <row r="275" spans="1:71" x14ac:dyDescent="0.2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</row>
    <row r="276" spans="1:71" x14ac:dyDescent="0.2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</row>
    <row r="277" spans="1:71" x14ac:dyDescent="0.25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</row>
    <row r="278" spans="1:71" x14ac:dyDescent="0.2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</row>
    <row r="279" spans="1:71" x14ac:dyDescent="0.2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</row>
    <row r="280" spans="1:71" x14ac:dyDescent="0.25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</row>
    <row r="281" spans="1:71" x14ac:dyDescent="0.2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</row>
    <row r="282" spans="1:71" x14ac:dyDescent="0.2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</row>
    <row r="283" spans="1:71" x14ac:dyDescent="0.25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</row>
    <row r="284" spans="1:71" x14ac:dyDescent="0.25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</row>
    <row r="285" spans="1:71" x14ac:dyDescent="0.2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</row>
    <row r="286" spans="1:71" x14ac:dyDescent="0.25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</row>
    <row r="287" spans="1:71" x14ac:dyDescent="0.25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</row>
    <row r="288" spans="1:71" x14ac:dyDescent="0.2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</row>
    <row r="289" spans="1:71" x14ac:dyDescent="0.25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</row>
    <row r="290" spans="1:71" x14ac:dyDescent="0.2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</row>
    <row r="291" spans="1:71" x14ac:dyDescent="0.2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</row>
    <row r="292" spans="1:71" x14ac:dyDescent="0.25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</row>
    <row r="293" spans="1:71" x14ac:dyDescent="0.25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</row>
    <row r="294" spans="1:71" x14ac:dyDescent="0.25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</row>
    <row r="295" spans="1:71" x14ac:dyDescent="0.2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</row>
    <row r="296" spans="1:71" x14ac:dyDescent="0.25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</row>
    <row r="297" spans="1:71" x14ac:dyDescent="0.2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</row>
    <row r="298" spans="1:71" x14ac:dyDescent="0.2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</row>
    <row r="299" spans="1:71" x14ac:dyDescent="0.25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</row>
    <row r="300" spans="1:71" x14ac:dyDescent="0.25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</row>
    <row r="301" spans="1:71" x14ac:dyDescent="0.25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</row>
    <row r="302" spans="1:71" x14ac:dyDescent="0.25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</row>
    <row r="303" spans="1:71" x14ac:dyDescent="0.25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</row>
    <row r="304" spans="1:71" x14ac:dyDescent="0.25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</row>
    <row r="305" spans="1:71" x14ac:dyDescent="0.2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</row>
    <row r="306" spans="1:71" x14ac:dyDescent="0.25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</row>
    <row r="307" spans="1:71" x14ac:dyDescent="0.25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</row>
    <row r="308" spans="1:71" x14ac:dyDescent="0.25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</row>
    <row r="309" spans="1:71" x14ac:dyDescent="0.25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</row>
    <row r="310" spans="1:71" x14ac:dyDescent="0.25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</row>
    <row r="311" spans="1:71" x14ac:dyDescent="0.25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</row>
    <row r="312" spans="1:71" x14ac:dyDescent="0.25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</row>
    <row r="313" spans="1:71" x14ac:dyDescent="0.25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</row>
    <row r="314" spans="1:71" x14ac:dyDescent="0.25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</row>
    <row r="315" spans="1:71" x14ac:dyDescent="0.2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</row>
    <row r="316" spans="1:71" x14ac:dyDescent="0.25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</row>
    <row r="317" spans="1:71" x14ac:dyDescent="0.2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</row>
    <row r="318" spans="1:71" x14ac:dyDescent="0.25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</row>
    <row r="319" spans="1:71" x14ac:dyDescent="0.25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</row>
    <row r="320" spans="1:71" x14ac:dyDescent="0.25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</row>
    <row r="321" spans="1:71" x14ac:dyDescent="0.2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</row>
    <row r="322" spans="1:71" x14ac:dyDescent="0.2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</row>
    <row r="323" spans="1:71" x14ac:dyDescent="0.25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</row>
    <row r="324" spans="1:71" x14ac:dyDescent="0.25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</row>
    <row r="325" spans="1:71" x14ac:dyDescent="0.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</row>
    <row r="326" spans="1:71" x14ac:dyDescent="0.2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</row>
    <row r="327" spans="1:71" x14ac:dyDescent="0.2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</row>
    <row r="328" spans="1:71" x14ac:dyDescent="0.2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</row>
    <row r="329" spans="1:71" x14ac:dyDescent="0.2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</row>
    <row r="330" spans="1:71" x14ac:dyDescent="0.2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</row>
    <row r="331" spans="1:71" x14ac:dyDescent="0.2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</row>
    <row r="332" spans="1:71" x14ac:dyDescent="0.2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</row>
    <row r="333" spans="1:71" x14ac:dyDescent="0.2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</row>
    <row r="334" spans="1:71" x14ac:dyDescent="0.2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</row>
    <row r="335" spans="1:71" x14ac:dyDescent="0.2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</row>
    <row r="336" spans="1:71" x14ac:dyDescent="0.2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</row>
    <row r="337" spans="1:71" x14ac:dyDescent="0.2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</row>
    <row r="338" spans="1:71" x14ac:dyDescent="0.2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</row>
    <row r="339" spans="1:71" x14ac:dyDescent="0.2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</row>
    <row r="340" spans="1:71" x14ac:dyDescent="0.2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</row>
    <row r="341" spans="1:71" x14ac:dyDescent="0.2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</row>
    <row r="342" spans="1:71" x14ac:dyDescent="0.2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</row>
    <row r="343" spans="1:71" x14ac:dyDescent="0.2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</row>
    <row r="344" spans="1:71" x14ac:dyDescent="0.2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</row>
    <row r="345" spans="1:71" x14ac:dyDescent="0.2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</row>
  </sheetData>
  <mergeCells count="261">
    <mergeCell ref="E81:J81"/>
    <mergeCell ref="L81:N81"/>
    <mergeCell ref="O81:T81"/>
    <mergeCell ref="V81:X81"/>
    <mergeCell ref="Y81:AD81"/>
    <mergeCell ref="B78:F78"/>
    <mergeCell ref="G78:J78"/>
    <mergeCell ref="L78:P78"/>
    <mergeCell ref="BJ7:BL7"/>
    <mergeCell ref="BM7:BR7"/>
    <mergeCell ref="AP7:AR7"/>
    <mergeCell ref="AS7:AX7"/>
    <mergeCell ref="AZ7:BB7"/>
    <mergeCell ref="L5:BR5"/>
    <mergeCell ref="B5:J5"/>
    <mergeCell ref="A1:BR4"/>
    <mergeCell ref="B82:J82"/>
    <mergeCell ref="L82:T82"/>
    <mergeCell ref="V82:AD82"/>
    <mergeCell ref="B50:J50"/>
    <mergeCell ref="L50:T50"/>
    <mergeCell ref="V50:AD50"/>
    <mergeCell ref="AF50:AN50"/>
    <mergeCell ref="AP50:AX50"/>
    <mergeCell ref="B66:J66"/>
    <mergeCell ref="L66:T66"/>
    <mergeCell ref="V66:AD66"/>
    <mergeCell ref="AF66:AN66"/>
    <mergeCell ref="AP66:AX66"/>
    <mergeCell ref="AU63:AX63"/>
    <mergeCell ref="AU78:AX78"/>
    <mergeCell ref="B81:D81"/>
    <mergeCell ref="Y7:AD7"/>
    <mergeCell ref="AF7:AH7"/>
    <mergeCell ref="AI7:AN7"/>
    <mergeCell ref="B7:D7"/>
    <mergeCell ref="E7:J7"/>
    <mergeCell ref="L7:N7"/>
    <mergeCell ref="O7:T7"/>
    <mergeCell ref="V7:X7"/>
    <mergeCell ref="BC7:BH7"/>
    <mergeCell ref="O20:T20"/>
    <mergeCell ref="BO18:BR18"/>
    <mergeCell ref="AK18:AN18"/>
    <mergeCell ref="AP18:AT18"/>
    <mergeCell ref="AU18:AX18"/>
    <mergeCell ref="AZ18:BD18"/>
    <mergeCell ref="BE18:BH18"/>
    <mergeCell ref="BJ18:BN18"/>
    <mergeCell ref="B18:F18"/>
    <mergeCell ref="G18:J18"/>
    <mergeCell ref="L18:P18"/>
    <mergeCell ref="Q18:T18"/>
    <mergeCell ref="V18:Z18"/>
    <mergeCell ref="AA18:AD18"/>
    <mergeCell ref="AF18:AJ18"/>
    <mergeCell ref="V31:Z31"/>
    <mergeCell ref="AA31:AD31"/>
    <mergeCell ref="AF31:AJ31"/>
    <mergeCell ref="AK31:AN31"/>
    <mergeCell ref="AS20:AX20"/>
    <mergeCell ref="AZ20:BB20"/>
    <mergeCell ref="BC20:BH20"/>
    <mergeCell ref="BJ20:BL20"/>
    <mergeCell ref="BM20:BR20"/>
    <mergeCell ref="V20:X20"/>
    <mergeCell ref="AF33:AH33"/>
    <mergeCell ref="AI33:AN33"/>
    <mergeCell ref="AP33:AR33"/>
    <mergeCell ref="AP46:AT46"/>
    <mergeCell ref="AS33:AX33"/>
    <mergeCell ref="AU46:AX46"/>
    <mergeCell ref="AZ33:BB33"/>
    <mergeCell ref="BC33:BH33"/>
    <mergeCell ref="B33:D33"/>
    <mergeCell ref="E33:J33"/>
    <mergeCell ref="L33:N33"/>
    <mergeCell ref="O33:T33"/>
    <mergeCell ref="AZ46:BD46"/>
    <mergeCell ref="BJ49:BL49"/>
    <mergeCell ref="BM49:BR49"/>
    <mergeCell ref="BJ47:BN47"/>
    <mergeCell ref="BO47:BR47"/>
    <mergeCell ref="B49:D49"/>
    <mergeCell ref="E49:J49"/>
    <mergeCell ref="L49:N49"/>
    <mergeCell ref="O49:T49"/>
    <mergeCell ref="V49:X49"/>
    <mergeCell ref="Y49:AD49"/>
    <mergeCell ref="AF49:AH49"/>
    <mergeCell ref="AI49:AN49"/>
    <mergeCell ref="AF47:AJ47"/>
    <mergeCell ref="AK47:AN47"/>
    <mergeCell ref="AP47:AT47"/>
    <mergeCell ref="AU47:AX47"/>
    <mergeCell ref="AZ47:BD47"/>
    <mergeCell ref="BE47:BH47"/>
    <mergeCell ref="B47:F47"/>
    <mergeCell ref="G47:J47"/>
    <mergeCell ref="L47:P47"/>
    <mergeCell ref="Q47:T47"/>
    <mergeCell ref="V47:Z47"/>
    <mergeCell ref="AA47:AD47"/>
    <mergeCell ref="BJ63:BN63"/>
    <mergeCell ref="BO63:BR63"/>
    <mergeCell ref="AZ50:BH50"/>
    <mergeCell ref="BJ50:BR50"/>
    <mergeCell ref="B63:F63"/>
    <mergeCell ref="G63:J63"/>
    <mergeCell ref="L63:P63"/>
    <mergeCell ref="Q63:T63"/>
    <mergeCell ref="V63:Z63"/>
    <mergeCell ref="AA63:AD63"/>
    <mergeCell ref="AF63:AJ63"/>
    <mergeCell ref="AK63:AN63"/>
    <mergeCell ref="AU62:AX62"/>
    <mergeCell ref="AZ62:BD62"/>
    <mergeCell ref="BE62:BH62"/>
    <mergeCell ref="B62:F62"/>
    <mergeCell ref="G62:J62"/>
    <mergeCell ref="L62:P62"/>
    <mergeCell ref="Q62:T62"/>
    <mergeCell ref="V62:Z62"/>
    <mergeCell ref="AA62:AD62"/>
    <mergeCell ref="AF62:AJ62"/>
    <mergeCell ref="AK62:AN62"/>
    <mergeCell ref="AP62:AT62"/>
    <mergeCell ref="BJ65:BL65"/>
    <mergeCell ref="BM65:BR65"/>
    <mergeCell ref="AF65:AH65"/>
    <mergeCell ref="AI65:AN65"/>
    <mergeCell ref="AP65:AR65"/>
    <mergeCell ref="AS65:AX65"/>
    <mergeCell ref="AZ65:BB65"/>
    <mergeCell ref="BC65:BH65"/>
    <mergeCell ref="AZ66:BH66"/>
    <mergeCell ref="BJ66:BR66"/>
    <mergeCell ref="BY93:CB93"/>
    <mergeCell ref="BJ81:BL81"/>
    <mergeCell ref="BM81:BR81"/>
    <mergeCell ref="BT81:BV81"/>
    <mergeCell ref="BW81:CB81"/>
    <mergeCell ref="AF81:AH81"/>
    <mergeCell ref="AI81:AN81"/>
    <mergeCell ref="AP81:AR81"/>
    <mergeCell ref="AS81:AX81"/>
    <mergeCell ref="AZ81:BB81"/>
    <mergeCell ref="BC81:BH81"/>
    <mergeCell ref="B95:F95"/>
    <mergeCell ref="G95:J95"/>
    <mergeCell ref="L95:P95"/>
    <mergeCell ref="Q95:T95"/>
    <mergeCell ref="V95:Z95"/>
    <mergeCell ref="AA95:AD95"/>
    <mergeCell ref="AF95:AJ95"/>
    <mergeCell ref="AF94:AJ94"/>
    <mergeCell ref="AP94:AT94"/>
    <mergeCell ref="BT95:BX95"/>
    <mergeCell ref="BY95:CB95"/>
    <mergeCell ref="AP20:AR20"/>
    <mergeCell ref="AI20:AN20"/>
    <mergeCell ref="AF20:AH20"/>
    <mergeCell ref="Y20:AD20"/>
    <mergeCell ref="AF21:AN21"/>
    <mergeCell ref="AP21:AX21"/>
    <mergeCell ref="AZ21:BH21"/>
    <mergeCell ref="BJ21:BR21"/>
    <mergeCell ref="AP95:AT95"/>
    <mergeCell ref="AZ95:BD95"/>
    <mergeCell ref="BJ95:BN95"/>
    <mergeCell ref="AU95:AV95"/>
    <mergeCell ref="AW95:AX95"/>
    <mergeCell ref="BE95:BF95"/>
    <mergeCell ref="BG95:BH95"/>
    <mergeCell ref="BJ94:BN94"/>
    <mergeCell ref="AZ94:BD94"/>
    <mergeCell ref="AU94:AV94"/>
    <mergeCell ref="AW94:AX94"/>
    <mergeCell ref="BE94:BF94"/>
    <mergeCell ref="BG94:BH94"/>
    <mergeCell ref="BT93:BX93"/>
    <mergeCell ref="BJ46:BN46"/>
    <mergeCell ref="BO46:BR46"/>
    <mergeCell ref="L20:N20"/>
    <mergeCell ref="E20:J20"/>
    <mergeCell ref="B20:D20"/>
    <mergeCell ref="B21:J21"/>
    <mergeCell ref="L21:T21"/>
    <mergeCell ref="V21:AD21"/>
    <mergeCell ref="V33:X33"/>
    <mergeCell ref="Y33:AD33"/>
    <mergeCell ref="AP31:AT31"/>
    <mergeCell ref="AU31:AX31"/>
    <mergeCell ref="AZ31:BD31"/>
    <mergeCell ref="BE31:BH31"/>
    <mergeCell ref="BJ31:BN31"/>
    <mergeCell ref="BO31:BR31"/>
    <mergeCell ref="B31:F31"/>
    <mergeCell ref="G31:J31"/>
    <mergeCell ref="L31:P31"/>
    <mergeCell ref="Q31:T31"/>
    <mergeCell ref="BJ33:BL33"/>
    <mergeCell ref="BM33:BR33"/>
    <mergeCell ref="B46:F46"/>
    <mergeCell ref="G46:J46"/>
    <mergeCell ref="AZ63:BD63"/>
    <mergeCell ref="AP49:AR49"/>
    <mergeCell ref="AS49:AX49"/>
    <mergeCell ref="AZ49:BB49"/>
    <mergeCell ref="BC49:BH49"/>
    <mergeCell ref="BE46:BH46"/>
    <mergeCell ref="BE63:BH63"/>
    <mergeCell ref="B65:D65"/>
    <mergeCell ref="E65:J65"/>
    <mergeCell ref="L65:N65"/>
    <mergeCell ref="O65:T65"/>
    <mergeCell ref="V65:X65"/>
    <mergeCell ref="Y65:AD65"/>
    <mergeCell ref="AP63:AT63"/>
    <mergeCell ref="L46:P46"/>
    <mergeCell ref="Q46:T46"/>
    <mergeCell ref="V46:Z46"/>
    <mergeCell ref="AA46:AD46"/>
    <mergeCell ref="AF46:AJ46"/>
    <mergeCell ref="AK46:AN46"/>
    <mergeCell ref="Q78:T78"/>
    <mergeCell ref="V78:Z78"/>
    <mergeCell ref="AA78:AD78"/>
    <mergeCell ref="BE79:BH79"/>
    <mergeCell ref="BJ79:BN79"/>
    <mergeCell ref="BO79:BR79"/>
    <mergeCell ref="B79:F79"/>
    <mergeCell ref="G79:J79"/>
    <mergeCell ref="L79:P79"/>
    <mergeCell ref="Q79:T79"/>
    <mergeCell ref="V79:Z79"/>
    <mergeCell ref="AA79:AD79"/>
    <mergeCell ref="AF79:AJ79"/>
    <mergeCell ref="AK79:AN79"/>
    <mergeCell ref="AP79:AT79"/>
    <mergeCell ref="AU79:AX79"/>
    <mergeCell ref="AZ79:BD79"/>
    <mergeCell ref="AZ78:BD78"/>
    <mergeCell ref="BE78:BH78"/>
    <mergeCell ref="AF78:AJ78"/>
    <mergeCell ref="AK78:AN78"/>
    <mergeCell ref="AP78:AT78"/>
    <mergeCell ref="BJ78:BN78"/>
    <mergeCell ref="BO78:BR78"/>
    <mergeCell ref="BO95:BP95"/>
    <mergeCell ref="BQ95:BR95"/>
    <mergeCell ref="AP82:AX82"/>
    <mergeCell ref="AZ82:BH82"/>
    <mergeCell ref="BJ82:BR82"/>
    <mergeCell ref="AF82:AN82"/>
    <mergeCell ref="AM94:AN94"/>
    <mergeCell ref="AK94:AL94"/>
    <mergeCell ref="AK95:AL95"/>
    <mergeCell ref="AM95:AN95"/>
    <mergeCell ref="BO94:BP94"/>
    <mergeCell ref="BQ94:BR94"/>
  </mergeCells>
  <pageMargins left="0.23622047244094491" right="0.23622047244094491" top="0.35433070866141736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B342"/>
  <sheetViews>
    <sheetView showGridLines="0" view="pageBreakPreview" zoomScaleNormal="115" zoomScaleSheetLayoutView="100" workbookViewId="0">
      <selection sqref="A1:BR4"/>
    </sheetView>
  </sheetViews>
  <sheetFormatPr defaultRowHeight="8.25" x14ac:dyDescent="0.25"/>
  <cols>
    <col min="1" max="1" width="0.28515625" style="5" customWidth="1"/>
    <col min="2" max="10" width="1.7109375" style="5" customWidth="1"/>
    <col min="11" max="11" width="0.28515625" style="5" customWidth="1"/>
    <col min="12" max="20" width="1.7109375" style="5" customWidth="1"/>
    <col min="21" max="21" width="0.28515625" style="5" customWidth="1"/>
    <col min="22" max="30" width="1.7109375" style="5" customWidth="1"/>
    <col min="31" max="31" width="0.28515625" style="5" customWidth="1"/>
    <col min="32" max="40" width="1.7109375" style="5" customWidth="1"/>
    <col min="41" max="41" width="0.28515625" style="5" customWidth="1"/>
    <col min="42" max="50" width="1.7109375" style="5" customWidth="1"/>
    <col min="51" max="51" width="0.28515625" style="5" customWidth="1"/>
    <col min="52" max="60" width="1.7109375" style="5" customWidth="1"/>
    <col min="61" max="61" width="0.28515625" style="5" customWidth="1"/>
    <col min="62" max="70" width="1.7109375" style="5" customWidth="1"/>
    <col min="71" max="71" width="0.28515625" style="5" customWidth="1"/>
    <col min="72" max="80" width="1.7109375" style="5" customWidth="1"/>
    <col min="81" max="256" width="9.140625" style="5"/>
    <col min="257" max="257" width="0.28515625" style="5" customWidth="1"/>
    <col min="258" max="266" width="1.7109375" style="5" customWidth="1"/>
    <col min="267" max="267" width="0.28515625" style="5" customWidth="1"/>
    <col min="268" max="276" width="1.7109375" style="5" customWidth="1"/>
    <col min="277" max="277" width="0.28515625" style="5" customWidth="1"/>
    <col min="278" max="286" width="1.7109375" style="5" customWidth="1"/>
    <col min="287" max="287" width="0.28515625" style="5" customWidth="1"/>
    <col min="288" max="296" width="1.7109375" style="5" customWidth="1"/>
    <col min="297" max="297" width="0.28515625" style="5" customWidth="1"/>
    <col min="298" max="306" width="1.7109375" style="5" customWidth="1"/>
    <col min="307" max="307" width="0.28515625" style="5" customWidth="1"/>
    <col min="308" max="316" width="1.7109375" style="5" customWidth="1"/>
    <col min="317" max="317" width="0.28515625" style="5" customWidth="1"/>
    <col min="318" max="326" width="1.7109375" style="5" customWidth="1"/>
    <col min="327" max="327" width="0.28515625" style="5" customWidth="1"/>
    <col min="328" max="336" width="1.7109375" style="5" customWidth="1"/>
    <col min="337" max="512" width="9.140625" style="5"/>
    <col min="513" max="513" width="0.28515625" style="5" customWidth="1"/>
    <col min="514" max="522" width="1.7109375" style="5" customWidth="1"/>
    <col min="523" max="523" width="0.28515625" style="5" customWidth="1"/>
    <col min="524" max="532" width="1.7109375" style="5" customWidth="1"/>
    <col min="533" max="533" width="0.28515625" style="5" customWidth="1"/>
    <col min="534" max="542" width="1.7109375" style="5" customWidth="1"/>
    <col min="543" max="543" width="0.28515625" style="5" customWidth="1"/>
    <col min="544" max="552" width="1.7109375" style="5" customWidth="1"/>
    <col min="553" max="553" width="0.28515625" style="5" customWidth="1"/>
    <col min="554" max="562" width="1.7109375" style="5" customWidth="1"/>
    <col min="563" max="563" width="0.28515625" style="5" customWidth="1"/>
    <col min="564" max="572" width="1.7109375" style="5" customWidth="1"/>
    <col min="573" max="573" width="0.28515625" style="5" customWidth="1"/>
    <col min="574" max="582" width="1.7109375" style="5" customWidth="1"/>
    <col min="583" max="583" width="0.28515625" style="5" customWidth="1"/>
    <col min="584" max="592" width="1.7109375" style="5" customWidth="1"/>
    <col min="593" max="768" width="9.140625" style="5"/>
    <col min="769" max="769" width="0.28515625" style="5" customWidth="1"/>
    <col min="770" max="778" width="1.7109375" style="5" customWidth="1"/>
    <col min="779" max="779" width="0.28515625" style="5" customWidth="1"/>
    <col min="780" max="788" width="1.7109375" style="5" customWidth="1"/>
    <col min="789" max="789" width="0.28515625" style="5" customWidth="1"/>
    <col min="790" max="798" width="1.7109375" style="5" customWidth="1"/>
    <col min="799" max="799" width="0.28515625" style="5" customWidth="1"/>
    <col min="800" max="808" width="1.7109375" style="5" customWidth="1"/>
    <col min="809" max="809" width="0.28515625" style="5" customWidth="1"/>
    <col min="810" max="818" width="1.7109375" style="5" customWidth="1"/>
    <col min="819" max="819" width="0.28515625" style="5" customWidth="1"/>
    <col min="820" max="828" width="1.7109375" style="5" customWidth="1"/>
    <col min="829" max="829" width="0.28515625" style="5" customWidth="1"/>
    <col min="830" max="838" width="1.7109375" style="5" customWidth="1"/>
    <col min="839" max="839" width="0.28515625" style="5" customWidth="1"/>
    <col min="840" max="848" width="1.7109375" style="5" customWidth="1"/>
    <col min="849" max="1024" width="9.140625" style="5"/>
    <col min="1025" max="1025" width="0.28515625" style="5" customWidth="1"/>
    <col min="1026" max="1034" width="1.7109375" style="5" customWidth="1"/>
    <col min="1035" max="1035" width="0.28515625" style="5" customWidth="1"/>
    <col min="1036" max="1044" width="1.7109375" style="5" customWidth="1"/>
    <col min="1045" max="1045" width="0.28515625" style="5" customWidth="1"/>
    <col min="1046" max="1054" width="1.7109375" style="5" customWidth="1"/>
    <col min="1055" max="1055" width="0.28515625" style="5" customWidth="1"/>
    <col min="1056" max="1064" width="1.7109375" style="5" customWidth="1"/>
    <col min="1065" max="1065" width="0.28515625" style="5" customWidth="1"/>
    <col min="1066" max="1074" width="1.7109375" style="5" customWidth="1"/>
    <col min="1075" max="1075" width="0.28515625" style="5" customWidth="1"/>
    <col min="1076" max="1084" width="1.7109375" style="5" customWidth="1"/>
    <col min="1085" max="1085" width="0.28515625" style="5" customWidth="1"/>
    <col min="1086" max="1094" width="1.7109375" style="5" customWidth="1"/>
    <col min="1095" max="1095" width="0.28515625" style="5" customWidth="1"/>
    <col min="1096" max="1104" width="1.7109375" style="5" customWidth="1"/>
    <col min="1105" max="1280" width="9.140625" style="5"/>
    <col min="1281" max="1281" width="0.28515625" style="5" customWidth="1"/>
    <col min="1282" max="1290" width="1.7109375" style="5" customWidth="1"/>
    <col min="1291" max="1291" width="0.28515625" style="5" customWidth="1"/>
    <col min="1292" max="1300" width="1.7109375" style="5" customWidth="1"/>
    <col min="1301" max="1301" width="0.28515625" style="5" customWidth="1"/>
    <col min="1302" max="1310" width="1.7109375" style="5" customWidth="1"/>
    <col min="1311" max="1311" width="0.28515625" style="5" customWidth="1"/>
    <col min="1312" max="1320" width="1.7109375" style="5" customWidth="1"/>
    <col min="1321" max="1321" width="0.28515625" style="5" customWidth="1"/>
    <col min="1322" max="1330" width="1.7109375" style="5" customWidth="1"/>
    <col min="1331" max="1331" width="0.28515625" style="5" customWidth="1"/>
    <col min="1332" max="1340" width="1.7109375" style="5" customWidth="1"/>
    <col min="1341" max="1341" width="0.28515625" style="5" customWidth="1"/>
    <col min="1342" max="1350" width="1.7109375" style="5" customWidth="1"/>
    <col min="1351" max="1351" width="0.28515625" style="5" customWidth="1"/>
    <col min="1352" max="1360" width="1.7109375" style="5" customWidth="1"/>
    <col min="1361" max="1536" width="9.140625" style="5"/>
    <col min="1537" max="1537" width="0.28515625" style="5" customWidth="1"/>
    <col min="1538" max="1546" width="1.7109375" style="5" customWidth="1"/>
    <col min="1547" max="1547" width="0.28515625" style="5" customWidth="1"/>
    <col min="1548" max="1556" width="1.7109375" style="5" customWidth="1"/>
    <col min="1557" max="1557" width="0.28515625" style="5" customWidth="1"/>
    <col min="1558" max="1566" width="1.7109375" style="5" customWidth="1"/>
    <col min="1567" max="1567" width="0.28515625" style="5" customWidth="1"/>
    <col min="1568" max="1576" width="1.7109375" style="5" customWidth="1"/>
    <col min="1577" max="1577" width="0.28515625" style="5" customWidth="1"/>
    <col min="1578" max="1586" width="1.7109375" style="5" customWidth="1"/>
    <col min="1587" max="1587" width="0.28515625" style="5" customWidth="1"/>
    <col min="1588" max="1596" width="1.7109375" style="5" customWidth="1"/>
    <col min="1597" max="1597" width="0.28515625" style="5" customWidth="1"/>
    <col min="1598" max="1606" width="1.7109375" style="5" customWidth="1"/>
    <col min="1607" max="1607" width="0.28515625" style="5" customWidth="1"/>
    <col min="1608" max="1616" width="1.7109375" style="5" customWidth="1"/>
    <col min="1617" max="1792" width="9.140625" style="5"/>
    <col min="1793" max="1793" width="0.28515625" style="5" customWidth="1"/>
    <col min="1794" max="1802" width="1.7109375" style="5" customWidth="1"/>
    <col min="1803" max="1803" width="0.28515625" style="5" customWidth="1"/>
    <col min="1804" max="1812" width="1.7109375" style="5" customWidth="1"/>
    <col min="1813" max="1813" width="0.28515625" style="5" customWidth="1"/>
    <col min="1814" max="1822" width="1.7109375" style="5" customWidth="1"/>
    <col min="1823" max="1823" width="0.28515625" style="5" customWidth="1"/>
    <col min="1824" max="1832" width="1.7109375" style="5" customWidth="1"/>
    <col min="1833" max="1833" width="0.28515625" style="5" customWidth="1"/>
    <col min="1834" max="1842" width="1.7109375" style="5" customWidth="1"/>
    <col min="1843" max="1843" width="0.28515625" style="5" customWidth="1"/>
    <col min="1844" max="1852" width="1.7109375" style="5" customWidth="1"/>
    <col min="1853" max="1853" width="0.28515625" style="5" customWidth="1"/>
    <col min="1854" max="1862" width="1.7109375" style="5" customWidth="1"/>
    <col min="1863" max="1863" width="0.28515625" style="5" customWidth="1"/>
    <col min="1864" max="1872" width="1.7109375" style="5" customWidth="1"/>
    <col min="1873" max="2048" width="9.140625" style="5"/>
    <col min="2049" max="2049" width="0.28515625" style="5" customWidth="1"/>
    <col min="2050" max="2058" width="1.7109375" style="5" customWidth="1"/>
    <col min="2059" max="2059" width="0.28515625" style="5" customWidth="1"/>
    <col min="2060" max="2068" width="1.7109375" style="5" customWidth="1"/>
    <col min="2069" max="2069" width="0.28515625" style="5" customWidth="1"/>
    <col min="2070" max="2078" width="1.7109375" style="5" customWidth="1"/>
    <col min="2079" max="2079" width="0.28515625" style="5" customWidth="1"/>
    <col min="2080" max="2088" width="1.7109375" style="5" customWidth="1"/>
    <col min="2089" max="2089" width="0.28515625" style="5" customWidth="1"/>
    <col min="2090" max="2098" width="1.7109375" style="5" customWidth="1"/>
    <col min="2099" max="2099" width="0.28515625" style="5" customWidth="1"/>
    <col min="2100" max="2108" width="1.7109375" style="5" customWidth="1"/>
    <col min="2109" max="2109" width="0.28515625" style="5" customWidth="1"/>
    <col min="2110" max="2118" width="1.7109375" style="5" customWidth="1"/>
    <col min="2119" max="2119" width="0.28515625" style="5" customWidth="1"/>
    <col min="2120" max="2128" width="1.7109375" style="5" customWidth="1"/>
    <col min="2129" max="2304" width="9.140625" style="5"/>
    <col min="2305" max="2305" width="0.28515625" style="5" customWidth="1"/>
    <col min="2306" max="2314" width="1.7109375" style="5" customWidth="1"/>
    <col min="2315" max="2315" width="0.28515625" style="5" customWidth="1"/>
    <col min="2316" max="2324" width="1.7109375" style="5" customWidth="1"/>
    <col min="2325" max="2325" width="0.28515625" style="5" customWidth="1"/>
    <col min="2326" max="2334" width="1.7109375" style="5" customWidth="1"/>
    <col min="2335" max="2335" width="0.28515625" style="5" customWidth="1"/>
    <col min="2336" max="2344" width="1.7109375" style="5" customWidth="1"/>
    <col min="2345" max="2345" width="0.28515625" style="5" customWidth="1"/>
    <col min="2346" max="2354" width="1.7109375" style="5" customWidth="1"/>
    <col min="2355" max="2355" width="0.28515625" style="5" customWidth="1"/>
    <col min="2356" max="2364" width="1.7109375" style="5" customWidth="1"/>
    <col min="2365" max="2365" width="0.28515625" style="5" customWidth="1"/>
    <col min="2366" max="2374" width="1.7109375" style="5" customWidth="1"/>
    <col min="2375" max="2375" width="0.28515625" style="5" customWidth="1"/>
    <col min="2376" max="2384" width="1.7109375" style="5" customWidth="1"/>
    <col min="2385" max="2560" width="9.140625" style="5"/>
    <col min="2561" max="2561" width="0.28515625" style="5" customWidth="1"/>
    <col min="2562" max="2570" width="1.7109375" style="5" customWidth="1"/>
    <col min="2571" max="2571" width="0.28515625" style="5" customWidth="1"/>
    <col min="2572" max="2580" width="1.7109375" style="5" customWidth="1"/>
    <col min="2581" max="2581" width="0.28515625" style="5" customWidth="1"/>
    <col min="2582" max="2590" width="1.7109375" style="5" customWidth="1"/>
    <col min="2591" max="2591" width="0.28515625" style="5" customWidth="1"/>
    <col min="2592" max="2600" width="1.7109375" style="5" customWidth="1"/>
    <col min="2601" max="2601" width="0.28515625" style="5" customWidth="1"/>
    <col min="2602" max="2610" width="1.7109375" style="5" customWidth="1"/>
    <col min="2611" max="2611" width="0.28515625" style="5" customWidth="1"/>
    <col min="2612" max="2620" width="1.7109375" style="5" customWidth="1"/>
    <col min="2621" max="2621" width="0.28515625" style="5" customWidth="1"/>
    <col min="2622" max="2630" width="1.7109375" style="5" customWidth="1"/>
    <col min="2631" max="2631" width="0.28515625" style="5" customWidth="1"/>
    <col min="2632" max="2640" width="1.7109375" style="5" customWidth="1"/>
    <col min="2641" max="2816" width="9.140625" style="5"/>
    <col min="2817" max="2817" width="0.28515625" style="5" customWidth="1"/>
    <col min="2818" max="2826" width="1.7109375" style="5" customWidth="1"/>
    <col min="2827" max="2827" width="0.28515625" style="5" customWidth="1"/>
    <col min="2828" max="2836" width="1.7109375" style="5" customWidth="1"/>
    <col min="2837" max="2837" width="0.28515625" style="5" customWidth="1"/>
    <col min="2838" max="2846" width="1.7109375" style="5" customWidth="1"/>
    <col min="2847" max="2847" width="0.28515625" style="5" customWidth="1"/>
    <col min="2848" max="2856" width="1.7109375" style="5" customWidth="1"/>
    <col min="2857" max="2857" width="0.28515625" style="5" customWidth="1"/>
    <col min="2858" max="2866" width="1.7109375" style="5" customWidth="1"/>
    <col min="2867" max="2867" width="0.28515625" style="5" customWidth="1"/>
    <col min="2868" max="2876" width="1.7109375" style="5" customWidth="1"/>
    <col min="2877" max="2877" width="0.28515625" style="5" customWidth="1"/>
    <col min="2878" max="2886" width="1.7109375" style="5" customWidth="1"/>
    <col min="2887" max="2887" width="0.28515625" style="5" customWidth="1"/>
    <col min="2888" max="2896" width="1.7109375" style="5" customWidth="1"/>
    <col min="2897" max="3072" width="9.140625" style="5"/>
    <col min="3073" max="3073" width="0.28515625" style="5" customWidth="1"/>
    <col min="3074" max="3082" width="1.7109375" style="5" customWidth="1"/>
    <col min="3083" max="3083" width="0.28515625" style="5" customWidth="1"/>
    <col min="3084" max="3092" width="1.7109375" style="5" customWidth="1"/>
    <col min="3093" max="3093" width="0.28515625" style="5" customWidth="1"/>
    <col min="3094" max="3102" width="1.7109375" style="5" customWidth="1"/>
    <col min="3103" max="3103" width="0.28515625" style="5" customWidth="1"/>
    <col min="3104" max="3112" width="1.7109375" style="5" customWidth="1"/>
    <col min="3113" max="3113" width="0.28515625" style="5" customWidth="1"/>
    <col min="3114" max="3122" width="1.7109375" style="5" customWidth="1"/>
    <col min="3123" max="3123" width="0.28515625" style="5" customWidth="1"/>
    <col min="3124" max="3132" width="1.7109375" style="5" customWidth="1"/>
    <col min="3133" max="3133" width="0.28515625" style="5" customWidth="1"/>
    <col min="3134" max="3142" width="1.7109375" style="5" customWidth="1"/>
    <col min="3143" max="3143" width="0.28515625" style="5" customWidth="1"/>
    <col min="3144" max="3152" width="1.7109375" style="5" customWidth="1"/>
    <col min="3153" max="3328" width="9.140625" style="5"/>
    <col min="3329" max="3329" width="0.28515625" style="5" customWidth="1"/>
    <col min="3330" max="3338" width="1.7109375" style="5" customWidth="1"/>
    <col min="3339" max="3339" width="0.28515625" style="5" customWidth="1"/>
    <col min="3340" max="3348" width="1.7109375" style="5" customWidth="1"/>
    <col min="3349" max="3349" width="0.28515625" style="5" customWidth="1"/>
    <col min="3350" max="3358" width="1.7109375" style="5" customWidth="1"/>
    <col min="3359" max="3359" width="0.28515625" style="5" customWidth="1"/>
    <col min="3360" max="3368" width="1.7109375" style="5" customWidth="1"/>
    <col min="3369" max="3369" width="0.28515625" style="5" customWidth="1"/>
    <col min="3370" max="3378" width="1.7109375" style="5" customWidth="1"/>
    <col min="3379" max="3379" width="0.28515625" style="5" customWidth="1"/>
    <col min="3380" max="3388" width="1.7109375" style="5" customWidth="1"/>
    <col min="3389" max="3389" width="0.28515625" style="5" customWidth="1"/>
    <col min="3390" max="3398" width="1.7109375" style="5" customWidth="1"/>
    <col min="3399" max="3399" width="0.28515625" style="5" customWidth="1"/>
    <col min="3400" max="3408" width="1.7109375" style="5" customWidth="1"/>
    <col min="3409" max="3584" width="9.140625" style="5"/>
    <col min="3585" max="3585" width="0.28515625" style="5" customWidth="1"/>
    <col min="3586" max="3594" width="1.7109375" style="5" customWidth="1"/>
    <col min="3595" max="3595" width="0.28515625" style="5" customWidth="1"/>
    <col min="3596" max="3604" width="1.7109375" style="5" customWidth="1"/>
    <col min="3605" max="3605" width="0.28515625" style="5" customWidth="1"/>
    <col min="3606" max="3614" width="1.7109375" style="5" customWidth="1"/>
    <col min="3615" max="3615" width="0.28515625" style="5" customWidth="1"/>
    <col min="3616" max="3624" width="1.7109375" style="5" customWidth="1"/>
    <col min="3625" max="3625" width="0.28515625" style="5" customWidth="1"/>
    <col min="3626" max="3634" width="1.7109375" style="5" customWidth="1"/>
    <col min="3635" max="3635" width="0.28515625" style="5" customWidth="1"/>
    <col min="3636" max="3644" width="1.7109375" style="5" customWidth="1"/>
    <col min="3645" max="3645" width="0.28515625" style="5" customWidth="1"/>
    <col min="3646" max="3654" width="1.7109375" style="5" customWidth="1"/>
    <col min="3655" max="3655" width="0.28515625" style="5" customWidth="1"/>
    <col min="3656" max="3664" width="1.7109375" style="5" customWidth="1"/>
    <col min="3665" max="3840" width="9.140625" style="5"/>
    <col min="3841" max="3841" width="0.28515625" style="5" customWidth="1"/>
    <col min="3842" max="3850" width="1.7109375" style="5" customWidth="1"/>
    <col min="3851" max="3851" width="0.28515625" style="5" customWidth="1"/>
    <col min="3852" max="3860" width="1.7109375" style="5" customWidth="1"/>
    <col min="3861" max="3861" width="0.28515625" style="5" customWidth="1"/>
    <col min="3862" max="3870" width="1.7109375" style="5" customWidth="1"/>
    <col min="3871" max="3871" width="0.28515625" style="5" customWidth="1"/>
    <col min="3872" max="3880" width="1.7109375" style="5" customWidth="1"/>
    <col min="3881" max="3881" width="0.28515625" style="5" customWidth="1"/>
    <col min="3882" max="3890" width="1.7109375" style="5" customWidth="1"/>
    <col min="3891" max="3891" width="0.28515625" style="5" customWidth="1"/>
    <col min="3892" max="3900" width="1.7109375" style="5" customWidth="1"/>
    <col min="3901" max="3901" width="0.28515625" style="5" customWidth="1"/>
    <col min="3902" max="3910" width="1.7109375" style="5" customWidth="1"/>
    <col min="3911" max="3911" width="0.28515625" style="5" customWidth="1"/>
    <col min="3912" max="3920" width="1.7109375" style="5" customWidth="1"/>
    <col min="3921" max="4096" width="9.140625" style="5"/>
    <col min="4097" max="4097" width="0.28515625" style="5" customWidth="1"/>
    <col min="4098" max="4106" width="1.7109375" style="5" customWidth="1"/>
    <col min="4107" max="4107" width="0.28515625" style="5" customWidth="1"/>
    <col min="4108" max="4116" width="1.7109375" style="5" customWidth="1"/>
    <col min="4117" max="4117" width="0.28515625" style="5" customWidth="1"/>
    <col min="4118" max="4126" width="1.7109375" style="5" customWidth="1"/>
    <col min="4127" max="4127" width="0.28515625" style="5" customWidth="1"/>
    <col min="4128" max="4136" width="1.7109375" style="5" customWidth="1"/>
    <col min="4137" max="4137" width="0.28515625" style="5" customWidth="1"/>
    <col min="4138" max="4146" width="1.7109375" style="5" customWidth="1"/>
    <col min="4147" max="4147" width="0.28515625" style="5" customWidth="1"/>
    <col min="4148" max="4156" width="1.7109375" style="5" customWidth="1"/>
    <col min="4157" max="4157" width="0.28515625" style="5" customWidth="1"/>
    <col min="4158" max="4166" width="1.7109375" style="5" customWidth="1"/>
    <col min="4167" max="4167" width="0.28515625" style="5" customWidth="1"/>
    <col min="4168" max="4176" width="1.7109375" style="5" customWidth="1"/>
    <col min="4177" max="4352" width="9.140625" style="5"/>
    <col min="4353" max="4353" width="0.28515625" style="5" customWidth="1"/>
    <col min="4354" max="4362" width="1.7109375" style="5" customWidth="1"/>
    <col min="4363" max="4363" width="0.28515625" style="5" customWidth="1"/>
    <col min="4364" max="4372" width="1.7109375" style="5" customWidth="1"/>
    <col min="4373" max="4373" width="0.28515625" style="5" customWidth="1"/>
    <col min="4374" max="4382" width="1.7109375" style="5" customWidth="1"/>
    <col min="4383" max="4383" width="0.28515625" style="5" customWidth="1"/>
    <col min="4384" max="4392" width="1.7109375" style="5" customWidth="1"/>
    <col min="4393" max="4393" width="0.28515625" style="5" customWidth="1"/>
    <col min="4394" max="4402" width="1.7109375" style="5" customWidth="1"/>
    <col min="4403" max="4403" width="0.28515625" style="5" customWidth="1"/>
    <col min="4404" max="4412" width="1.7109375" style="5" customWidth="1"/>
    <col min="4413" max="4413" width="0.28515625" style="5" customWidth="1"/>
    <col min="4414" max="4422" width="1.7109375" style="5" customWidth="1"/>
    <col min="4423" max="4423" width="0.28515625" style="5" customWidth="1"/>
    <col min="4424" max="4432" width="1.7109375" style="5" customWidth="1"/>
    <col min="4433" max="4608" width="9.140625" style="5"/>
    <col min="4609" max="4609" width="0.28515625" style="5" customWidth="1"/>
    <col min="4610" max="4618" width="1.7109375" style="5" customWidth="1"/>
    <col min="4619" max="4619" width="0.28515625" style="5" customWidth="1"/>
    <col min="4620" max="4628" width="1.7109375" style="5" customWidth="1"/>
    <col min="4629" max="4629" width="0.28515625" style="5" customWidth="1"/>
    <col min="4630" max="4638" width="1.7109375" style="5" customWidth="1"/>
    <col min="4639" max="4639" width="0.28515625" style="5" customWidth="1"/>
    <col min="4640" max="4648" width="1.7109375" style="5" customWidth="1"/>
    <col min="4649" max="4649" width="0.28515625" style="5" customWidth="1"/>
    <col min="4650" max="4658" width="1.7109375" style="5" customWidth="1"/>
    <col min="4659" max="4659" width="0.28515625" style="5" customWidth="1"/>
    <col min="4660" max="4668" width="1.7109375" style="5" customWidth="1"/>
    <col min="4669" max="4669" width="0.28515625" style="5" customWidth="1"/>
    <col min="4670" max="4678" width="1.7109375" style="5" customWidth="1"/>
    <col min="4679" max="4679" width="0.28515625" style="5" customWidth="1"/>
    <col min="4680" max="4688" width="1.7109375" style="5" customWidth="1"/>
    <col min="4689" max="4864" width="9.140625" style="5"/>
    <col min="4865" max="4865" width="0.28515625" style="5" customWidth="1"/>
    <col min="4866" max="4874" width="1.7109375" style="5" customWidth="1"/>
    <col min="4875" max="4875" width="0.28515625" style="5" customWidth="1"/>
    <col min="4876" max="4884" width="1.7109375" style="5" customWidth="1"/>
    <col min="4885" max="4885" width="0.28515625" style="5" customWidth="1"/>
    <col min="4886" max="4894" width="1.7109375" style="5" customWidth="1"/>
    <col min="4895" max="4895" width="0.28515625" style="5" customWidth="1"/>
    <col min="4896" max="4904" width="1.7109375" style="5" customWidth="1"/>
    <col min="4905" max="4905" width="0.28515625" style="5" customWidth="1"/>
    <col min="4906" max="4914" width="1.7109375" style="5" customWidth="1"/>
    <col min="4915" max="4915" width="0.28515625" style="5" customWidth="1"/>
    <col min="4916" max="4924" width="1.7109375" style="5" customWidth="1"/>
    <col min="4925" max="4925" width="0.28515625" style="5" customWidth="1"/>
    <col min="4926" max="4934" width="1.7109375" style="5" customWidth="1"/>
    <col min="4935" max="4935" width="0.28515625" style="5" customWidth="1"/>
    <col min="4936" max="4944" width="1.7109375" style="5" customWidth="1"/>
    <col min="4945" max="5120" width="9.140625" style="5"/>
    <col min="5121" max="5121" width="0.28515625" style="5" customWidth="1"/>
    <col min="5122" max="5130" width="1.7109375" style="5" customWidth="1"/>
    <col min="5131" max="5131" width="0.28515625" style="5" customWidth="1"/>
    <col min="5132" max="5140" width="1.7109375" style="5" customWidth="1"/>
    <col min="5141" max="5141" width="0.28515625" style="5" customWidth="1"/>
    <col min="5142" max="5150" width="1.7109375" style="5" customWidth="1"/>
    <col min="5151" max="5151" width="0.28515625" style="5" customWidth="1"/>
    <col min="5152" max="5160" width="1.7109375" style="5" customWidth="1"/>
    <col min="5161" max="5161" width="0.28515625" style="5" customWidth="1"/>
    <col min="5162" max="5170" width="1.7109375" style="5" customWidth="1"/>
    <col min="5171" max="5171" width="0.28515625" style="5" customWidth="1"/>
    <col min="5172" max="5180" width="1.7109375" style="5" customWidth="1"/>
    <col min="5181" max="5181" width="0.28515625" style="5" customWidth="1"/>
    <col min="5182" max="5190" width="1.7109375" style="5" customWidth="1"/>
    <col min="5191" max="5191" width="0.28515625" style="5" customWidth="1"/>
    <col min="5192" max="5200" width="1.7109375" style="5" customWidth="1"/>
    <col min="5201" max="5376" width="9.140625" style="5"/>
    <col min="5377" max="5377" width="0.28515625" style="5" customWidth="1"/>
    <col min="5378" max="5386" width="1.7109375" style="5" customWidth="1"/>
    <col min="5387" max="5387" width="0.28515625" style="5" customWidth="1"/>
    <col min="5388" max="5396" width="1.7109375" style="5" customWidth="1"/>
    <col min="5397" max="5397" width="0.28515625" style="5" customWidth="1"/>
    <col min="5398" max="5406" width="1.7109375" style="5" customWidth="1"/>
    <col min="5407" max="5407" width="0.28515625" style="5" customWidth="1"/>
    <col min="5408" max="5416" width="1.7109375" style="5" customWidth="1"/>
    <col min="5417" max="5417" width="0.28515625" style="5" customWidth="1"/>
    <col min="5418" max="5426" width="1.7109375" style="5" customWidth="1"/>
    <col min="5427" max="5427" width="0.28515625" style="5" customWidth="1"/>
    <col min="5428" max="5436" width="1.7109375" style="5" customWidth="1"/>
    <col min="5437" max="5437" width="0.28515625" style="5" customWidth="1"/>
    <col min="5438" max="5446" width="1.7109375" style="5" customWidth="1"/>
    <col min="5447" max="5447" width="0.28515625" style="5" customWidth="1"/>
    <col min="5448" max="5456" width="1.7109375" style="5" customWidth="1"/>
    <col min="5457" max="5632" width="9.140625" style="5"/>
    <col min="5633" max="5633" width="0.28515625" style="5" customWidth="1"/>
    <col min="5634" max="5642" width="1.7109375" style="5" customWidth="1"/>
    <col min="5643" max="5643" width="0.28515625" style="5" customWidth="1"/>
    <col min="5644" max="5652" width="1.7109375" style="5" customWidth="1"/>
    <col min="5653" max="5653" width="0.28515625" style="5" customWidth="1"/>
    <col min="5654" max="5662" width="1.7109375" style="5" customWidth="1"/>
    <col min="5663" max="5663" width="0.28515625" style="5" customWidth="1"/>
    <col min="5664" max="5672" width="1.7109375" style="5" customWidth="1"/>
    <col min="5673" max="5673" width="0.28515625" style="5" customWidth="1"/>
    <col min="5674" max="5682" width="1.7109375" style="5" customWidth="1"/>
    <col min="5683" max="5683" width="0.28515625" style="5" customWidth="1"/>
    <col min="5684" max="5692" width="1.7109375" style="5" customWidth="1"/>
    <col min="5693" max="5693" width="0.28515625" style="5" customWidth="1"/>
    <col min="5694" max="5702" width="1.7109375" style="5" customWidth="1"/>
    <col min="5703" max="5703" width="0.28515625" style="5" customWidth="1"/>
    <col min="5704" max="5712" width="1.7109375" style="5" customWidth="1"/>
    <col min="5713" max="5888" width="9.140625" style="5"/>
    <col min="5889" max="5889" width="0.28515625" style="5" customWidth="1"/>
    <col min="5890" max="5898" width="1.7109375" style="5" customWidth="1"/>
    <col min="5899" max="5899" width="0.28515625" style="5" customWidth="1"/>
    <col min="5900" max="5908" width="1.7109375" style="5" customWidth="1"/>
    <col min="5909" max="5909" width="0.28515625" style="5" customWidth="1"/>
    <col min="5910" max="5918" width="1.7109375" style="5" customWidth="1"/>
    <col min="5919" max="5919" width="0.28515625" style="5" customWidth="1"/>
    <col min="5920" max="5928" width="1.7109375" style="5" customWidth="1"/>
    <col min="5929" max="5929" width="0.28515625" style="5" customWidth="1"/>
    <col min="5930" max="5938" width="1.7109375" style="5" customWidth="1"/>
    <col min="5939" max="5939" width="0.28515625" style="5" customWidth="1"/>
    <col min="5940" max="5948" width="1.7109375" style="5" customWidth="1"/>
    <col min="5949" max="5949" width="0.28515625" style="5" customWidth="1"/>
    <col min="5950" max="5958" width="1.7109375" style="5" customWidth="1"/>
    <col min="5959" max="5959" width="0.28515625" style="5" customWidth="1"/>
    <col min="5960" max="5968" width="1.7109375" style="5" customWidth="1"/>
    <col min="5969" max="6144" width="9.140625" style="5"/>
    <col min="6145" max="6145" width="0.28515625" style="5" customWidth="1"/>
    <col min="6146" max="6154" width="1.7109375" style="5" customWidth="1"/>
    <col min="6155" max="6155" width="0.28515625" style="5" customWidth="1"/>
    <col min="6156" max="6164" width="1.7109375" style="5" customWidth="1"/>
    <col min="6165" max="6165" width="0.28515625" style="5" customWidth="1"/>
    <col min="6166" max="6174" width="1.7109375" style="5" customWidth="1"/>
    <col min="6175" max="6175" width="0.28515625" style="5" customWidth="1"/>
    <col min="6176" max="6184" width="1.7109375" style="5" customWidth="1"/>
    <col min="6185" max="6185" width="0.28515625" style="5" customWidth="1"/>
    <col min="6186" max="6194" width="1.7109375" style="5" customWidth="1"/>
    <col min="6195" max="6195" width="0.28515625" style="5" customWidth="1"/>
    <col min="6196" max="6204" width="1.7109375" style="5" customWidth="1"/>
    <col min="6205" max="6205" width="0.28515625" style="5" customWidth="1"/>
    <col min="6206" max="6214" width="1.7109375" style="5" customWidth="1"/>
    <col min="6215" max="6215" width="0.28515625" style="5" customWidth="1"/>
    <col min="6216" max="6224" width="1.7109375" style="5" customWidth="1"/>
    <col min="6225" max="6400" width="9.140625" style="5"/>
    <col min="6401" max="6401" width="0.28515625" style="5" customWidth="1"/>
    <col min="6402" max="6410" width="1.7109375" style="5" customWidth="1"/>
    <col min="6411" max="6411" width="0.28515625" style="5" customWidth="1"/>
    <col min="6412" max="6420" width="1.7109375" style="5" customWidth="1"/>
    <col min="6421" max="6421" width="0.28515625" style="5" customWidth="1"/>
    <col min="6422" max="6430" width="1.7109375" style="5" customWidth="1"/>
    <col min="6431" max="6431" width="0.28515625" style="5" customWidth="1"/>
    <col min="6432" max="6440" width="1.7109375" style="5" customWidth="1"/>
    <col min="6441" max="6441" width="0.28515625" style="5" customWidth="1"/>
    <col min="6442" max="6450" width="1.7109375" style="5" customWidth="1"/>
    <col min="6451" max="6451" width="0.28515625" style="5" customWidth="1"/>
    <col min="6452" max="6460" width="1.7109375" style="5" customWidth="1"/>
    <col min="6461" max="6461" width="0.28515625" style="5" customWidth="1"/>
    <col min="6462" max="6470" width="1.7109375" style="5" customWidth="1"/>
    <col min="6471" max="6471" width="0.28515625" style="5" customWidth="1"/>
    <col min="6472" max="6480" width="1.7109375" style="5" customWidth="1"/>
    <col min="6481" max="6656" width="9.140625" style="5"/>
    <col min="6657" max="6657" width="0.28515625" style="5" customWidth="1"/>
    <col min="6658" max="6666" width="1.7109375" style="5" customWidth="1"/>
    <col min="6667" max="6667" width="0.28515625" style="5" customWidth="1"/>
    <col min="6668" max="6676" width="1.7109375" style="5" customWidth="1"/>
    <col min="6677" max="6677" width="0.28515625" style="5" customWidth="1"/>
    <col min="6678" max="6686" width="1.7109375" style="5" customWidth="1"/>
    <col min="6687" max="6687" width="0.28515625" style="5" customWidth="1"/>
    <col min="6688" max="6696" width="1.7109375" style="5" customWidth="1"/>
    <col min="6697" max="6697" width="0.28515625" style="5" customWidth="1"/>
    <col min="6698" max="6706" width="1.7109375" style="5" customWidth="1"/>
    <col min="6707" max="6707" width="0.28515625" style="5" customWidth="1"/>
    <col min="6708" max="6716" width="1.7109375" style="5" customWidth="1"/>
    <col min="6717" max="6717" width="0.28515625" style="5" customWidth="1"/>
    <col min="6718" max="6726" width="1.7109375" style="5" customWidth="1"/>
    <col min="6727" max="6727" width="0.28515625" style="5" customWidth="1"/>
    <col min="6728" max="6736" width="1.7109375" style="5" customWidth="1"/>
    <col min="6737" max="6912" width="9.140625" style="5"/>
    <col min="6913" max="6913" width="0.28515625" style="5" customWidth="1"/>
    <col min="6914" max="6922" width="1.7109375" style="5" customWidth="1"/>
    <col min="6923" max="6923" width="0.28515625" style="5" customWidth="1"/>
    <col min="6924" max="6932" width="1.7109375" style="5" customWidth="1"/>
    <col min="6933" max="6933" width="0.28515625" style="5" customWidth="1"/>
    <col min="6934" max="6942" width="1.7109375" style="5" customWidth="1"/>
    <col min="6943" max="6943" width="0.28515625" style="5" customWidth="1"/>
    <col min="6944" max="6952" width="1.7109375" style="5" customWidth="1"/>
    <col min="6953" max="6953" width="0.28515625" style="5" customWidth="1"/>
    <col min="6954" max="6962" width="1.7109375" style="5" customWidth="1"/>
    <col min="6963" max="6963" width="0.28515625" style="5" customWidth="1"/>
    <col min="6964" max="6972" width="1.7109375" style="5" customWidth="1"/>
    <col min="6973" max="6973" width="0.28515625" style="5" customWidth="1"/>
    <col min="6974" max="6982" width="1.7109375" style="5" customWidth="1"/>
    <col min="6983" max="6983" width="0.28515625" style="5" customWidth="1"/>
    <col min="6984" max="6992" width="1.7109375" style="5" customWidth="1"/>
    <col min="6993" max="7168" width="9.140625" style="5"/>
    <col min="7169" max="7169" width="0.28515625" style="5" customWidth="1"/>
    <col min="7170" max="7178" width="1.7109375" style="5" customWidth="1"/>
    <col min="7179" max="7179" width="0.28515625" style="5" customWidth="1"/>
    <col min="7180" max="7188" width="1.7109375" style="5" customWidth="1"/>
    <col min="7189" max="7189" width="0.28515625" style="5" customWidth="1"/>
    <col min="7190" max="7198" width="1.7109375" style="5" customWidth="1"/>
    <col min="7199" max="7199" width="0.28515625" style="5" customWidth="1"/>
    <col min="7200" max="7208" width="1.7109375" style="5" customWidth="1"/>
    <col min="7209" max="7209" width="0.28515625" style="5" customWidth="1"/>
    <col min="7210" max="7218" width="1.7109375" style="5" customWidth="1"/>
    <col min="7219" max="7219" width="0.28515625" style="5" customWidth="1"/>
    <col min="7220" max="7228" width="1.7109375" style="5" customWidth="1"/>
    <col min="7229" max="7229" width="0.28515625" style="5" customWidth="1"/>
    <col min="7230" max="7238" width="1.7109375" style="5" customWidth="1"/>
    <col min="7239" max="7239" width="0.28515625" style="5" customWidth="1"/>
    <col min="7240" max="7248" width="1.7109375" style="5" customWidth="1"/>
    <col min="7249" max="7424" width="9.140625" style="5"/>
    <col min="7425" max="7425" width="0.28515625" style="5" customWidth="1"/>
    <col min="7426" max="7434" width="1.7109375" style="5" customWidth="1"/>
    <col min="7435" max="7435" width="0.28515625" style="5" customWidth="1"/>
    <col min="7436" max="7444" width="1.7109375" style="5" customWidth="1"/>
    <col min="7445" max="7445" width="0.28515625" style="5" customWidth="1"/>
    <col min="7446" max="7454" width="1.7109375" style="5" customWidth="1"/>
    <col min="7455" max="7455" width="0.28515625" style="5" customWidth="1"/>
    <col min="7456" max="7464" width="1.7109375" style="5" customWidth="1"/>
    <col min="7465" max="7465" width="0.28515625" style="5" customWidth="1"/>
    <col min="7466" max="7474" width="1.7109375" style="5" customWidth="1"/>
    <col min="7475" max="7475" width="0.28515625" style="5" customWidth="1"/>
    <col min="7476" max="7484" width="1.7109375" style="5" customWidth="1"/>
    <col min="7485" max="7485" width="0.28515625" style="5" customWidth="1"/>
    <col min="7486" max="7494" width="1.7109375" style="5" customWidth="1"/>
    <col min="7495" max="7495" width="0.28515625" style="5" customWidth="1"/>
    <col min="7496" max="7504" width="1.7109375" style="5" customWidth="1"/>
    <col min="7505" max="7680" width="9.140625" style="5"/>
    <col min="7681" max="7681" width="0.28515625" style="5" customWidth="1"/>
    <col min="7682" max="7690" width="1.7109375" style="5" customWidth="1"/>
    <col min="7691" max="7691" width="0.28515625" style="5" customWidth="1"/>
    <col min="7692" max="7700" width="1.7109375" style="5" customWidth="1"/>
    <col min="7701" max="7701" width="0.28515625" style="5" customWidth="1"/>
    <col min="7702" max="7710" width="1.7109375" style="5" customWidth="1"/>
    <col min="7711" max="7711" width="0.28515625" style="5" customWidth="1"/>
    <col min="7712" max="7720" width="1.7109375" style="5" customWidth="1"/>
    <col min="7721" max="7721" width="0.28515625" style="5" customWidth="1"/>
    <col min="7722" max="7730" width="1.7109375" style="5" customWidth="1"/>
    <col min="7731" max="7731" width="0.28515625" style="5" customWidth="1"/>
    <col min="7732" max="7740" width="1.7109375" style="5" customWidth="1"/>
    <col min="7741" max="7741" width="0.28515625" style="5" customWidth="1"/>
    <col min="7742" max="7750" width="1.7109375" style="5" customWidth="1"/>
    <col min="7751" max="7751" width="0.28515625" style="5" customWidth="1"/>
    <col min="7752" max="7760" width="1.7109375" style="5" customWidth="1"/>
    <col min="7761" max="7936" width="9.140625" style="5"/>
    <col min="7937" max="7937" width="0.28515625" style="5" customWidth="1"/>
    <col min="7938" max="7946" width="1.7109375" style="5" customWidth="1"/>
    <col min="7947" max="7947" width="0.28515625" style="5" customWidth="1"/>
    <col min="7948" max="7956" width="1.7109375" style="5" customWidth="1"/>
    <col min="7957" max="7957" width="0.28515625" style="5" customWidth="1"/>
    <col min="7958" max="7966" width="1.7109375" style="5" customWidth="1"/>
    <col min="7967" max="7967" width="0.28515625" style="5" customWidth="1"/>
    <col min="7968" max="7976" width="1.7109375" style="5" customWidth="1"/>
    <col min="7977" max="7977" width="0.28515625" style="5" customWidth="1"/>
    <col min="7978" max="7986" width="1.7109375" style="5" customWidth="1"/>
    <col min="7987" max="7987" width="0.28515625" style="5" customWidth="1"/>
    <col min="7988" max="7996" width="1.7109375" style="5" customWidth="1"/>
    <col min="7997" max="7997" width="0.28515625" style="5" customWidth="1"/>
    <col min="7998" max="8006" width="1.7109375" style="5" customWidth="1"/>
    <col min="8007" max="8007" width="0.28515625" style="5" customWidth="1"/>
    <col min="8008" max="8016" width="1.7109375" style="5" customWidth="1"/>
    <col min="8017" max="8192" width="9.140625" style="5"/>
    <col min="8193" max="8193" width="0.28515625" style="5" customWidth="1"/>
    <col min="8194" max="8202" width="1.7109375" style="5" customWidth="1"/>
    <col min="8203" max="8203" width="0.28515625" style="5" customWidth="1"/>
    <col min="8204" max="8212" width="1.7109375" style="5" customWidth="1"/>
    <col min="8213" max="8213" width="0.28515625" style="5" customWidth="1"/>
    <col min="8214" max="8222" width="1.7109375" style="5" customWidth="1"/>
    <col min="8223" max="8223" width="0.28515625" style="5" customWidth="1"/>
    <col min="8224" max="8232" width="1.7109375" style="5" customWidth="1"/>
    <col min="8233" max="8233" width="0.28515625" style="5" customWidth="1"/>
    <col min="8234" max="8242" width="1.7109375" style="5" customWidth="1"/>
    <col min="8243" max="8243" width="0.28515625" style="5" customWidth="1"/>
    <col min="8244" max="8252" width="1.7109375" style="5" customWidth="1"/>
    <col min="8253" max="8253" width="0.28515625" style="5" customWidth="1"/>
    <col min="8254" max="8262" width="1.7109375" style="5" customWidth="1"/>
    <col min="8263" max="8263" width="0.28515625" style="5" customWidth="1"/>
    <col min="8264" max="8272" width="1.7109375" style="5" customWidth="1"/>
    <col min="8273" max="8448" width="9.140625" style="5"/>
    <col min="8449" max="8449" width="0.28515625" style="5" customWidth="1"/>
    <col min="8450" max="8458" width="1.7109375" style="5" customWidth="1"/>
    <col min="8459" max="8459" width="0.28515625" style="5" customWidth="1"/>
    <col min="8460" max="8468" width="1.7109375" style="5" customWidth="1"/>
    <col min="8469" max="8469" width="0.28515625" style="5" customWidth="1"/>
    <col min="8470" max="8478" width="1.7109375" style="5" customWidth="1"/>
    <col min="8479" max="8479" width="0.28515625" style="5" customWidth="1"/>
    <col min="8480" max="8488" width="1.7109375" style="5" customWidth="1"/>
    <col min="8489" max="8489" width="0.28515625" style="5" customWidth="1"/>
    <col min="8490" max="8498" width="1.7109375" style="5" customWidth="1"/>
    <col min="8499" max="8499" width="0.28515625" style="5" customWidth="1"/>
    <col min="8500" max="8508" width="1.7109375" style="5" customWidth="1"/>
    <col min="8509" max="8509" width="0.28515625" style="5" customWidth="1"/>
    <col min="8510" max="8518" width="1.7109375" style="5" customWidth="1"/>
    <col min="8519" max="8519" width="0.28515625" style="5" customWidth="1"/>
    <col min="8520" max="8528" width="1.7109375" style="5" customWidth="1"/>
    <col min="8529" max="8704" width="9.140625" style="5"/>
    <col min="8705" max="8705" width="0.28515625" style="5" customWidth="1"/>
    <col min="8706" max="8714" width="1.7109375" style="5" customWidth="1"/>
    <col min="8715" max="8715" width="0.28515625" style="5" customWidth="1"/>
    <col min="8716" max="8724" width="1.7109375" style="5" customWidth="1"/>
    <col min="8725" max="8725" width="0.28515625" style="5" customWidth="1"/>
    <col min="8726" max="8734" width="1.7109375" style="5" customWidth="1"/>
    <col min="8735" max="8735" width="0.28515625" style="5" customWidth="1"/>
    <col min="8736" max="8744" width="1.7109375" style="5" customWidth="1"/>
    <col min="8745" max="8745" width="0.28515625" style="5" customWidth="1"/>
    <col min="8746" max="8754" width="1.7109375" style="5" customWidth="1"/>
    <col min="8755" max="8755" width="0.28515625" style="5" customWidth="1"/>
    <col min="8756" max="8764" width="1.7109375" style="5" customWidth="1"/>
    <col min="8765" max="8765" width="0.28515625" style="5" customWidth="1"/>
    <col min="8766" max="8774" width="1.7109375" style="5" customWidth="1"/>
    <col min="8775" max="8775" width="0.28515625" style="5" customWidth="1"/>
    <col min="8776" max="8784" width="1.7109375" style="5" customWidth="1"/>
    <col min="8785" max="8960" width="9.140625" style="5"/>
    <col min="8961" max="8961" width="0.28515625" style="5" customWidth="1"/>
    <col min="8962" max="8970" width="1.7109375" style="5" customWidth="1"/>
    <col min="8971" max="8971" width="0.28515625" style="5" customWidth="1"/>
    <col min="8972" max="8980" width="1.7109375" style="5" customWidth="1"/>
    <col min="8981" max="8981" width="0.28515625" style="5" customWidth="1"/>
    <col min="8982" max="8990" width="1.7109375" style="5" customWidth="1"/>
    <col min="8991" max="8991" width="0.28515625" style="5" customWidth="1"/>
    <col min="8992" max="9000" width="1.7109375" style="5" customWidth="1"/>
    <col min="9001" max="9001" width="0.28515625" style="5" customWidth="1"/>
    <col min="9002" max="9010" width="1.7109375" style="5" customWidth="1"/>
    <col min="9011" max="9011" width="0.28515625" style="5" customWidth="1"/>
    <col min="9012" max="9020" width="1.7109375" style="5" customWidth="1"/>
    <col min="9021" max="9021" width="0.28515625" style="5" customWidth="1"/>
    <col min="9022" max="9030" width="1.7109375" style="5" customWidth="1"/>
    <col min="9031" max="9031" width="0.28515625" style="5" customWidth="1"/>
    <col min="9032" max="9040" width="1.7109375" style="5" customWidth="1"/>
    <col min="9041" max="9216" width="9.140625" style="5"/>
    <col min="9217" max="9217" width="0.28515625" style="5" customWidth="1"/>
    <col min="9218" max="9226" width="1.7109375" style="5" customWidth="1"/>
    <col min="9227" max="9227" width="0.28515625" style="5" customWidth="1"/>
    <col min="9228" max="9236" width="1.7109375" style="5" customWidth="1"/>
    <col min="9237" max="9237" width="0.28515625" style="5" customWidth="1"/>
    <col min="9238" max="9246" width="1.7109375" style="5" customWidth="1"/>
    <col min="9247" max="9247" width="0.28515625" style="5" customWidth="1"/>
    <col min="9248" max="9256" width="1.7109375" style="5" customWidth="1"/>
    <col min="9257" max="9257" width="0.28515625" style="5" customWidth="1"/>
    <col min="9258" max="9266" width="1.7109375" style="5" customWidth="1"/>
    <col min="9267" max="9267" width="0.28515625" style="5" customWidth="1"/>
    <col min="9268" max="9276" width="1.7109375" style="5" customWidth="1"/>
    <col min="9277" max="9277" width="0.28515625" style="5" customWidth="1"/>
    <col min="9278" max="9286" width="1.7109375" style="5" customWidth="1"/>
    <col min="9287" max="9287" width="0.28515625" style="5" customWidth="1"/>
    <col min="9288" max="9296" width="1.7109375" style="5" customWidth="1"/>
    <col min="9297" max="9472" width="9.140625" style="5"/>
    <col min="9473" max="9473" width="0.28515625" style="5" customWidth="1"/>
    <col min="9474" max="9482" width="1.7109375" style="5" customWidth="1"/>
    <col min="9483" max="9483" width="0.28515625" style="5" customWidth="1"/>
    <col min="9484" max="9492" width="1.7109375" style="5" customWidth="1"/>
    <col min="9493" max="9493" width="0.28515625" style="5" customWidth="1"/>
    <col min="9494" max="9502" width="1.7109375" style="5" customWidth="1"/>
    <col min="9503" max="9503" width="0.28515625" style="5" customWidth="1"/>
    <col min="9504" max="9512" width="1.7109375" style="5" customWidth="1"/>
    <col min="9513" max="9513" width="0.28515625" style="5" customWidth="1"/>
    <col min="9514" max="9522" width="1.7109375" style="5" customWidth="1"/>
    <col min="9523" max="9523" width="0.28515625" style="5" customWidth="1"/>
    <col min="9524" max="9532" width="1.7109375" style="5" customWidth="1"/>
    <col min="9533" max="9533" width="0.28515625" style="5" customWidth="1"/>
    <col min="9534" max="9542" width="1.7109375" style="5" customWidth="1"/>
    <col min="9543" max="9543" width="0.28515625" style="5" customWidth="1"/>
    <col min="9544" max="9552" width="1.7109375" style="5" customWidth="1"/>
    <col min="9553" max="9728" width="9.140625" style="5"/>
    <col min="9729" max="9729" width="0.28515625" style="5" customWidth="1"/>
    <col min="9730" max="9738" width="1.7109375" style="5" customWidth="1"/>
    <col min="9739" max="9739" width="0.28515625" style="5" customWidth="1"/>
    <col min="9740" max="9748" width="1.7109375" style="5" customWidth="1"/>
    <col min="9749" max="9749" width="0.28515625" style="5" customWidth="1"/>
    <col min="9750" max="9758" width="1.7109375" style="5" customWidth="1"/>
    <col min="9759" max="9759" width="0.28515625" style="5" customWidth="1"/>
    <col min="9760" max="9768" width="1.7109375" style="5" customWidth="1"/>
    <col min="9769" max="9769" width="0.28515625" style="5" customWidth="1"/>
    <col min="9770" max="9778" width="1.7109375" style="5" customWidth="1"/>
    <col min="9779" max="9779" width="0.28515625" style="5" customWidth="1"/>
    <col min="9780" max="9788" width="1.7109375" style="5" customWidth="1"/>
    <col min="9789" max="9789" width="0.28515625" style="5" customWidth="1"/>
    <col min="9790" max="9798" width="1.7109375" style="5" customWidth="1"/>
    <col min="9799" max="9799" width="0.28515625" style="5" customWidth="1"/>
    <col min="9800" max="9808" width="1.7109375" style="5" customWidth="1"/>
    <col min="9809" max="9984" width="9.140625" style="5"/>
    <col min="9985" max="9985" width="0.28515625" style="5" customWidth="1"/>
    <col min="9986" max="9994" width="1.7109375" style="5" customWidth="1"/>
    <col min="9995" max="9995" width="0.28515625" style="5" customWidth="1"/>
    <col min="9996" max="10004" width="1.7109375" style="5" customWidth="1"/>
    <col min="10005" max="10005" width="0.28515625" style="5" customWidth="1"/>
    <col min="10006" max="10014" width="1.7109375" style="5" customWidth="1"/>
    <col min="10015" max="10015" width="0.28515625" style="5" customWidth="1"/>
    <col min="10016" max="10024" width="1.7109375" style="5" customWidth="1"/>
    <col min="10025" max="10025" width="0.28515625" style="5" customWidth="1"/>
    <col min="10026" max="10034" width="1.7109375" style="5" customWidth="1"/>
    <col min="10035" max="10035" width="0.28515625" style="5" customWidth="1"/>
    <col min="10036" max="10044" width="1.7109375" style="5" customWidth="1"/>
    <col min="10045" max="10045" width="0.28515625" style="5" customWidth="1"/>
    <col min="10046" max="10054" width="1.7109375" style="5" customWidth="1"/>
    <col min="10055" max="10055" width="0.28515625" style="5" customWidth="1"/>
    <col min="10056" max="10064" width="1.7109375" style="5" customWidth="1"/>
    <col min="10065" max="10240" width="9.140625" style="5"/>
    <col min="10241" max="10241" width="0.28515625" style="5" customWidth="1"/>
    <col min="10242" max="10250" width="1.7109375" style="5" customWidth="1"/>
    <col min="10251" max="10251" width="0.28515625" style="5" customWidth="1"/>
    <col min="10252" max="10260" width="1.7109375" style="5" customWidth="1"/>
    <col min="10261" max="10261" width="0.28515625" style="5" customWidth="1"/>
    <col min="10262" max="10270" width="1.7109375" style="5" customWidth="1"/>
    <col min="10271" max="10271" width="0.28515625" style="5" customWidth="1"/>
    <col min="10272" max="10280" width="1.7109375" style="5" customWidth="1"/>
    <col min="10281" max="10281" width="0.28515625" style="5" customWidth="1"/>
    <col min="10282" max="10290" width="1.7109375" style="5" customWidth="1"/>
    <col min="10291" max="10291" width="0.28515625" style="5" customWidth="1"/>
    <col min="10292" max="10300" width="1.7109375" style="5" customWidth="1"/>
    <col min="10301" max="10301" width="0.28515625" style="5" customWidth="1"/>
    <col min="10302" max="10310" width="1.7109375" style="5" customWidth="1"/>
    <col min="10311" max="10311" width="0.28515625" style="5" customWidth="1"/>
    <col min="10312" max="10320" width="1.7109375" style="5" customWidth="1"/>
    <col min="10321" max="10496" width="9.140625" style="5"/>
    <col min="10497" max="10497" width="0.28515625" style="5" customWidth="1"/>
    <col min="10498" max="10506" width="1.7109375" style="5" customWidth="1"/>
    <col min="10507" max="10507" width="0.28515625" style="5" customWidth="1"/>
    <col min="10508" max="10516" width="1.7109375" style="5" customWidth="1"/>
    <col min="10517" max="10517" width="0.28515625" style="5" customWidth="1"/>
    <col min="10518" max="10526" width="1.7109375" style="5" customWidth="1"/>
    <col min="10527" max="10527" width="0.28515625" style="5" customWidth="1"/>
    <col min="10528" max="10536" width="1.7109375" style="5" customWidth="1"/>
    <col min="10537" max="10537" width="0.28515625" style="5" customWidth="1"/>
    <col min="10538" max="10546" width="1.7109375" style="5" customWidth="1"/>
    <col min="10547" max="10547" width="0.28515625" style="5" customWidth="1"/>
    <col min="10548" max="10556" width="1.7109375" style="5" customWidth="1"/>
    <col min="10557" max="10557" width="0.28515625" style="5" customWidth="1"/>
    <col min="10558" max="10566" width="1.7109375" style="5" customWidth="1"/>
    <col min="10567" max="10567" width="0.28515625" style="5" customWidth="1"/>
    <col min="10568" max="10576" width="1.7109375" style="5" customWidth="1"/>
    <col min="10577" max="10752" width="9.140625" style="5"/>
    <col min="10753" max="10753" width="0.28515625" style="5" customWidth="1"/>
    <col min="10754" max="10762" width="1.7109375" style="5" customWidth="1"/>
    <col min="10763" max="10763" width="0.28515625" style="5" customWidth="1"/>
    <col min="10764" max="10772" width="1.7109375" style="5" customWidth="1"/>
    <col min="10773" max="10773" width="0.28515625" style="5" customWidth="1"/>
    <col min="10774" max="10782" width="1.7109375" style="5" customWidth="1"/>
    <col min="10783" max="10783" width="0.28515625" style="5" customWidth="1"/>
    <col min="10784" max="10792" width="1.7109375" style="5" customWidth="1"/>
    <col min="10793" max="10793" width="0.28515625" style="5" customWidth="1"/>
    <col min="10794" max="10802" width="1.7109375" style="5" customWidth="1"/>
    <col min="10803" max="10803" width="0.28515625" style="5" customWidth="1"/>
    <col min="10804" max="10812" width="1.7109375" style="5" customWidth="1"/>
    <col min="10813" max="10813" width="0.28515625" style="5" customWidth="1"/>
    <col min="10814" max="10822" width="1.7109375" style="5" customWidth="1"/>
    <col min="10823" max="10823" width="0.28515625" style="5" customWidth="1"/>
    <col min="10824" max="10832" width="1.7109375" style="5" customWidth="1"/>
    <col min="10833" max="11008" width="9.140625" style="5"/>
    <col min="11009" max="11009" width="0.28515625" style="5" customWidth="1"/>
    <col min="11010" max="11018" width="1.7109375" style="5" customWidth="1"/>
    <col min="11019" max="11019" width="0.28515625" style="5" customWidth="1"/>
    <col min="11020" max="11028" width="1.7109375" style="5" customWidth="1"/>
    <col min="11029" max="11029" width="0.28515625" style="5" customWidth="1"/>
    <col min="11030" max="11038" width="1.7109375" style="5" customWidth="1"/>
    <col min="11039" max="11039" width="0.28515625" style="5" customWidth="1"/>
    <col min="11040" max="11048" width="1.7109375" style="5" customWidth="1"/>
    <col min="11049" max="11049" width="0.28515625" style="5" customWidth="1"/>
    <col min="11050" max="11058" width="1.7109375" style="5" customWidth="1"/>
    <col min="11059" max="11059" width="0.28515625" style="5" customWidth="1"/>
    <col min="11060" max="11068" width="1.7109375" style="5" customWidth="1"/>
    <col min="11069" max="11069" width="0.28515625" style="5" customWidth="1"/>
    <col min="11070" max="11078" width="1.7109375" style="5" customWidth="1"/>
    <col min="11079" max="11079" width="0.28515625" style="5" customWidth="1"/>
    <col min="11080" max="11088" width="1.7109375" style="5" customWidth="1"/>
    <col min="11089" max="11264" width="9.140625" style="5"/>
    <col min="11265" max="11265" width="0.28515625" style="5" customWidth="1"/>
    <col min="11266" max="11274" width="1.7109375" style="5" customWidth="1"/>
    <col min="11275" max="11275" width="0.28515625" style="5" customWidth="1"/>
    <col min="11276" max="11284" width="1.7109375" style="5" customWidth="1"/>
    <col min="11285" max="11285" width="0.28515625" style="5" customWidth="1"/>
    <col min="11286" max="11294" width="1.7109375" style="5" customWidth="1"/>
    <col min="11295" max="11295" width="0.28515625" style="5" customWidth="1"/>
    <col min="11296" max="11304" width="1.7109375" style="5" customWidth="1"/>
    <col min="11305" max="11305" width="0.28515625" style="5" customWidth="1"/>
    <col min="11306" max="11314" width="1.7109375" style="5" customWidth="1"/>
    <col min="11315" max="11315" width="0.28515625" style="5" customWidth="1"/>
    <col min="11316" max="11324" width="1.7109375" style="5" customWidth="1"/>
    <col min="11325" max="11325" width="0.28515625" style="5" customWidth="1"/>
    <col min="11326" max="11334" width="1.7109375" style="5" customWidth="1"/>
    <col min="11335" max="11335" width="0.28515625" style="5" customWidth="1"/>
    <col min="11336" max="11344" width="1.7109375" style="5" customWidth="1"/>
    <col min="11345" max="11520" width="9.140625" style="5"/>
    <col min="11521" max="11521" width="0.28515625" style="5" customWidth="1"/>
    <col min="11522" max="11530" width="1.7109375" style="5" customWidth="1"/>
    <col min="11531" max="11531" width="0.28515625" style="5" customWidth="1"/>
    <col min="11532" max="11540" width="1.7109375" style="5" customWidth="1"/>
    <col min="11541" max="11541" width="0.28515625" style="5" customWidth="1"/>
    <col min="11542" max="11550" width="1.7109375" style="5" customWidth="1"/>
    <col min="11551" max="11551" width="0.28515625" style="5" customWidth="1"/>
    <col min="11552" max="11560" width="1.7109375" style="5" customWidth="1"/>
    <col min="11561" max="11561" width="0.28515625" style="5" customWidth="1"/>
    <col min="11562" max="11570" width="1.7109375" style="5" customWidth="1"/>
    <col min="11571" max="11571" width="0.28515625" style="5" customWidth="1"/>
    <col min="11572" max="11580" width="1.7109375" style="5" customWidth="1"/>
    <col min="11581" max="11581" width="0.28515625" style="5" customWidth="1"/>
    <col min="11582" max="11590" width="1.7109375" style="5" customWidth="1"/>
    <col min="11591" max="11591" width="0.28515625" style="5" customWidth="1"/>
    <col min="11592" max="11600" width="1.7109375" style="5" customWidth="1"/>
    <col min="11601" max="11776" width="9.140625" style="5"/>
    <col min="11777" max="11777" width="0.28515625" style="5" customWidth="1"/>
    <col min="11778" max="11786" width="1.7109375" style="5" customWidth="1"/>
    <col min="11787" max="11787" width="0.28515625" style="5" customWidth="1"/>
    <col min="11788" max="11796" width="1.7109375" style="5" customWidth="1"/>
    <col min="11797" max="11797" width="0.28515625" style="5" customWidth="1"/>
    <col min="11798" max="11806" width="1.7109375" style="5" customWidth="1"/>
    <col min="11807" max="11807" width="0.28515625" style="5" customWidth="1"/>
    <col min="11808" max="11816" width="1.7109375" style="5" customWidth="1"/>
    <col min="11817" max="11817" width="0.28515625" style="5" customWidth="1"/>
    <col min="11818" max="11826" width="1.7109375" style="5" customWidth="1"/>
    <col min="11827" max="11827" width="0.28515625" style="5" customWidth="1"/>
    <col min="11828" max="11836" width="1.7109375" style="5" customWidth="1"/>
    <col min="11837" max="11837" width="0.28515625" style="5" customWidth="1"/>
    <col min="11838" max="11846" width="1.7109375" style="5" customWidth="1"/>
    <col min="11847" max="11847" width="0.28515625" style="5" customWidth="1"/>
    <col min="11848" max="11856" width="1.7109375" style="5" customWidth="1"/>
    <col min="11857" max="12032" width="9.140625" style="5"/>
    <col min="12033" max="12033" width="0.28515625" style="5" customWidth="1"/>
    <col min="12034" max="12042" width="1.7109375" style="5" customWidth="1"/>
    <col min="12043" max="12043" width="0.28515625" style="5" customWidth="1"/>
    <col min="12044" max="12052" width="1.7109375" style="5" customWidth="1"/>
    <col min="12053" max="12053" width="0.28515625" style="5" customWidth="1"/>
    <col min="12054" max="12062" width="1.7109375" style="5" customWidth="1"/>
    <col min="12063" max="12063" width="0.28515625" style="5" customWidth="1"/>
    <col min="12064" max="12072" width="1.7109375" style="5" customWidth="1"/>
    <col min="12073" max="12073" width="0.28515625" style="5" customWidth="1"/>
    <col min="12074" max="12082" width="1.7109375" style="5" customWidth="1"/>
    <col min="12083" max="12083" width="0.28515625" style="5" customWidth="1"/>
    <col min="12084" max="12092" width="1.7109375" style="5" customWidth="1"/>
    <col min="12093" max="12093" width="0.28515625" style="5" customWidth="1"/>
    <col min="12094" max="12102" width="1.7109375" style="5" customWidth="1"/>
    <col min="12103" max="12103" width="0.28515625" style="5" customWidth="1"/>
    <col min="12104" max="12112" width="1.7109375" style="5" customWidth="1"/>
    <col min="12113" max="12288" width="9.140625" style="5"/>
    <col min="12289" max="12289" width="0.28515625" style="5" customWidth="1"/>
    <col min="12290" max="12298" width="1.7109375" style="5" customWidth="1"/>
    <col min="12299" max="12299" width="0.28515625" style="5" customWidth="1"/>
    <col min="12300" max="12308" width="1.7109375" style="5" customWidth="1"/>
    <col min="12309" max="12309" width="0.28515625" style="5" customWidth="1"/>
    <col min="12310" max="12318" width="1.7109375" style="5" customWidth="1"/>
    <col min="12319" max="12319" width="0.28515625" style="5" customWidth="1"/>
    <col min="12320" max="12328" width="1.7109375" style="5" customWidth="1"/>
    <col min="12329" max="12329" width="0.28515625" style="5" customWidth="1"/>
    <col min="12330" max="12338" width="1.7109375" style="5" customWidth="1"/>
    <col min="12339" max="12339" width="0.28515625" style="5" customWidth="1"/>
    <col min="12340" max="12348" width="1.7109375" style="5" customWidth="1"/>
    <col min="12349" max="12349" width="0.28515625" style="5" customWidth="1"/>
    <col min="12350" max="12358" width="1.7109375" style="5" customWidth="1"/>
    <col min="12359" max="12359" width="0.28515625" style="5" customWidth="1"/>
    <col min="12360" max="12368" width="1.7109375" style="5" customWidth="1"/>
    <col min="12369" max="12544" width="9.140625" style="5"/>
    <col min="12545" max="12545" width="0.28515625" style="5" customWidth="1"/>
    <col min="12546" max="12554" width="1.7109375" style="5" customWidth="1"/>
    <col min="12555" max="12555" width="0.28515625" style="5" customWidth="1"/>
    <col min="12556" max="12564" width="1.7109375" style="5" customWidth="1"/>
    <col min="12565" max="12565" width="0.28515625" style="5" customWidth="1"/>
    <col min="12566" max="12574" width="1.7109375" style="5" customWidth="1"/>
    <col min="12575" max="12575" width="0.28515625" style="5" customWidth="1"/>
    <col min="12576" max="12584" width="1.7109375" style="5" customWidth="1"/>
    <col min="12585" max="12585" width="0.28515625" style="5" customWidth="1"/>
    <col min="12586" max="12594" width="1.7109375" style="5" customWidth="1"/>
    <col min="12595" max="12595" width="0.28515625" style="5" customWidth="1"/>
    <col min="12596" max="12604" width="1.7109375" style="5" customWidth="1"/>
    <col min="12605" max="12605" width="0.28515625" style="5" customWidth="1"/>
    <col min="12606" max="12614" width="1.7109375" style="5" customWidth="1"/>
    <col min="12615" max="12615" width="0.28515625" style="5" customWidth="1"/>
    <col min="12616" max="12624" width="1.7109375" style="5" customWidth="1"/>
    <col min="12625" max="12800" width="9.140625" style="5"/>
    <col min="12801" max="12801" width="0.28515625" style="5" customWidth="1"/>
    <col min="12802" max="12810" width="1.7109375" style="5" customWidth="1"/>
    <col min="12811" max="12811" width="0.28515625" style="5" customWidth="1"/>
    <col min="12812" max="12820" width="1.7109375" style="5" customWidth="1"/>
    <col min="12821" max="12821" width="0.28515625" style="5" customWidth="1"/>
    <col min="12822" max="12830" width="1.7109375" style="5" customWidth="1"/>
    <col min="12831" max="12831" width="0.28515625" style="5" customWidth="1"/>
    <col min="12832" max="12840" width="1.7109375" style="5" customWidth="1"/>
    <col min="12841" max="12841" width="0.28515625" style="5" customWidth="1"/>
    <col min="12842" max="12850" width="1.7109375" style="5" customWidth="1"/>
    <col min="12851" max="12851" width="0.28515625" style="5" customWidth="1"/>
    <col min="12852" max="12860" width="1.7109375" style="5" customWidth="1"/>
    <col min="12861" max="12861" width="0.28515625" style="5" customWidth="1"/>
    <col min="12862" max="12870" width="1.7109375" style="5" customWidth="1"/>
    <col min="12871" max="12871" width="0.28515625" style="5" customWidth="1"/>
    <col min="12872" max="12880" width="1.7109375" style="5" customWidth="1"/>
    <col min="12881" max="13056" width="9.140625" style="5"/>
    <col min="13057" max="13057" width="0.28515625" style="5" customWidth="1"/>
    <col min="13058" max="13066" width="1.7109375" style="5" customWidth="1"/>
    <col min="13067" max="13067" width="0.28515625" style="5" customWidth="1"/>
    <col min="13068" max="13076" width="1.7109375" style="5" customWidth="1"/>
    <col min="13077" max="13077" width="0.28515625" style="5" customWidth="1"/>
    <col min="13078" max="13086" width="1.7109375" style="5" customWidth="1"/>
    <col min="13087" max="13087" width="0.28515625" style="5" customWidth="1"/>
    <col min="13088" max="13096" width="1.7109375" style="5" customWidth="1"/>
    <col min="13097" max="13097" width="0.28515625" style="5" customWidth="1"/>
    <col min="13098" max="13106" width="1.7109375" style="5" customWidth="1"/>
    <col min="13107" max="13107" width="0.28515625" style="5" customWidth="1"/>
    <col min="13108" max="13116" width="1.7109375" style="5" customWidth="1"/>
    <col min="13117" max="13117" width="0.28515625" style="5" customWidth="1"/>
    <col min="13118" max="13126" width="1.7109375" style="5" customWidth="1"/>
    <col min="13127" max="13127" width="0.28515625" style="5" customWidth="1"/>
    <col min="13128" max="13136" width="1.7109375" style="5" customWidth="1"/>
    <col min="13137" max="13312" width="9.140625" style="5"/>
    <col min="13313" max="13313" width="0.28515625" style="5" customWidth="1"/>
    <col min="13314" max="13322" width="1.7109375" style="5" customWidth="1"/>
    <col min="13323" max="13323" width="0.28515625" style="5" customWidth="1"/>
    <col min="13324" max="13332" width="1.7109375" style="5" customWidth="1"/>
    <col min="13333" max="13333" width="0.28515625" style="5" customWidth="1"/>
    <col min="13334" max="13342" width="1.7109375" style="5" customWidth="1"/>
    <col min="13343" max="13343" width="0.28515625" style="5" customWidth="1"/>
    <col min="13344" max="13352" width="1.7109375" style="5" customWidth="1"/>
    <col min="13353" max="13353" width="0.28515625" style="5" customWidth="1"/>
    <col min="13354" max="13362" width="1.7109375" style="5" customWidth="1"/>
    <col min="13363" max="13363" width="0.28515625" style="5" customWidth="1"/>
    <col min="13364" max="13372" width="1.7109375" style="5" customWidth="1"/>
    <col min="13373" max="13373" width="0.28515625" style="5" customWidth="1"/>
    <col min="13374" max="13382" width="1.7109375" style="5" customWidth="1"/>
    <col min="13383" max="13383" width="0.28515625" style="5" customWidth="1"/>
    <col min="13384" max="13392" width="1.7109375" style="5" customWidth="1"/>
    <col min="13393" max="13568" width="9.140625" style="5"/>
    <col min="13569" max="13569" width="0.28515625" style="5" customWidth="1"/>
    <col min="13570" max="13578" width="1.7109375" style="5" customWidth="1"/>
    <col min="13579" max="13579" width="0.28515625" style="5" customWidth="1"/>
    <col min="13580" max="13588" width="1.7109375" style="5" customWidth="1"/>
    <col min="13589" max="13589" width="0.28515625" style="5" customWidth="1"/>
    <col min="13590" max="13598" width="1.7109375" style="5" customWidth="1"/>
    <col min="13599" max="13599" width="0.28515625" style="5" customWidth="1"/>
    <col min="13600" max="13608" width="1.7109375" style="5" customWidth="1"/>
    <col min="13609" max="13609" width="0.28515625" style="5" customWidth="1"/>
    <col min="13610" max="13618" width="1.7109375" style="5" customWidth="1"/>
    <col min="13619" max="13619" width="0.28515625" style="5" customWidth="1"/>
    <col min="13620" max="13628" width="1.7109375" style="5" customWidth="1"/>
    <col min="13629" max="13629" width="0.28515625" style="5" customWidth="1"/>
    <col min="13630" max="13638" width="1.7109375" style="5" customWidth="1"/>
    <col min="13639" max="13639" width="0.28515625" style="5" customWidth="1"/>
    <col min="13640" max="13648" width="1.7109375" style="5" customWidth="1"/>
    <col min="13649" max="13824" width="9.140625" style="5"/>
    <col min="13825" max="13825" width="0.28515625" style="5" customWidth="1"/>
    <col min="13826" max="13834" width="1.7109375" style="5" customWidth="1"/>
    <col min="13835" max="13835" width="0.28515625" style="5" customWidth="1"/>
    <col min="13836" max="13844" width="1.7109375" style="5" customWidth="1"/>
    <col min="13845" max="13845" width="0.28515625" style="5" customWidth="1"/>
    <col min="13846" max="13854" width="1.7109375" style="5" customWidth="1"/>
    <col min="13855" max="13855" width="0.28515625" style="5" customWidth="1"/>
    <col min="13856" max="13864" width="1.7109375" style="5" customWidth="1"/>
    <col min="13865" max="13865" width="0.28515625" style="5" customWidth="1"/>
    <col min="13866" max="13874" width="1.7109375" style="5" customWidth="1"/>
    <col min="13875" max="13875" width="0.28515625" style="5" customWidth="1"/>
    <col min="13876" max="13884" width="1.7109375" style="5" customWidth="1"/>
    <col min="13885" max="13885" width="0.28515625" style="5" customWidth="1"/>
    <col min="13886" max="13894" width="1.7109375" style="5" customWidth="1"/>
    <col min="13895" max="13895" width="0.28515625" style="5" customWidth="1"/>
    <col min="13896" max="13904" width="1.7109375" style="5" customWidth="1"/>
    <col min="13905" max="14080" width="9.140625" style="5"/>
    <col min="14081" max="14081" width="0.28515625" style="5" customWidth="1"/>
    <col min="14082" max="14090" width="1.7109375" style="5" customWidth="1"/>
    <col min="14091" max="14091" width="0.28515625" style="5" customWidth="1"/>
    <col min="14092" max="14100" width="1.7109375" style="5" customWidth="1"/>
    <col min="14101" max="14101" width="0.28515625" style="5" customWidth="1"/>
    <col min="14102" max="14110" width="1.7109375" style="5" customWidth="1"/>
    <col min="14111" max="14111" width="0.28515625" style="5" customWidth="1"/>
    <col min="14112" max="14120" width="1.7109375" style="5" customWidth="1"/>
    <col min="14121" max="14121" width="0.28515625" style="5" customWidth="1"/>
    <col min="14122" max="14130" width="1.7109375" style="5" customWidth="1"/>
    <col min="14131" max="14131" width="0.28515625" style="5" customWidth="1"/>
    <col min="14132" max="14140" width="1.7109375" style="5" customWidth="1"/>
    <col min="14141" max="14141" width="0.28515625" style="5" customWidth="1"/>
    <col min="14142" max="14150" width="1.7109375" style="5" customWidth="1"/>
    <col min="14151" max="14151" width="0.28515625" style="5" customWidth="1"/>
    <col min="14152" max="14160" width="1.7109375" style="5" customWidth="1"/>
    <col min="14161" max="14336" width="9.140625" style="5"/>
    <col min="14337" max="14337" width="0.28515625" style="5" customWidth="1"/>
    <col min="14338" max="14346" width="1.7109375" style="5" customWidth="1"/>
    <col min="14347" max="14347" width="0.28515625" style="5" customWidth="1"/>
    <col min="14348" max="14356" width="1.7109375" style="5" customWidth="1"/>
    <col min="14357" max="14357" width="0.28515625" style="5" customWidth="1"/>
    <col min="14358" max="14366" width="1.7109375" style="5" customWidth="1"/>
    <col min="14367" max="14367" width="0.28515625" style="5" customWidth="1"/>
    <col min="14368" max="14376" width="1.7109375" style="5" customWidth="1"/>
    <col min="14377" max="14377" width="0.28515625" style="5" customWidth="1"/>
    <col min="14378" max="14386" width="1.7109375" style="5" customWidth="1"/>
    <col min="14387" max="14387" width="0.28515625" style="5" customWidth="1"/>
    <col min="14388" max="14396" width="1.7109375" style="5" customWidth="1"/>
    <col min="14397" max="14397" width="0.28515625" style="5" customWidth="1"/>
    <col min="14398" max="14406" width="1.7109375" style="5" customWidth="1"/>
    <col min="14407" max="14407" width="0.28515625" style="5" customWidth="1"/>
    <col min="14408" max="14416" width="1.7109375" style="5" customWidth="1"/>
    <col min="14417" max="14592" width="9.140625" style="5"/>
    <col min="14593" max="14593" width="0.28515625" style="5" customWidth="1"/>
    <col min="14594" max="14602" width="1.7109375" style="5" customWidth="1"/>
    <col min="14603" max="14603" width="0.28515625" style="5" customWidth="1"/>
    <col min="14604" max="14612" width="1.7109375" style="5" customWidth="1"/>
    <col min="14613" max="14613" width="0.28515625" style="5" customWidth="1"/>
    <col min="14614" max="14622" width="1.7109375" style="5" customWidth="1"/>
    <col min="14623" max="14623" width="0.28515625" style="5" customWidth="1"/>
    <col min="14624" max="14632" width="1.7109375" style="5" customWidth="1"/>
    <col min="14633" max="14633" width="0.28515625" style="5" customWidth="1"/>
    <col min="14634" max="14642" width="1.7109375" style="5" customWidth="1"/>
    <col min="14643" max="14643" width="0.28515625" style="5" customWidth="1"/>
    <col min="14644" max="14652" width="1.7109375" style="5" customWidth="1"/>
    <col min="14653" max="14653" width="0.28515625" style="5" customWidth="1"/>
    <col min="14654" max="14662" width="1.7109375" style="5" customWidth="1"/>
    <col min="14663" max="14663" width="0.28515625" style="5" customWidth="1"/>
    <col min="14664" max="14672" width="1.7109375" style="5" customWidth="1"/>
    <col min="14673" max="14848" width="9.140625" style="5"/>
    <col min="14849" max="14849" width="0.28515625" style="5" customWidth="1"/>
    <col min="14850" max="14858" width="1.7109375" style="5" customWidth="1"/>
    <col min="14859" max="14859" width="0.28515625" style="5" customWidth="1"/>
    <col min="14860" max="14868" width="1.7109375" style="5" customWidth="1"/>
    <col min="14869" max="14869" width="0.28515625" style="5" customWidth="1"/>
    <col min="14870" max="14878" width="1.7109375" style="5" customWidth="1"/>
    <col min="14879" max="14879" width="0.28515625" style="5" customWidth="1"/>
    <col min="14880" max="14888" width="1.7109375" style="5" customWidth="1"/>
    <col min="14889" max="14889" width="0.28515625" style="5" customWidth="1"/>
    <col min="14890" max="14898" width="1.7109375" style="5" customWidth="1"/>
    <col min="14899" max="14899" width="0.28515625" style="5" customWidth="1"/>
    <col min="14900" max="14908" width="1.7109375" style="5" customWidth="1"/>
    <col min="14909" max="14909" width="0.28515625" style="5" customWidth="1"/>
    <col min="14910" max="14918" width="1.7109375" style="5" customWidth="1"/>
    <col min="14919" max="14919" width="0.28515625" style="5" customWidth="1"/>
    <col min="14920" max="14928" width="1.7109375" style="5" customWidth="1"/>
    <col min="14929" max="15104" width="9.140625" style="5"/>
    <col min="15105" max="15105" width="0.28515625" style="5" customWidth="1"/>
    <col min="15106" max="15114" width="1.7109375" style="5" customWidth="1"/>
    <col min="15115" max="15115" width="0.28515625" style="5" customWidth="1"/>
    <col min="15116" max="15124" width="1.7109375" style="5" customWidth="1"/>
    <col min="15125" max="15125" width="0.28515625" style="5" customWidth="1"/>
    <col min="15126" max="15134" width="1.7109375" style="5" customWidth="1"/>
    <col min="15135" max="15135" width="0.28515625" style="5" customWidth="1"/>
    <col min="15136" max="15144" width="1.7109375" style="5" customWidth="1"/>
    <col min="15145" max="15145" width="0.28515625" style="5" customWidth="1"/>
    <col min="15146" max="15154" width="1.7109375" style="5" customWidth="1"/>
    <col min="15155" max="15155" width="0.28515625" style="5" customWidth="1"/>
    <col min="15156" max="15164" width="1.7109375" style="5" customWidth="1"/>
    <col min="15165" max="15165" width="0.28515625" style="5" customWidth="1"/>
    <col min="15166" max="15174" width="1.7109375" style="5" customWidth="1"/>
    <col min="15175" max="15175" width="0.28515625" style="5" customWidth="1"/>
    <col min="15176" max="15184" width="1.7109375" style="5" customWidth="1"/>
    <col min="15185" max="15360" width="9.140625" style="5"/>
    <col min="15361" max="15361" width="0.28515625" style="5" customWidth="1"/>
    <col min="15362" max="15370" width="1.7109375" style="5" customWidth="1"/>
    <col min="15371" max="15371" width="0.28515625" style="5" customWidth="1"/>
    <col min="15372" max="15380" width="1.7109375" style="5" customWidth="1"/>
    <col min="15381" max="15381" width="0.28515625" style="5" customWidth="1"/>
    <col min="15382" max="15390" width="1.7109375" style="5" customWidth="1"/>
    <col min="15391" max="15391" width="0.28515625" style="5" customWidth="1"/>
    <col min="15392" max="15400" width="1.7109375" style="5" customWidth="1"/>
    <col min="15401" max="15401" width="0.28515625" style="5" customWidth="1"/>
    <col min="15402" max="15410" width="1.7109375" style="5" customWidth="1"/>
    <col min="15411" max="15411" width="0.28515625" style="5" customWidth="1"/>
    <col min="15412" max="15420" width="1.7109375" style="5" customWidth="1"/>
    <col min="15421" max="15421" width="0.28515625" style="5" customWidth="1"/>
    <col min="15422" max="15430" width="1.7109375" style="5" customWidth="1"/>
    <col min="15431" max="15431" width="0.28515625" style="5" customWidth="1"/>
    <col min="15432" max="15440" width="1.7109375" style="5" customWidth="1"/>
    <col min="15441" max="15616" width="9.140625" style="5"/>
    <col min="15617" max="15617" width="0.28515625" style="5" customWidth="1"/>
    <col min="15618" max="15626" width="1.7109375" style="5" customWidth="1"/>
    <col min="15627" max="15627" width="0.28515625" style="5" customWidth="1"/>
    <col min="15628" max="15636" width="1.7109375" style="5" customWidth="1"/>
    <col min="15637" max="15637" width="0.28515625" style="5" customWidth="1"/>
    <col min="15638" max="15646" width="1.7109375" style="5" customWidth="1"/>
    <col min="15647" max="15647" width="0.28515625" style="5" customWidth="1"/>
    <col min="15648" max="15656" width="1.7109375" style="5" customWidth="1"/>
    <col min="15657" max="15657" width="0.28515625" style="5" customWidth="1"/>
    <col min="15658" max="15666" width="1.7109375" style="5" customWidth="1"/>
    <col min="15667" max="15667" width="0.28515625" style="5" customWidth="1"/>
    <col min="15668" max="15676" width="1.7109375" style="5" customWidth="1"/>
    <col min="15677" max="15677" width="0.28515625" style="5" customWidth="1"/>
    <col min="15678" max="15686" width="1.7109375" style="5" customWidth="1"/>
    <col min="15687" max="15687" width="0.28515625" style="5" customWidth="1"/>
    <col min="15688" max="15696" width="1.7109375" style="5" customWidth="1"/>
    <col min="15697" max="15872" width="9.140625" style="5"/>
    <col min="15873" max="15873" width="0.28515625" style="5" customWidth="1"/>
    <col min="15874" max="15882" width="1.7109375" style="5" customWidth="1"/>
    <col min="15883" max="15883" width="0.28515625" style="5" customWidth="1"/>
    <col min="15884" max="15892" width="1.7109375" style="5" customWidth="1"/>
    <col min="15893" max="15893" width="0.28515625" style="5" customWidth="1"/>
    <col min="15894" max="15902" width="1.7109375" style="5" customWidth="1"/>
    <col min="15903" max="15903" width="0.28515625" style="5" customWidth="1"/>
    <col min="15904" max="15912" width="1.7109375" style="5" customWidth="1"/>
    <col min="15913" max="15913" width="0.28515625" style="5" customWidth="1"/>
    <col min="15914" max="15922" width="1.7109375" style="5" customWidth="1"/>
    <col min="15923" max="15923" width="0.28515625" style="5" customWidth="1"/>
    <col min="15924" max="15932" width="1.7109375" style="5" customWidth="1"/>
    <col min="15933" max="15933" width="0.28515625" style="5" customWidth="1"/>
    <col min="15934" max="15942" width="1.7109375" style="5" customWidth="1"/>
    <col min="15943" max="15943" width="0.28515625" style="5" customWidth="1"/>
    <col min="15944" max="15952" width="1.7109375" style="5" customWidth="1"/>
    <col min="15953" max="16128" width="9.140625" style="5"/>
    <col min="16129" max="16129" width="0.28515625" style="5" customWidth="1"/>
    <col min="16130" max="16138" width="1.7109375" style="5" customWidth="1"/>
    <col min="16139" max="16139" width="0.28515625" style="5" customWidth="1"/>
    <col min="16140" max="16148" width="1.7109375" style="5" customWidth="1"/>
    <col min="16149" max="16149" width="0.28515625" style="5" customWidth="1"/>
    <col min="16150" max="16158" width="1.7109375" style="5" customWidth="1"/>
    <col min="16159" max="16159" width="0.28515625" style="5" customWidth="1"/>
    <col min="16160" max="16168" width="1.7109375" style="5" customWidth="1"/>
    <col min="16169" max="16169" width="0.28515625" style="5" customWidth="1"/>
    <col min="16170" max="16178" width="1.7109375" style="5" customWidth="1"/>
    <col min="16179" max="16179" width="0.28515625" style="5" customWidth="1"/>
    <col min="16180" max="16188" width="1.7109375" style="5" customWidth="1"/>
    <col min="16189" max="16189" width="0.28515625" style="5" customWidth="1"/>
    <col min="16190" max="16198" width="1.7109375" style="5" customWidth="1"/>
    <col min="16199" max="16199" width="0.28515625" style="5" customWidth="1"/>
    <col min="16200" max="16208" width="1.7109375" style="5" customWidth="1"/>
    <col min="16209" max="16384" width="9.140625" style="5"/>
  </cols>
  <sheetData>
    <row r="1" spans="1:73" ht="19.5" customHeight="1" x14ac:dyDescent="0.25">
      <c r="A1" s="484" t="s">
        <v>830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5"/>
      <c r="AD1" s="485"/>
      <c r="AE1" s="485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5"/>
      <c r="AT1" s="485"/>
      <c r="AU1" s="485"/>
      <c r="AV1" s="485"/>
      <c r="AW1" s="485"/>
      <c r="AX1" s="485"/>
      <c r="AY1" s="485"/>
      <c r="AZ1" s="485"/>
      <c r="BA1" s="485"/>
      <c r="BB1" s="485"/>
      <c r="BC1" s="485"/>
      <c r="BD1" s="485"/>
      <c r="BE1" s="485"/>
      <c r="BF1" s="485"/>
      <c r="BG1" s="485"/>
      <c r="BH1" s="485"/>
      <c r="BI1" s="485"/>
      <c r="BJ1" s="485"/>
      <c r="BK1" s="485"/>
      <c r="BL1" s="485"/>
      <c r="BM1" s="485"/>
      <c r="BN1" s="485"/>
      <c r="BO1" s="485"/>
      <c r="BP1" s="485"/>
      <c r="BQ1" s="485"/>
      <c r="BR1" s="486"/>
      <c r="BS1" s="4"/>
    </row>
    <row r="2" spans="1:73" ht="19.5" customHeight="1" x14ac:dyDescent="0.25">
      <c r="A2" s="485"/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485"/>
      <c r="R2" s="485"/>
      <c r="S2" s="485"/>
      <c r="T2" s="485"/>
      <c r="U2" s="485"/>
      <c r="V2" s="485"/>
      <c r="W2" s="485"/>
      <c r="X2" s="485"/>
      <c r="Y2" s="485"/>
      <c r="Z2" s="485"/>
      <c r="AA2" s="485"/>
      <c r="AB2" s="485"/>
      <c r="AC2" s="485"/>
      <c r="AD2" s="485"/>
      <c r="AE2" s="485"/>
      <c r="AF2" s="485"/>
      <c r="AG2" s="485"/>
      <c r="AH2" s="485"/>
      <c r="AI2" s="485"/>
      <c r="AJ2" s="485"/>
      <c r="AK2" s="485"/>
      <c r="AL2" s="485"/>
      <c r="AM2" s="485"/>
      <c r="AN2" s="485"/>
      <c r="AO2" s="485"/>
      <c r="AP2" s="485"/>
      <c r="AQ2" s="485"/>
      <c r="AR2" s="485"/>
      <c r="AS2" s="485"/>
      <c r="AT2" s="485"/>
      <c r="AU2" s="485"/>
      <c r="AV2" s="485"/>
      <c r="AW2" s="485"/>
      <c r="AX2" s="485"/>
      <c r="AY2" s="485"/>
      <c r="AZ2" s="485"/>
      <c r="BA2" s="485"/>
      <c r="BB2" s="485"/>
      <c r="BC2" s="485"/>
      <c r="BD2" s="485"/>
      <c r="BE2" s="485"/>
      <c r="BF2" s="485"/>
      <c r="BG2" s="485"/>
      <c r="BH2" s="485"/>
      <c r="BI2" s="485"/>
      <c r="BJ2" s="485"/>
      <c r="BK2" s="485"/>
      <c r="BL2" s="485"/>
      <c r="BM2" s="485"/>
      <c r="BN2" s="485"/>
      <c r="BO2" s="485"/>
      <c r="BP2" s="485"/>
      <c r="BQ2" s="485"/>
      <c r="BR2" s="486"/>
      <c r="BS2" s="6"/>
    </row>
    <row r="3" spans="1:73" ht="19.5" customHeight="1" x14ac:dyDescent="0.25">
      <c r="A3" s="485"/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485"/>
      <c r="U3" s="485"/>
      <c r="V3" s="485"/>
      <c r="W3" s="485"/>
      <c r="X3" s="485"/>
      <c r="Y3" s="485"/>
      <c r="Z3" s="485"/>
      <c r="AA3" s="485"/>
      <c r="AB3" s="485"/>
      <c r="AC3" s="485"/>
      <c r="AD3" s="485"/>
      <c r="AE3" s="485"/>
      <c r="AF3" s="485"/>
      <c r="AG3" s="485"/>
      <c r="AH3" s="485"/>
      <c r="AI3" s="485"/>
      <c r="AJ3" s="485"/>
      <c r="AK3" s="485"/>
      <c r="AL3" s="485"/>
      <c r="AM3" s="485"/>
      <c r="AN3" s="485"/>
      <c r="AO3" s="485"/>
      <c r="AP3" s="485"/>
      <c r="AQ3" s="485"/>
      <c r="AR3" s="485"/>
      <c r="AS3" s="485"/>
      <c r="AT3" s="485"/>
      <c r="AU3" s="485"/>
      <c r="AV3" s="485"/>
      <c r="AW3" s="485"/>
      <c r="AX3" s="485"/>
      <c r="AY3" s="485"/>
      <c r="AZ3" s="485"/>
      <c r="BA3" s="485"/>
      <c r="BB3" s="485"/>
      <c r="BC3" s="485"/>
      <c r="BD3" s="485"/>
      <c r="BE3" s="485"/>
      <c r="BF3" s="485"/>
      <c r="BG3" s="485"/>
      <c r="BH3" s="485"/>
      <c r="BI3" s="485"/>
      <c r="BJ3" s="485"/>
      <c r="BK3" s="485"/>
      <c r="BL3" s="485"/>
      <c r="BM3" s="485"/>
      <c r="BN3" s="485"/>
      <c r="BO3" s="485"/>
      <c r="BP3" s="485"/>
      <c r="BQ3" s="485"/>
      <c r="BR3" s="486"/>
      <c r="BS3" s="6"/>
    </row>
    <row r="4" spans="1:73" ht="19.5" customHeight="1" x14ac:dyDescent="0.25">
      <c r="A4" s="485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  <c r="AB4" s="485"/>
      <c r="AC4" s="485"/>
      <c r="AD4" s="485"/>
      <c r="AE4" s="485"/>
      <c r="AF4" s="485"/>
      <c r="AG4" s="485"/>
      <c r="AH4" s="485"/>
      <c r="AI4" s="485"/>
      <c r="AJ4" s="485"/>
      <c r="AK4" s="485"/>
      <c r="AL4" s="485"/>
      <c r="AM4" s="485"/>
      <c r="AN4" s="485"/>
      <c r="AO4" s="485"/>
      <c r="AP4" s="485"/>
      <c r="AQ4" s="485"/>
      <c r="AR4" s="485"/>
      <c r="AS4" s="485"/>
      <c r="AT4" s="485"/>
      <c r="AU4" s="485"/>
      <c r="AV4" s="485"/>
      <c r="AW4" s="485"/>
      <c r="AX4" s="485"/>
      <c r="AY4" s="485"/>
      <c r="AZ4" s="485"/>
      <c r="BA4" s="485"/>
      <c r="BB4" s="485"/>
      <c r="BC4" s="485"/>
      <c r="BD4" s="485"/>
      <c r="BE4" s="485"/>
      <c r="BF4" s="485"/>
      <c r="BG4" s="485"/>
      <c r="BH4" s="485"/>
      <c r="BI4" s="485"/>
      <c r="BJ4" s="485"/>
      <c r="BK4" s="485"/>
      <c r="BL4" s="485"/>
      <c r="BM4" s="485"/>
      <c r="BN4" s="485"/>
      <c r="BO4" s="485"/>
      <c r="BP4" s="485"/>
      <c r="BQ4" s="485"/>
      <c r="BR4" s="486"/>
      <c r="BS4" s="6"/>
    </row>
    <row r="5" spans="1:73" ht="18" customHeight="1" x14ac:dyDescent="0.25">
      <c r="A5" s="11"/>
      <c r="B5" s="552">
        <v>1.4</v>
      </c>
      <c r="C5" s="553"/>
      <c r="D5" s="553"/>
      <c r="E5" s="553"/>
      <c r="F5" s="553"/>
      <c r="G5" s="553"/>
      <c r="H5" s="553"/>
      <c r="I5" s="553"/>
      <c r="J5" s="553"/>
      <c r="K5" s="247"/>
      <c r="L5" s="480" t="s">
        <v>326</v>
      </c>
      <c r="M5" s="480"/>
      <c r="N5" s="480"/>
      <c r="O5" s="480"/>
      <c r="P5" s="480"/>
      <c r="Q5" s="480"/>
      <c r="R5" s="480"/>
      <c r="S5" s="480"/>
      <c r="T5" s="480"/>
      <c r="U5" s="480"/>
      <c r="V5" s="480"/>
      <c r="W5" s="480"/>
      <c r="X5" s="480"/>
      <c r="Y5" s="480"/>
      <c r="Z5" s="480"/>
      <c r="AA5" s="480"/>
      <c r="AB5" s="480"/>
      <c r="AC5" s="480"/>
      <c r="AD5" s="480"/>
      <c r="AE5" s="480"/>
      <c r="AF5" s="480"/>
      <c r="AG5" s="480"/>
      <c r="AH5" s="480"/>
      <c r="AI5" s="480"/>
      <c r="AJ5" s="480"/>
      <c r="AK5" s="480"/>
      <c r="AL5" s="480"/>
      <c r="AM5" s="480"/>
      <c r="AN5" s="480"/>
      <c r="AO5" s="480"/>
      <c r="AP5" s="480"/>
      <c r="AQ5" s="480"/>
      <c r="AR5" s="480"/>
      <c r="AS5" s="480"/>
      <c r="AT5" s="480"/>
      <c r="AU5" s="480"/>
      <c r="AV5" s="480"/>
      <c r="AW5" s="480"/>
      <c r="AX5" s="480"/>
      <c r="AY5" s="480"/>
      <c r="AZ5" s="480"/>
      <c r="BA5" s="480"/>
      <c r="BB5" s="480"/>
      <c r="BC5" s="480"/>
      <c r="BD5" s="480"/>
      <c r="BE5" s="480"/>
      <c r="BF5" s="480"/>
      <c r="BG5" s="480"/>
      <c r="BH5" s="480"/>
      <c r="BI5" s="480"/>
      <c r="BJ5" s="480"/>
      <c r="BK5" s="480"/>
      <c r="BL5" s="480"/>
      <c r="BM5" s="480"/>
      <c r="BN5" s="480"/>
      <c r="BO5" s="480"/>
      <c r="BP5" s="480"/>
      <c r="BQ5" s="480"/>
      <c r="BR5" s="480"/>
      <c r="BS5" s="6"/>
      <c r="BT5" s="11"/>
    </row>
    <row r="6" spans="1:73" ht="1.5" customHeight="1" x14ac:dyDescent="0.25">
      <c r="B6" s="8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2"/>
      <c r="AQ6" s="12"/>
      <c r="AR6" s="12"/>
      <c r="AS6" s="12"/>
      <c r="AT6" s="12"/>
      <c r="AU6" s="12"/>
      <c r="AV6" s="12"/>
      <c r="AW6" s="12"/>
      <c r="AX6" s="12"/>
      <c r="AY6" s="11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10"/>
      <c r="BS6" s="4"/>
      <c r="BU6" s="11"/>
    </row>
    <row r="7" spans="1:73" s="23" customFormat="1" ht="9" customHeight="1" x14ac:dyDescent="0.25">
      <c r="A7" s="26"/>
      <c r="B7" s="474" t="s">
        <v>484</v>
      </c>
      <c r="C7" s="475"/>
      <c r="D7" s="476"/>
      <c r="E7" s="504" t="s">
        <v>491</v>
      </c>
      <c r="F7" s="505"/>
      <c r="G7" s="505"/>
      <c r="H7" s="505"/>
      <c r="I7" s="505"/>
      <c r="J7" s="506"/>
      <c r="K7" s="87"/>
      <c r="L7" s="474" t="s">
        <v>485</v>
      </c>
      <c r="M7" s="475"/>
      <c r="N7" s="476"/>
      <c r="O7" s="504" t="s">
        <v>491</v>
      </c>
      <c r="P7" s="505"/>
      <c r="Q7" s="505"/>
      <c r="R7" s="505"/>
      <c r="S7" s="505"/>
      <c r="T7" s="506"/>
      <c r="U7" s="87"/>
      <c r="V7" s="474" t="s">
        <v>486</v>
      </c>
      <c r="W7" s="475"/>
      <c r="X7" s="476"/>
      <c r="Y7" s="504" t="s">
        <v>491</v>
      </c>
      <c r="Z7" s="505"/>
      <c r="AA7" s="505"/>
      <c r="AB7" s="505"/>
      <c r="AC7" s="505"/>
      <c r="AD7" s="506"/>
      <c r="AE7" s="88"/>
      <c r="AF7" s="474" t="s">
        <v>487</v>
      </c>
      <c r="AG7" s="475"/>
      <c r="AH7" s="476"/>
      <c r="AI7" s="504" t="s">
        <v>491</v>
      </c>
      <c r="AJ7" s="505"/>
      <c r="AK7" s="505"/>
      <c r="AL7" s="505"/>
      <c r="AM7" s="505"/>
      <c r="AN7" s="506"/>
      <c r="AO7" s="89"/>
      <c r="AP7" s="474" t="s">
        <v>488</v>
      </c>
      <c r="AQ7" s="475"/>
      <c r="AR7" s="476"/>
      <c r="AS7" s="504" t="s">
        <v>491</v>
      </c>
      <c r="AT7" s="505"/>
      <c r="AU7" s="505"/>
      <c r="AV7" s="505"/>
      <c r="AW7" s="505"/>
      <c r="AX7" s="506"/>
      <c r="AY7" s="87"/>
      <c r="AZ7" s="474" t="s">
        <v>489</v>
      </c>
      <c r="BA7" s="475"/>
      <c r="BB7" s="476"/>
      <c r="BC7" s="504" t="s">
        <v>491</v>
      </c>
      <c r="BD7" s="505"/>
      <c r="BE7" s="505"/>
      <c r="BF7" s="505"/>
      <c r="BG7" s="505"/>
      <c r="BH7" s="506"/>
      <c r="BI7" s="87"/>
      <c r="BJ7" s="474" t="s">
        <v>490</v>
      </c>
      <c r="BK7" s="475"/>
      <c r="BL7" s="476"/>
      <c r="BM7" s="504" t="s">
        <v>491</v>
      </c>
      <c r="BN7" s="505"/>
      <c r="BO7" s="505"/>
      <c r="BP7" s="505"/>
      <c r="BQ7" s="505"/>
      <c r="BR7" s="506"/>
      <c r="BS7" s="26"/>
      <c r="BT7" s="26"/>
    </row>
    <row r="8" spans="1:73" s="32" customFormat="1" ht="9" customHeight="1" x14ac:dyDescent="0.25">
      <c r="B8" s="489" t="s">
        <v>606</v>
      </c>
      <c r="C8" s="490"/>
      <c r="D8" s="490"/>
      <c r="E8" s="490"/>
      <c r="F8" s="490"/>
      <c r="G8" s="490"/>
      <c r="H8" s="490"/>
      <c r="I8" s="490"/>
      <c r="J8" s="491"/>
      <c r="K8" s="90"/>
      <c r="L8" s="489" t="s">
        <v>406</v>
      </c>
      <c r="M8" s="490"/>
      <c r="N8" s="490"/>
      <c r="O8" s="490"/>
      <c r="P8" s="490"/>
      <c r="Q8" s="490"/>
      <c r="R8" s="490"/>
      <c r="S8" s="490"/>
      <c r="T8" s="491"/>
      <c r="U8" s="91"/>
      <c r="V8" s="489" t="s">
        <v>406</v>
      </c>
      <c r="W8" s="490"/>
      <c r="X8" s="490"/>
      <c r="Y8" s="490"/>
      <c r="Z8" s="490"/>
      <c r="AA8" s="490"/>
      <c r="AB8" s="490"/>
      <c r="AC8" s="490"/>
      <c r="AD8" s="491"/>
      <c r="AE8" s="90"/>
      <c r="AF8" s="489" t="s">
        <v>406</v>
      </c>
      <c r="AG8" s="490"/>
      <c r="AH8" s="490"/>
      <c r="AI8" s="490"/>
      <c r="AJ8" s="490"/>
      <c r="AK8" s="490"/>
      <c r="AL8" s="490"/>
      <c r="AM8" s="490"/>
      <c r="AN8" s="491"/>
      <c r="AO8" s="91"/>
      <c r="AP8" s="489" t="s">
        <v>406</v>
      </c>
      <c r="AQ8" s="490"/>
      <c r="AR8" s="490"/>
      <c r="AS8" s="490"/>
      <c r="AT8" s="490"/>
      <c r="AU8" s="490"/>
      <c r="AV8" s="490"/>
      <c r="AW8" s="490"/>
      <c r="AX8" s="491"/>
      <c r="AY8" s="91"/>
      <c r="AZ8" s="489" t="s">
        <v>567</v>
      </c>
      <c r="BA8" s="490"/>
      <c r="BB8" s="490"/>
      <c r="BC8" s="490"/>
      <c r="BD8" s="490"/>
      <c r="BE8" s="490"/>
      <c r="BF8" s="490"/>
      <c r="BG8" s="490"/>
      <c r="BH8" s="491"/>
      <c r="BI8" s="91"/>
      <c r="BJ8" s="489" t="s">
        <v>506</v>
      </c>
      <c r="BK8" s="490"/>
      <c r="BL8" s="490"/>
      <c r="BM8" s="490"/>
      <c r="BN8" s="490"/>
      <c r="BO8" s="490"/>
      <c r="BP8" s="490"/>
      <c r="BQ8" s="490"/>
      <c r="BR8" s="491"/>
      <c r="BS8" s="34"/>
      <c r="BT8" s="34"/>
    </row>
    <row r="9" spans="1:73" s="23" customFormat="1" ht="9" customHeight="1" x14ac:dyDescent="0.25">
      <c r="A9" s="30"/>
      <c r="B9" s="489" t="s">
        <v>349</v>
      </c>
      <c r="C9" s="490"/>
      <c r="D9" s="490"/>
      <c r="E9" s="490"/>
      <c r="F9" s="490"/>
      <c r="G9" s="490"/>
      <c r="H9" s="490"/>
      <c r="I9" s="490"/>
      <c r="J9" s="491"/>
      <c r="K9" s="92"/>
      <c r="L9" s="489" t="s">
        <v>349</v>
      </c>
      <c r="M9" s="490"/>
      <c r="N9" s="490"/>
      <c r="O9" s="490"/>
      <c r="P9" s="490"/>
      <c r="Q9" s="490"/>
      <c r="R9" s="490"/>
      <c r="S9" s="490"/>
      <c r="T9" s="491"/>
      <c r="U9" s="89"/>
      <c r="V9" s="489" t="s">
        <v>349</v>
      </c>
      <c r="W9" s="490"/>
      <c r="X9" s="490"/>
      <c r="Y9" s="490"/>
      <c r="Z9" s="490"/>
      <c r="AA9" s="490"/>
      <c r="AB9" s="490"/>
      <c r="AC9" s="490"/>
      <c r="AD9" s="491"/>
      <c r="AE9" s="92"/>
      <c r="AF9" s="489" t="s">
        <v>349</v>
      </c>
      <c r="AG9" s="490"/>
      <c r="AH9" s="490"/>
      <c r="AI9" s="490"/>
      <c r="AJ9" s="490"/>
      <c r="AK9" s="490"/>
      <c r="AL9" s="490"/>
      <c r="AM9" s="490"/>
      <c r="AN9" s="491"/>
      <c r="AO9" s="89"/>
      <c r="AP9" s="489" t="s">
        <v>349</v>
      </c>
      <c r="AQ9" s="490"/>
      <c r="AR9" s="490"/>
      <c r="AS9" s="490"/>
      <c r="AT9" s="490"/>
      <c r="AU9" s="490"/>
      <c r="AV9" s="490"/>
      <c r="AW9" s="490"/>
      <c r="AX9" s="491"/>
      <c r="AY9" s="89"/>
      <c r="AZ9" s="489" t="s">
        <v>349</v>
      </c>
      <c r="BA9" s="490"/>
      <c r="BB9" s="490"/>
      <c r="BC9" s="490"/>
      <c r="BD9" s="490"/>
      <c r="BE9" s="490"/>
      <c r="BF9" s="490"/>
      <c r="BG9" s="490"/>
      <c r="BH9" s="491"/>
      <c r="BI9" s="89"/>
      <c r="BJ9" s="489" t="s">
        <v>349</v>
      </c>
      <c r="BK9" s="490"/>
      <c r="BL9" s="490"/>
      <c r="BM9" s="490"/>
      <c r="BN9" s="490"/>
      <c r="BO9" s="490"/>
      <c r="BP9" s="490"/>
      <c r="BQ9" s="490"/>
      <c r="BR9" s="491"/>
      <c r="BS9" s="26"/>
      <c r="BT9" s="26"/>
    </row>
    <row r="10" spans="1:73" s="23" customFormat="1" ht="9" customHeight="1" x14ac:dyDescent="0.25">
      <c r="A10" s="30"/>
      <c r="B10" s="87"/>
      <c r="C10" s="87"/>
      <c r="D10" s="87"/>
      <c r="E10" s="87"/>
      <c r="F10" s="87"/>
      <c r="G10" s="87"/>
      <c r="H10" s="87"/>
      <c r="I10" s="87"/>
      <c r="J10" s="89"/>
      <c r="K10" s="92"/>
      <c r="L10" s="87"/>
      <c r="M10" s="87"/>
      <c r="N10" s="87"/>
      <c r="O10" s="87"/>
      <c r="P10" s="87"/>
      <c r="Q10" s="87"/>
      <c r="R10" s="87"/>
      <c r="S10" s="87"/>
      <c r="T10" s="89"/>
      <c r="U10" s="89"/>
      <c r="V10" s="87"/>
      <c r="W10" s="87"/>
      <c r="X10" s="87"/>
      <c r="Y10" s="87"/>
      <c r="Z10" s="87"/>
      <c r="AA10" s="87"/>
      <c r="AB10" s="87"/>
      <c r="AC10" s="87"/>
      <c r="AD10" s="89"/>
      <c r="AE10" s="92"/>
      <c r="AF10" s="87"/>
      <c r="AG10" s="87"/>
      <c r="AH10" s="87"/>
      <c r="AI10" s="87"/>
      <c r="AJ10" s="87"/>
      <c r="AK10" s="87"/>
      <c r="AL10" s="87"/>
      <c r="AM10" s="87"/>
      <c r="AN10" s="89"/>
      <c r="AO10" s="89"/>
      <c r="AP10" s="87"/>
      <c r="AQ10" s="87"/>
      <c r="AR10" s="87"/>
      <c r="AS10" s="87"/>
      <c r="AT10" s="87"/>
      <c r="AU10" s="87"/>
      <c r="AV10" s="87"/>
      <c r="AW10" s="87"/>
      <c r="AX10" s="89"/>
      <c r="AY10" s="89"/>
      <c r="AZ10" s="87"/>
      <c r="BA10" s="87"/>
      <c r="BB10" s="87"/>
      <c r="BC10" s="87"/>
      <c r="BD10" s="87"/>
      <c r="BE10" s="87"/>
      <c r="BF10" s="87"/>
      <c r="BG10" s="87"/>
      <c r="BH10" s="89"/>
      <c r="BI10" s="89"/>
      <c r="BJ10" s="87"/>
      <c r="BK10" s="87"/>
      <c r="BL10" s="87"/>
      <c r="BM10" s="87"/>
      <c r="BN10" s="87"/>
      <c r="BO10" s="87"/>
      <c r="BP10" s="87"/>
      <c r="BQ10" s="87"/>
      <c r="BR10" s="89"/>
      <c r="BS10" s="26"/>
      <c r="BT10" s="26"/>
    </row>
    <row r="11" spans="1:73" s="23" customFormat="1" ht="9" customHeight="1" x14ac:dyDescent="0.25">
      <c r="A11" s="30"/>
      <c r="B11" s="87"/>
      <c r="C11" s="87"/>
      <c r="D11" s="87"/>
      <c r="E11" s="87"/>
      <c r="F11" s="87"/>
      <c r="G11" s="87"/>
      <c r="H11" s="87"/>
      <c r="I11" s="87"/>
      <c r="J11" s="89"/>
      <c r="K11" s="92"/>
      <c r="L11" s="87"/>
      <c r="M11" s="87"/>
      <c r="N11" s="87"/>
      <c r="O11" s="87"/>
      <c r="P11" s="87"/>
      <c r="Q11" s="87"/>
      <c r="R11" s="87"/>
      <c r="S11" s="87"/>
      <c r="T11" s="89"/>
      <c r="U11" s="89"/>
      <c r="V11" s="87"/>
      <c r="W11" s="87"/>
      <c r="X11" s="87"/>
      <c r="Y11" s="87"/>
      <c r="Z11" s="87"/>
      <c r="AA11" s="87"/>
      <c r="AB11" s="87"/>
      <c r="AC11" s="87"/>
      <c r="AD11" s="89"/>
      <c r="AE11" s="92"/>
      <c r="AF11" s="87"/>
      <c r="AG11" s="87"/>
      <c r="AH11" s="87"/>
      <c r="AI11" s="87"/>
      <c r="AJ11" s="87"/>
      <c r="AK11" s="87"/>
      <c r="AL11" s="87"/>
      <c r="AM11" s="87"/>
      <c r="AN11" s="89"/>
      <c r="AO11" s="89"/>
      <c r="AP11" s="87"/>
      <c r="AQ11" s="87"/>
      <c r="AR11" s="87"/>
      <c r="AS11" s="87"/>
      <c r="AT11" s="87"/>
      <c r="AU11" s="87"/>
      <c r="AV11" s="87"/>
      <c r="AW11" s="87"/>
      <c r="AX11" s="89"/>
      <c r="AY11" s="89"/>
      <c r="AZ11" s="87"/>
      <c r="BA11" s="87"/>
      <c r="BB11" s="87"/>
      <c r="BC11" s="87"/>
      <c r="BD11" s="87"/>
      <c r="BE11" s="87"/>
      <c r="BF11" s="87"/>
      <c r="BG11" s="87"/>
      <c r="BH11" s="89"/>
      <c r="BI11" s="89"/>
      <c r="BJ11" s="87"/>
      <c r="BK11" s="87"/>
      <c r="BL11" s="87"/>
      <c r="BM11" s="87"/>
      <c r="BN11" s="87"/>
      <c r="BO11" s="87"/>
      <c r="BP11" s="87"/>
      <c r="BQ11" s="87"/>
      <c r="BR11" s="89"/>
      <c r="BS11" s="26"/>
      <c r="BT11" s="26"/>
    </row>
    <row r="12" spans="1:73" s="23" customFormat="1" ht="9" customHeight="1" x14ac:dyDescent="0.25">
      <c r="A12" s="30"/>
      <c r="B12" s="87"/>
      <c r="C12" s="87"/>
      <c r="D12" s="87"/>
      <c r="E12" s="87"/>
      <c r="F12" s="87"/>
      <c r="G12" s="87"/>
      <c r="H12" s="87"/>
      <c r="I12" s="87"/>
      <c r="J12" s="89"/>
      <c r="K12" s="92"/>
      <c r="L12" s="87"/>
      <c r="M12" s="87"/>
      <c r="N12" s="87"/>
      <c r="O12" s="87"/>
      <c r="P12" s="87"/>
      <c r="Q12" s="87"/>
      <c r="R12" s="87"/>
      <c r="S12" s="87"/>
      <c r="T12" s="89"/>
      <c r="U12" s="89"/>
      <c r="V12" s="87"/>
      <c r="W12" s="87"/>
      <c r="X12" s="87"/>
      <c r="Y12" s="87"/>
      <c r="Z12" s="87"/>
      <c r="AA12" s="87"/>
      <c r="AB12" s="87"/>
      <c r="AC12" s="87"/>
      <c r="AD12" s="89"/>
      <c r="AE12" s="92"/>
      <c r="AF12" s="87"/>
      <c r="AG12" s="87"/>
      <c r="AH12" s="87"/>
      <c r="AI12" s="87"/>
      <c r="AJ12" s="87"/>
      <c r="AK12" s="87"/>
      <c r="AL12" s="87"/>
      <c r="AM12" s="87"/>
      <c r="AN12" s="89"/>
      <c r="AO12" s="89"/>
      <c r="AP12" s="87"/>
      <c r="AQ12" s="87"/>
      <c r="AR12" s="87"/>
      <c r="AS12" s="87"/>
      <c r="AT12" s="87"/>
      <c r="AU12" s="87"/>
      <c r="AV12" s="87"/>
      <c r="AW12" s="87"/>
      <c r="AX12" s="89"/>
      <c r="AY12" s="92"/>
      <c r="AZ12" s="87"/>
      <c r="BA12" s="87"/>
      <c r="BB12" s="87"/>
      <c r="BC12" s="87"/>
      <c r="BD12" s="87"/>
      <c r="BE12" s="87"/>
      <c r="BF12" s="87"/>
      <c r="BG12" s="87"/>
      <c r="BH12" s="89"/>
      <c r="BI12" s="92"/>
      <c r="BJ12" s="87"/>
      <c r="BK12" s="87"/>
      <c r="BL12" s="87"/>
      <c r="BM12" s="87"/>
      <c r="BN12" s="87"/>
      <c r="BO12" s="87"/>
      <c r="BP12" s="87"/>
      <c r="BQ12" s="87"/>
      <c r="BR12" s="89"/>
      <c r="BS12" s="26"/>
      <c r="BT12" s="26"/>
    </row>
    <row r="13" spans="1:73" s="23" customFormat="1" ht="9.75" customHeight="1" x14ac:dyDescent="0.25">
      <c r="A13" s="30"/>
      <c r="B13" s="87"/>
      <c r="C13" s="87"/>
      <c r="D13" s="87"/>
      <c r="E13" s="87"/>
      <c r="F13" s="87"/>
      <c r="G13" s="87"/>
      <c r="H13" s="87"/>
      <c r="I13" s="87"/>
      <c r="J13" s="89"/>
      <c r="K13" s="92"/>
      <c r="L13" s="87"/>
      <c r="M13" s="87"/>
      <c r="N13" s="87"/>
      <c r="O13" s="87"/>
      <c r="P13" s="87"/>
      <c r="Q13" s="87"/>
      <c r="R13" s="87"/>
      <c r="S13" s="87"/>
      <c r="T13" s="89"/>
      <c r="U13" s="89"/>
      <c r="V13" s="87"/>
      <c r="W13" s="87"/>
      <c r="X13" s="87"/>
      <c r="Y13" s="87"/>
      <c r="Z13" s="87"/>
      <c r="AA13" s="87"/>
      <c r="AB13" s="87"/>
      <c r="AC13" s="87"/>
      <c r="AD13" s="89"/>
      <c r="AE13" s="92"/>
      <c r="AF13" s="87"/>
      <c r="AG13" s="87"/>
      <c r="AH13" s="87"/>
      <c r="AI13" s="87"/>
      <c r="AJ13" s="87"/>
      <c r="AK13" s="87"/>
      <c r="AL13" s="87"/>
      <c r="AM13" s="87"/>
      <c r="AN13" s="89"/>
      <c r="AO13" s="89"/>
      <c r="AP13" s="87"/>
      <c r="AQ13" s="87"/>
      <c r="AR13" s="87"/>
      <c r="AS13" s="87"/>
      <c r="AT13" s="87"/>
      <c r="AU13" s="87"/>
      <c r="AV13" s="87"/>
      <c r="AW13" s="87"/>
      <c r="AX13" s="89"/>
      <c r="AY13" s="92"/>
      <c r="AZ13" s="87"/>
      <c r="BA13" s="87"/>
      <c r="BB13" s="87"/>
      <c r="BC13" s="87"/>
      <c r="BD13" s="87"/>
      <c r="BE13" s="87"/>
      <c r="BF13" s="87"/>
      <c r="BG13" s="87"/>
      <c r="BH13" s="89"/>
      <c r="BI13" s="92"/>
      <c r="BJ13" s="87"/>
      <c r="BK13" s="87"/>
      <c r="BL13" s="87"/>
      <c r="BM13" s="87"/>
      <c r="BN13" s="87"/>
      <c r="BO13" s="87"/>
      <c r="BP13" s="87"/>
      <c r="BQ13" s="87"/>
      <c r="BR13" s="89"/>
      <c r="BS13" s="26"/>
      <c r="BT13" s="26"/>
    </row>
    <row r="14" spans="1:73" s="23" customFormat="1" ht="9.75" customHeight="1" x14ac:dyDescent="0.25">
      <c r="A14" s="30"/>
      <c r="B14" s="87"/>
      <c r="C14" s="87"/>
      <c r="D14" s="87"/>
      <c r="E14" s="87"/>
      <c r="F14" s="87"/>
      <c r="G14" s="87"/>
      <c r="H14" s="87"/>
      <c r="I14" s="87"/>
      <c r="J14" s="89"/>
      <c r="K14" s="92"/>
      <c r="L14" s="87"/>
      <c r="M14" s="87"/>
      <c r="N14" s="87"/>
      <c r="O14" s="87"/>
      <c r="P14" s="87"/>
      <c r="Q14" s="87"/>
      <c r="R14" s="87"/>
      <c r="S14" s="87"/>
      <c r="T14" s="89"/>
      <c r="U14" s="89"/>
      <c r="V14" s="87"/>
      <c r="W14" s="87"/>
      <c r="X14" s="87"/>
      <c r="Y14" s="87"/>
      <c r="Z14" s="87"/>
      <c r="AA14" s="87"/>
      <c r="AB14" s="87"/>
      <c r="AC14" s="87"/>
      <c r="AD14" s="89"/>
      <c r="AE14" s="92"/>
      <c r="AF14" s="87"/>
      <c r="AG14" s="87"/>
      <c r="AH14" s="87"/>
      <c r="AI14" s="87"/>
      <c r="AJ14" s="87"/>
      <c r="AK14" s="87"/>
      <c r="AL14" s="87"/>
      <c r="AM14" s="87"/>
      <c r="AN14" s="89"/>
      <c r="AO14" s="89"/>
      <c r="AP14" s="87"/>
      <c r="AQ14" s="87"/>
      <c r="AR14" s="87"/>
      <c r="AS14" s="87"/>
      <c r="AT14" s="87"/>
      <c r="AU14" s="87"/>
      <c r="AV14" s="87"/>
      <c r="AW14" s="87"/>
      <c r="AX14" s="89"/>
      <c r="AY14" s="92"/>
      <c r="AZ14" s="87"/>
      <c r="BA14" s="87"/>
      <c r="BB14" s="87"/>
      <c r="BC14" s="87"/>
      <c r="BD14" s="87"/>
      <c r="BE14" s="87"/>
      <c r="BF14" s="87"/>
      <c r="BG14" s="87"/>
      <c r="BH14" s="89"/>
      <c r="BI14" s="92"/>
      <c r="BJ14" s="87"/>
      <c r="BK14" s="87"/>
      <c r="BL14" s="87"/>
      <c r="BM14" s="87"/>
      <c r="BN14" s="87"/>
      <c r="BO14" s="87"/>
      <c r="BP14" s="87"/>
      <c r="BQ14" s="87"/>
      <c r="BR14" s="89"/>
      <c r="BS14" s="26"/>
      <c r="BT14" s="26"/>
    </row>
    <row r="15" spans="1:73" s="23" customFormat="1" ht="9.75" customHeight="1" x14ac:dyDescent="0.25">
      <c r="A15" s="30"/>
      <c r="B15" s="87"/>
      <c r="C15" s="87"/>
      <c r="D15" s="87"/>
      <c r="E15" s="87"/>
      <c r="F15" s="87"/>
      <c r="G15" s="87"/>
      <c r="H15" s="87"/>
      <c r="I15" s="87"/>
      <c r="J15" s="89"/>
      <c r="K15" s="92"/>
      <c r="L15" s="87"/>
      <c r="M15" s="87"/>
      <c r="N15" s="87"/>
      <c r="O15" s="87"/>
      <c r="P15" s="87"/>
      <c r="Q15" s="87"/>
      <c r="R15" s="87"/>
      <c r="S15" s="87"/>
      <c r="T15" s="89"/>
      <c r="U15" s="89"/>
      <c r="V15" s="87"/>
      <c r="W15" s="87"/>
      <c r="X15" s="87"/>
      <c r="Y15" s="87"/>
      <c r="Z15" s="87"/>
      <c r="AA15" s="87"/>
      <c r="AB15" s="87"/>
      <c r="AC15" s="87"/>
      <c r="AD15" s="89"/>
      <c r="AE15" s="92"/>
      <c r="AF15" s="87"/>
      <c r="AG15" s="87"/>
      <c r="AH15" s="87"/>
      <c r="AI15" s="87"/>
      <c r="AJ15" s="87"/>
      <c r="AK15" s="87"/>
      <c r="AL15" s="87"/>
      <c r="AM15" s="87"/>
      <c r="AN15" s="89"/>
      <c r="AO15" s="89"/>
      <c r="AP15" s="87"/>
      <c r="AQ15" s="87"/>
      <c r="AR15" s="87"/>
      <c r="AS15" s="87"/>
      <c r="AT15" s="87"/>
      <c r="AU15" s="87"/>
      <c r="AV15" s="87"/>
      <c r="AW15" s="87"/>
      <c r="AX15" s="89"/>
      <c r="AY15" s="92"/>
      <c r="AZ15" s="87"/>
      <c r="BA15" s="87"/>
      <c r="BB15" s="87"/>
      <c r="BC15" s="87"/>
      <c r="BD15" s="87"/>
      <c r="BE15" s="87"/>
      <c r="BF15" s="87"/>
      <c r="BG15" s="87"/>
      <c r="BH15" s="89"/>
      <c r="BI15" s="92"/>
      <c r="BJ15" s="87"/>
      <c r="BK15" s="87"/>
      <c r="BL15" s="87"/>
      <c r="BM15" s="87"/>
      <c r="BN15" s="87"/>
      <c r="BO15" s="87"/>
      <c r="BP15" s="87"/>
      <c r="BQ15" s="87"/>
      <c r="BR15" s="89"/>
      <c r="BS15" s="26"/>
      <c r="BT15" s="26"/>
    </row>
    <row r="16" spans="1:73" s="23" customFormat="1" ht="9.75" customHeight="1" x14ac:dyDescent="0.25">
      <c r="A16" s="30"/>
      <c r="B16" s="87"/>
      <c r="C16" s="87"/>
      <c r="D16" s="87"/>
      <c r="E16" s="87"/>
      <c r="F16" s="87"/>
      <c r="G16" s="87"/>
      <c r="H16" s="87"/>
      <c r="I16" s="87"/>
      <c r="J16" s="89"/>
      <c r="K16" s="92"/>
      <c r="L16" s="87"/>
      <c r="M16" s="87"/>
      <c r="N16" s="87"/>
      <c r="O16" s="87"/>
      <c r="P16" s="87"/>
      <c r="Q16" s="87"/>
      <c r="R16" s="87"/>
      <c r="S16" s="87"/>
      <c r="T16" s="89"/>
      <c r="U16" s="89"/>
      <c r="V16" s="87"/>
      <c r="W16" s="87"/>
      <c r="X16" s="87"/>
      <c r="Y16" s="87"/>
      <c r="Z16" s="87"/>
      <c r="AA16" s="87"/>
      <c r="AB16" s="87"/>
      <c r="AC16" s="87"/>
      <c r="AD16" s="89"/>
      <c r="AE16" s="92"/>
      <c r="AF16" s="87"/>
      <c r="AG16" s="87"/>
      <c r="AH16" s="87"/>
      <c r="AI16" s="87"/>
      <c r="AJ16" s="87"/>
      <c r="AK16" s="87"/>
      <c r="AL16" s="87"/>
      <c r="AM16" s="87"/>
      <c r="AN16" s="89"/>
      <c r="AO16" s="89"/>
      <c r="AP16" s="87"/>
      <c r="AQ16" s="87"/>
      <c r="AR16" s="87"/>
      <c r="AS16" s="87"/>
      <c r="AT16" s="87"/>
      <c r="AU16" s="87"/>
      <c r="AV16" s="87"/>
      <c r="AW16" s="87"/>
      <c r="AX16" s="89"/>
      <c r="AY16" s="92"/>
      <c r="AZ16" s="87"/>
      <c r="BA16" s="87"/>
      <c r="BB16" s="87"/>
      <c r="BC16" s="87"/>
      <c r="BD16" s="87"/>
      <c r="BE16" s="87"/>
      <c r="BF16" s="87"/>
      <c r="BG16" s="87"/>
      <c r="BH16" s="89"/>
      <c r="BI16" s="92"/>
      <c r="BJ16" s="87"/>
      <c r="BK16" s="87"/>
      <c r="BL16" s="87"/>
      <c r="BM16" s="87"/>
      <c r="BN16" s="87"/>
      <c r="BO16" s="87"/>
      <c r="BP16" s="87"/>
      <c r="BQ16" s="87"/>
      <c r="BR16" s="89"/>
      <c r="BS16" s="26"/>
      <c r="BT16" s="26"/>
    </row>
    <row r="17" spans="1:72" s="23" customFormat="1" ht="9" customHeight="1" x14ac:dyDescent="0.25">
      <c r="A17" s="30"/>
      <c r="B17" s="96"/>
      <c r="C17" s="96"/>
      <c r="D17" s="96"/>
      <c r="E17" s="96"/>
      <c r="F17" s="96"/>
      <c r="G17" s="96"/>
      <c r="H17" s="96"/>
      <c r="I17" s="96"/>
      <c r="J17" s="97"/>
      <c r="K17" s="92"/>
      <c r="L17" s="96"/>
      <c r="M17" s="96"/>
      <c r="N17" s="96"/>
      <c r="O17" s="96"/>
      <c r="P17" s="96"/>
      <c r="Q17" s="96"/>
      <c r="R17" s="96"/>
      <c r="S17" s="96"/>
      <c r="T17" s="97"/>
      <c r="U17" s="89"/>
      <c r="V17" s="96"/>
      <c r="W17" s="96"/>
      <c r="X17" s="96"/>
      <c r="Y17" s="96"/>
      <c r="Z17" s="96"/>
      <c r="AA17" s="96"/>
      <c r="AB17" s="96"/>
      <c r="AC17" s="96"/>
      <c r="AD17" s="97"/>
      <c r="AE17" s="98"/>
      <c r="AF17" s="96"/>
      <c r="AG17" s="96"/>
      <c r="AH17" s="96"/>
      <c r="AI17" s="96"/>
      <c r="AJ17" s="96"/>
      <c r="AK17" s="96"/>
      <c r="AL17" s="96"/>
      <c r="AM17" s="96"/>
      <c r="AN17" s="97"/>
      <c r="AO17" s="97"/>
      <c r="AP17" s="96"/>
      <c r="AQ17" s="96"/>
      <c r="AR17" s="96"/>
      <c r="AS17" s="96"/>
      <c r="AT17" s="96"/>
      <c r="AU17" s="96"/>
      <c r="AV17" s="96"/>
      <c r="AW17" s="96"/>
      <c r="AX17" s="97"/>
      <c r="AY17" s="92"/>
      <c r="AZ17" s="96"/>
      <c r="BA17" s="96"/>
      <c r="BB17" s="96"/>
      <c r="BC17" s="96"/>
      <c r="BD17" s="96"/>
      <c r="BE17" s="96"/>
      <c r="BF17" s="96"/>
      <c r="BG17" s="96"/>
      <c r="BH17" s="97"/>
      <c r="BI17" s="92"/>
      <c r="BJ17" s="96"/>
      <c r="BK17" s="96"/>
      <c r="BL17" s="96"/>
      <c r="BM17" s="96"/>
      <c r="BN17" s="96"/>
      <c r="BO17" s="96"/>
      <c r="BP17" s="96"/>
      <c r="BQ17" s="96"/>
      <c r="BR17" s="97"/>
      <c r="BS17" s="26"/>
      <c r="BT17" s="26"/>
    </row>
    <row r="18" spans="1:72" s="23" customFormat="1" ht="9" customHeight="1" x14ac:dyDescent="0.25">
      <c r="B18" s="88"/>
      <c r="C18" s="87"/>
      <c r="D18" s="87"/>
      <c r="E18" s="87"/>
      <c r="F18" s="87"/>
      <c r="G18" s="87"/>
      <c r="H18" s="87"/>
      <c r="I18" s="87"/>
      <c r="J18" s="89"/>
      <c r="K18" s="92"/>
      <c r="L18" s="87"/>
      <c r="M18" s="87"/>
      <c r="N18" s="87"/>
      <c r="O18" s="87"/>
      <c r="P18" s="87"/>
      <c r="Q18" s="87"/>
      <c r="R18" s="87"/>
      <c r="S18" s="87"/>
      <c r="T18" s="89"/>
      <c r="U18" s="89"/>
      <c r="V18" s="87"/>
      <c r="W18" s="87"/>
      <c r="X18" s="87"/>
      <c r="Y18" s="87"/>
      <c r="Z18" s="87"/>
      <c r="AA18" s="87"/>
      <c r="AB18" s="87"/>
      <c r="AC18" s="87"/>
      <c r="AD18" s="89"/>
      <c r="AE18" s="92"/>
      <c r="AF18" s="87"/>
      <c r="AG18" s="87"/>
      <c r="AH18" s="87"/>
      <c r="AI18" s="87"/>
      <c r="AJ18" s="87"/>
      <c r="AK18" s="87"/>
      <c r="AL18" s="87"/>
      <c r="AM18" s="87"/>
      <c r="AN18" s="89"/>
      <c r="AO18" s="89"/>
      <c r="AP18" s="87"/>
      <c r="AQ18" s="87"/>
      <c r="AR18" s="87"/>
      <c r="AS18" s="87"/>
      <c r="AT18" s="87"/>
      <c r="AU18" s="87"/>
      <c r="AV18" s="87"/>
      <c r="AW18" s="87"/>
      <c r="AX18" s="89"/>
      <c r="AY18" s="92"/>
      <c r="AZ18" s="87"/>
      <c r="BA18" s="87"/>
      <c r="BB18" s="87"/>
      <c r="BC18" s="87"/>
      <c r="BD18" s="87"/>
      <c r="BE18" s="87"/>
      <c r="BF18" s="87"/>
      <c r="BG18" s="87"/>
      <c r="BH18" s="89"/>
      <c r="BI18" s="92"/>
      <c r="BJ18" s="87"/>
      <c r="BK18" s="87"/>
      <c r="BL18" s="87"/>
      <c r="BM18" s="87"/>
      <c r="BN18" s="87"/>
      <c r="BO18" s="87"/>
      <c r="BP18" s="87"/>
      <c r="BQ18" s="87"/>
      <c r="BR18" s="89"/>
      <c r="BS18" s="26"/>
      <c r="BT18" s="26"/>
    </row>
    <row r="19" spans="1:72" s="23" customFormat="1" ht="9" customHeight="1" x14ac:dyDescent="0.25">
      <c r="B19" s="492" t="s">
        <v>492</v>
      </c>
      <c r="C19" s="492"/>
      <c r="D19" s="492"/>
      <c r="E19" s="492"/>
      <c r="F19" s="492"/>
      <c r="G19" s="493">
        <f>CEILING(3806*B5,1)</f>
        <v>5329</v>
      </c>
      <c r="H19" s="493"/>
      <c r="I19" s="493"/>
      <c r="J19" s="493"/>
      <c r="K19" s="223"/>
      <c r="L19" s="492" t="s">
        <v>492</v>
      </c>
      <c r="M19" s="492"/>
      <c r="N19" s="492"/>
      <c r="O19" s="492"/>
      <c r="P19" s="492"/>
      <c r="Q19" s="493">
        <f>CEILING(3898*B5,1)</f>
        <v>5458</v>
      </c>
      <c r="R19" s="493"/>
      <c r="S19" s="493"/>
      <c r="T19" s="493"/>
      <c r="U19" s="223"/>
      <c r="V19" s="492" t="s">
        <v>492</v>
      </c>
      <c r="W19" s="492"/>
      <c r="X19" s="492"/>
      <c r="Y19" s="492"/>
      <c r="Z19" s="492"/>
      <c r="AA19" s="493">
        <f>CEILING(3898*B5,1)</f>
        <v>5458</v>
      </c>
      <c r="AB19" s="493"/>
      <c r="AC19" s="493"/>
      <c r="AD19" s="493"/>
      <c r="AE19" s="223"/>
      <c r="AF19" s="492" t="s">
        <v>492</v>
      </c>
      <c r="AG19" s="492"/>
      <c r="AH19" s="492"/>
      <c r="AI19" s="492"/>
      <c r="AJ19" s="492"/>
      <c r="AK19" s="493">
        <f>CEILING(3898*B5,1)</f>
        <v>5458</v>
      </c>
      <c r="AL19" s="493"/>
      <c r="AM19" s="493"/>
      <c r="AN19" s="493"/>
      <c r="AO19" s="223"/>
      <c r="AP19" s="492" t="s">
        <v>492</v>
      </c>
      <c r="AQ19" s="492"/>
      <c r="AR19" s="492"/>
      <c r="AS19" s="492"/>
      <c r="AT19" s="492"/>
      <c r="AU19" s="493">
        <f>CEILING(3898*B5,1)</f>
        <v>5458</v>
      </c>
      <c r="AV19" s="493"/>
      <c r="AW19" s="493"/>
      <c r="AX19" s="493"/>
      <c r="AY19" s="223"/>
      <c r="AZ19" s="492" t="s">
        <v>493</v>
      </c>
      <c r="BA19" s="492"/>
      <c r="BB19" s="492"/>
      <c r="BC19" s="492"/>
      <c r="BD19" s="492"/>
      <c r="BE19" s="493">
        <f>CEILING(3898*B5,1)</f>
        <v>5458</v>
      </c>
      <c r="BF19" s="493"/>
      <c r="BG19" s="493"/>
      <c r="BH19" s="493"/>
      <c r="BI19" s="223"/>
      <c r="BJ19" s="492" t="s">
        <v>494</v>
      </c>
      <c r="BK19" s="492"/>
      <c r="BL19" s="492"/>
      <c r="BM19" s="492"/>
      <c r="BN19" s="492"/>
      <c r="BO19" s="493">
        <f>CEILING(4614*B5,1)</f>
        <v>6460</v>
      </c>
      <c r="BP19" s="493"/>
      <c r="BQ19" s="493"/>
      <c r="BR19" s="493"/>
      <c r="BS19" s="26"/>
      <c r="BT19" s="26"/>
    </row>
    <row r="20" spans="1:72" s="23" customFormat="1" ht="1.5" customHeight="1" x14ac:dyDescent="0.25"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201"/>
      <c r="Z20" s="201"/>
      <c r="AA20" s="201"/>
      <c r="AB20" s="201"/>
      <c r="AC20" s="201"/>
      <c r="AD20" s="201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201"/>
      <c r="AR20" s="201"/>
      <c r="AS20" s="201"/>
      <c r="AT20" s="201"/>
      <c r="AU20" s="201"/>
      <c r="AV20" s="201"/>
      <c r="AW20" s="201"/>
      <c r="AX20" s="201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26"/>
      <c r="BT20" s="26"/>
    </row>
    <row r="21" spans="1:72" s="23" customFormat="1" ht="9" customHeight="1" x14ac:dyDescent="0.25">
      <c r="B21" s="474" t="s">
        <v>495</v>
      </c>
      <c r="C21" s="475"/>
      <c r="D21" s="476"/>
      <c r="E21" s="504" t="s">
        <v>491</v>
      </c>
      <c r="F21" s="505"/>
      <c r="G21" s="505"/>
      <c r="H21" s="505"/>
      <c r="I21" s="505"/>
      <c r="J21" s="506"/>
      <c r="K21" s="87"/>
      <c r="L21" s="474" t="s">
        <v>497</v>
      </c>
      <c r="M21" s="475"/>
      <c r="N21" s="476"/>
      <c r="O21" s="504" t="s">
        <v>491</v>
      </c>
      <c r="P21" s="505"/>
      <c r="Q21" s="505"/>
      <c r="R21" s="505"/>
      <c r="S21" s="505"/>
      <c r="T21" s="506"/>
      <c r="U21" s="87"/>
      <c r="V21" s="474" t="s">
        <v>498</v>
      </c>
      <c r="W21" s="475"/>
      <c r="X21" s="476"/>
      <c r="Y21" s="504" t="s">
        <v>496</v>
      </c>
      <c r="Z21" s="505"/>
      <c r="AA21" s="505"/>
      <c r="AB21" s="505"/>
      <c r="AC21" s="505"/>
      <c r="AD21" s="506"/>
      <c r="AE21" s="87"/>
      <c r="AF21" s="474" t="s">
        <v>499</v>
      </c>
      <c r="AG21" s="475"/>
      <c r="AH21" s="476"/>
      <c r="AI21" s="504" t="s">
        <v>496</v>
      </c>
      <c r="AJ21" s="505"/>
      <c r="AK21" s="505"/>
      <c r="AL21" s="505"/>
      <c r="AM21" s="505"/>
      <c r="AN21" s="506"/>
      <c r="AO21" s="87"/>
      <c r="AP21" s="474" t="s">
        <v>500</v>
      </c>
      <c r="AQ21" s="475"/>
      <c r="AR21" s="476"/>
      <c r="AS21" s="504" t="s">
        <v>496</v>
      </c>
      <c r="AT21" s="505"/>
      <c r="AU21" s="505"/>
      <c r="AV21" s="505"/>
      <c r="AW21" s="505"/>
      <c r="AX21" s="506"/>
      <c r="AY21" s="87"/>
      <c r="AZ21" s="474" t="s">
        <v>501</v>
      </c>
      <c r="BA21" s="475"/>
      <c r="BB21" s="476"/>
      <c r="BC21" s="504" t="s">
        <v>496</v>
      </c>
      <c r="BD21" s="505"/>
      <c r="BE21" s="505"/>
      <c r="BF21" s="505"/>
      <c r="BG21" s="505"/>
      <c r="BH21" s="506"/>
      <c r="BI21" s="87"/>
      <c r="BJ21" s="474" t="s">
        <v>502</v>
      </c>
      <c r="BK21" s="475"/>
      <c r="BL21" s="476"/>
      <c r="BM21" s="504" t="s">
        <v>496</v>
      </c>
      <c r="BN21" s="505"/>
      <c r="BO21" s="505"/>
      <c r="BP21" s="505"/>
      <c r="BQ21" s="505"/>
      <c r="BR21" s="506"/>
      <c r="BS21" s="26"/>
      <c r="BT21" s="26"/>
    </row>
    <row r="22" spans="1:72" s="32" customFormat="1" ht="9" customHeight="1" x14ac:dyDescent="0.25">
      <c r="B22" s="489" t="s">
        <v>607</v>
      </c>
      <c r="C22" s="490"/>
      <c r="D22" s="490"/>
      <c r="E22" s="490"/>
      <c r="F22" s="490"/>
      <c r="G22" s="490"/>
      <c r="H22" s="490"/>
      <c r="I22" s="490"/>
      <c r="J22" s="491"/>
      <c r="K22" s="90"/>
      <c r="L22" s="489" t="s">
        <v>349</v>
      </c>
      <c r="M22" s="490"/>
      <c r="N22" s="490"/>
      <c r="O22" s="490"/>
      <c r="P22" s="490"/>
      <c r="Q22" s="490"/>
      <c r="R22" s="490"/>
      <c r="S22" s="490"/>
      <c r="T22" s="491"/>
      <c r="U22" s="100"/>
      <c r="V22" s="103"/>
      <c r="W22" s="90"/>
      <c r="X22" s="90"/>
      <c r="Y22" s="90"/>
      <c r="Z22" s="90"/>
      <c r="AA22" s="90"/>
      <c r="AB22" s="90"/>
      <c r="AC22" s="90"/>
      <c r="AD22" s="91"/>
      <c r="AE22" s="90"/>
      <c r="AF22" s="489" t="s">
        <v>506</v>
      </c>
      <c r="AG22" s="490"/>
      <c r="AH22" s="490"/>
      <c r="AI22" s="490"/>
      <c r="AJ22" s="490"/>
      <c r="AK22" s="490"/>
      <c r="AL22" s="490"/>
      <c r="AM22" s="490"/>
      <c r="AN22" s="491"/>
      <c r="AO22" s="100"/>
      <c r="AP22" s="489" t="s">
        <v>507</v>
      </c>
      <c r="AQ22" s="490"/>
      <c r="AR22" s="490"/>
      <c r="AS22" s="490"/>
      <c r="AT22" s="490"/>
      <c r="AU22" s="490"/>
      <c r="AV22" s="490"/>
      <c r="AW22" s="490"/>
      <c r="AX22" s="491"/>
      <c r="AY22" s="90"/>
      <c r="AZ22" s="103"/>
      <c r="BA22" s="90"/>
      <c r="BB22" s="90"/>
      <c r="BC22" s="90"/>
      <c r="BD22" s="90"/>
      <c r="BE22" s="90"/>
      <c r="BF22" s="90"/>
      <c r="BG22" s="90"/>
      <c r="BH22" s="91"/>
      <c r="BI22" s="100"/>
      <c r="BJ22" s="489" t="s">
        <v>506</v>
      </c>
      <c r="BK22" s="490"/>
      <c r="BL22" s="490"/>
      <c r="BM22" s="490"/>
      <c r="BN22" s="490"/>
      <c r="BO22" s="490"/>
      <c r="BP22" s="490"/>
      <c r="BQ22" s="490"/>
      <c r="BR22" s="491"/>
      <c r="BS22" s="42"/>
      <c r="BT22" s="42"/>
    </row>
    <row r="23" spans="1:72" s="23" customFormat="1" ht="9" customHeight="1" x14ac:dyDescent="0.25">
      <c r="A23" s="30"/>
      <c r="B23" s="489" t="s">
        <v>349</v>
      </c>
      <c r="C23" s="490"/>
      <c r="D23" s="490"/>
      <c r="E23" s="490"/>
      <c r="F23" s="490"/>
      <c r="G23" s="490"/>
      <c r="H23" s="490"/>
      <c r="I23" s="490"/>
      <c r="J23" s="491"/>
      <c r="K23" s="92"/>
      <c r="L23" s="87"/>
      <c r="M23" s="87"/>
      <c r="N23" s="87"/>
      <c r="O23" s="87"/>
      <c r="P23" s="87"/>
      <c r="Q23" s="87"/>
      <c r="R23" s="87"/>
      <c r="S23" s="87"/>
      <c r="T23" s="89"/>
      <c r="U23" s="92"/>
      <c r="V23" s="87"/>
      <c r="W23" s="87"/>
      <c r="X23" s="87"/>
      <c r="Y23" s="87"/>
      <c r="Z23" s="87"/>
      <c r="AA23" s="87"/>
      <c r="AB23" s="87"/>
      <c r="AC23" s="87"/>
      <c r="AD23" s="89"/>
      <c r="AE23" s="92"/>
      <c r="AF23" s="87"/>
      <c r="AG23" s="87"/>
      <c r="AH23" s="87"/>
      <c r="AI23" s="87"/>
      <c r="AJ23" s="87"/>
      <c r="AK23" s="87"/>
      <c r="AL23" s="87"/>
      <c r="AM23" s="87"/>
      <c r="AN23" s="89"/>
      <c r="AO23" s="92"/>
      <c r="AP23" s="87"/>
      <c r="AQ23" s="87"/>
      <c r="AR23" s="87"/>
      <c r="AS23" s="87"/>
      <c r="AT23" s="87"/>
      <c r="AU23" s="87"/>
      <c r="AV23" s="87"/>
      <c r="AW23" s="87"/>
      <c r="AX23" s="89"/>
      <c r="AY23" s="92"/>
      <c r="AZ23" s="87"/>
      <c r="BA23" s="87"/>
      <c r="BB23" s="87"/>
      <c r="BC23" s="87"/>
      <c r="BD23" s="87"/>
      <c r="BE23" s="87"/>
      <c r="BF23" s="87"/>
      <c r="BG23" s="87"/>
      <c r="BH23" s="89"/>
      <c r="BI23" s="92"/>
      <c r="BJ23" s="87"/>
      <c r="BK23" s="87"/>
      <c r="BL23" s="87"/>
      <c r="BM23" s="87"/>
      <c r="BN23" s="87"/>
      <c r="BO23" s="87"/>
      <c r="BP23" s="87"/>
      <c r="BQ23" s="87"/>
      <c r="BR23" s="89"/>
      <c r="BS23" s="26"/>
      <c r="BT23" s="26"/>
    </row>
    <row r="24" spans="1:72" s="23" customFormat="1" ht="9" customHeight="1" x14ac:dyDescent="0.25">
      <c r="A24" s="30"/>
      <c r="B24" s="87"/>
      <c r="C24" s="87"/>
      <c r="D24" s="87"/>
      <c r="E24" s="87"/>
      <c r="F24" s="87"/>
      <c r="G24" s="87"/>
      <c r="H24" s="87"/>
      <c r="I24" s="87"/>
      <c r="J24" s="89"/>
      <c r="K24" s="92"/>
      <c r="L24" s="87"/>
      <c r="M24" s="87"/>
      <c r="N24" s="87"/>
      <c r="O24" s="87"/>
      <c r="P24" s="87"/>
      <c r="Q24" s="87"/>
      <c r="R24" s="87"/>
      <c r="S24" s="87"/>
      <c r="T24" s="89"/>
      <c r="U24" s="92"/>
      <c r="V24" s="87"/>
      <c r="W24" s="87"/>
      <c r="X24" s="87"/>
      <c r="Y24" s="87"/>
      <c r="Z24" s="87"/>
      <c r="AA24" s="87"/>
      <c r="AB24" s="87"/>
      <c r="AC24" s="87"/>
      <c r="AD24" s="89"/>
      <c r="AE24" s="92"/>
      <c r="AF24" s="87"/>
      <c r="AG24" s="87"/>
      <c r="AH24" s="87"/>
      <c r="AI24" s="87"/>
      <c r="AJ24" s="87"/>
      <c r="AK24" s="87"/>
      <c r="AL24" s="87"/>
      <c r="AM24" s="87"/>
      <c r="AN24" s="89"/>
      <c r="AO24" s="92"/>
      <c r="AP24" s="87"/>
      <c r="AQ24" s="87"/>
      <c r="AR24" s="87"/>
      <c r="AS24" s="87"/>
      <c r="AT24" s="87"/>
      <c r="AU24" s="87"/>
      <c r="AV24" s="87"/>
      <c r="AW24" s="87"/>
      <c r="AX24" s="89"/>
      <c r="AY24" s="92"/>
      <c r="AZ24" s="87"/>
      <c r="BA24" s="87"/>
      <c r="BB24" s="87"/>
      <c r="BC24" s="87"/>
      <c r="BD24" s="87"/>
      <c r="BE24" s="87"/>
      <c r="BF24" s="87"/>
      <c r="BG24" s="87"/>
      <c r="BH24" s="89"/>
      <c r="BI24" s="92"/>
      <c r="BJ24" s="87"/>
      <c r="BK24" s="87"/>
      <c r="BL24" s="87"/>
      <c r="BM24" s="87"/>
      <c r="BN24" s="87"/>
      <c r="BO24" s="87"/>
      <c r="BP24" s="87"/>
      <c r="BQ24" s="87"/>
      <c r="BR24" s="89"/>
      <c r="BS24" s="26"/>
      <c r="BT24" s="26"/>
    </row>
    <row r="25" spans="1:72" s="23" customFormat="1" ht="9.75" customHeight="1" x14ac:dyDescent="0.25">
      <c r="A25" s="30"/>
      <c r="B25" s="87"/>
      <c r="C25" s="87"/>
      <c r="D25" s="87"/>
      <c r="E25" s="87"/>
      <c r="F25" s="87"/>
      <c r="G25" s="87"/>
      <c r="H25" s="87"/>
      <c r="I25" s="87"/>
      <c r="J25" s="89"/>
      <c r="K25" s="92"/>
      <c r="L25" s="87"/>
      <c r="M25" s="87"/>
      <c r="N25" s="87"/>
      <c r="O25" s="87"/>
      <c r="P25" s="87"/>
      <c r="Q25" s="87"/>
      <c r="R25" s="87"/>
      <c r="S25" s="87"/>
      <c r="T25" s="89"/>
      <c r="U25" s="92"/>
      <c r="V25" s="87"/>
      <c r="W25" s="87"/>
      <c r="X25" s="87"/>
      <c r="Y25" s="87"/>
      <c r="Z25" s="87"/>
      <c r="AA25" s="87"/>
      <c r="AB25" s="87"/>
      <c r="AC25" s="87"/>
      <c r="AD25" s="89"/>
      <c r="AE25" s="92"/>
      <c r="AF25" s="87"/>
      <c r="AG25" s="87"/>
      <c r="AH25" s="87"/>
      <c r="AI25" s="87"/>
      <c r="AJ25" s="87"/>
      <c r="AK25" s="87"/>
      <c r="AL25" s="87"/>
      <c r="AM25" s="87"/>
      <c r="AN25" s="89"/>
      <c r="AO25" s="92"/>
      <c r="AP25" s="87"/>
      <c r="AQ25" s="87"/>
      <c r="AR25" s="87"/>
      <c r="AS25" s="87"/>
      <c r="AT25" s="87"/>
      <c r="AU25" s="87"/>
      <c r="AV25" s="87"/>
      <c r="AW25" s="87"/>
      <c r="AX25" s="89"/>
      <c r="AY25" s="92"/>
      <c r="AZ25" s="87"/>
      <c r="BA25" s="87"/>
      <c r="BB25" s="87"/>
      <c r="BC25" s="87"/>
      <c r="BD25" s="87"/>
      <c r="BE25" s="87"/>
      <c r="BF25" s="87"/>
      <c r="BG25" s="87"/>
      <c r="BH25" s="89"/>
      <c r="BI25" s="92"/>
      <c r="BJ25" s="87"/>
      <c r="BK25" s="87"/>
      <c r="BL25" s="87"/>
      <c r="BM25" s="87"/>
      <c r="BN25" s="87"/>
      <c r="BO25" s="87"/>
      <c r="BP25" s="87"/>
      <c r="BQ25" s="87"/>
      <c r="BR25" s="89"/>
      <c r="BS25" s="26"/>
      <c r="BT25" s="26"/>
    </row>
    <row r="26" spans="1:72" s="39" customFormat="1" ht="9" customHeight="1" x14ac:dyDescent="0.25">
      <c r="A26" s="37"/>
      <c r="B26" s="87"/>
      <c r="C26" s="87"/>
      <c r="D26" s="87"/>
      <c r="E26" s="87"/>
      <c r="F26" s="87"/>
      <c r="G26" s="87"/>
      <c r="H26" s="87"/>
      <c r="I26" s="87"/>
      <c r="J26" s="89"/>
      <c r="K26" s="109"/>
      <c r="L26" s="87"/>
      <c r="M26" s="87"/>
      <c r="N26" s="87"/>
      <c r="O26" s="87"/>
      <c r="P26" s="87"/>
      <c r="Q26" s="87"/>
      <c r="R26" s="87"/>
      <c r="S26" s="87"/>
      <c r="T26" s="89"/>
      <c r="U26" s="109"/>
      <c r="V26" s="87"/>
      <c r="W26" s="87"/>
      <c r="X26" s="87"/>
      <c r="Y26" s="87"/>
      <c r="Z26" s="87"/>
      <c r="AA26" s="87"/>
      <c r="AB26" s="87"/>
      <c r="AC26" s="87"/>
      <c r="AD26" s="89"/>
      <c r="AE26" s="109"/>
      <c r="AF26" s="87"/>
      <c r="AG26" s="87"/>
      <c r="AH26" s="87"/>
      <c r="AI26" s="87"/>
      <c r="AJ26" s="87"/>
      <c r="AK26" s="87"/>
      <c r="AL26" s="87"/>
      <c r="AM26" s="87"/>
      <c r="AN26" s="89"/>
      <c r="AO26" s="109"/>
      <c r="AP26" s="87"/>
      <c r="AQ26" s="87"/>
      <c r="AR26" s="87"/>
      <c r="AS26" s="87"/>
      <c r="AT26" s="87"/>
      <c r="AU26" s="87"/>
      <c r="AV26" s="87"/>
      <c r="AW26" s="87"/>
      <c r="AX26" s="89"/>
      <c r="AY26" s="109"/>
      <c r="AZ26" s="87"/>
      <c r="BA26" s="87"/>
      <c r="BB26" s="87"/>
      <c r="BC26" s="87"/>
      <c r="BD26" s="87"/>
      <c r="BE26" s="87"/>
      <c r="BF26" s="87"/>
      <c r="BG26" s="87"/>
      <c r="BH26" s="89"/>
      <c r="BI26" s="92"/>
      <c r="BJ26" s="87"/>
      <c r="BK26" s="87"/>
      <c r="BL26" s="87"/>
      <c r="BM26" s="87"/>
      <c r="BN26" s="87"/>
      <c r="BO26" s="87"/>
      <c r="BP26" s="87"/>
      <c r="BQ26" s="87"/>
      <c r="BR26" s="89"/>
      <c r="BS26" s="38"/>
      <c r="BT26" s="38"/>
    </row>
    <row r="27" spans="1:72" s="39" customFormat="1" ht="9" customHeight="1" x14ac:dyDescent="0.25">
      <c r="A27" s="37"/>
      <c r="B27" s="87"/>
      <c r="C27" s="87"/>
      <c r="D27" s="87"/>
      <c r="E27" s="87"/>
      <c r="F27" s="87"/>
      <c r="G27" s="87"/>
      <c r="H27" s="87"/>
      <c r="I27" s="87"/>
      <c r="J27" s="89"/>
      <c r="K27" s="109"/>
      <c r="L27" s="87"/>
      <c r="M27" s="87"/>
      <c r="N27" s="87"/>
      <c r="O27" s="87"/>
      <c r="P27" s="87"/>
      <c r="Q27" s="87"/>
      <c r="R27" s="87"/>
      <c r="S27" s="87"/>
      <c r="T27" s="89"/>
      <c r="U27" s="109"/>
      <c r="V27" s="87"/>
      <c r="W27" s="87"/>
      <c r="X27" s="87"/>
      <c r="Y27" s="87"/>
      <c r="Z27" s="87"/>
      <c r="AA27" s="87"/>
      <c r="AB27" s="87"/>
      <c r="AC27" s="87"/>
      <c r="AD27" s="89"/>
      <c r="AE27" s="109"/>
      <c r="AF27" s="87"/>
      <c r="AG27" s="87"/>
      <c r="AH27" s="87"/>
      <c r="AI27" s="87"/>
      <c r="AJ27" s="87"/>
      <c r="AK27" s="87"/>
      <c r="AL27" s="87"/>
      <c r="AM27" s="87"/>
      <c r="AN27" s="89"/>
      <c r="AO27" s="109"/>
      <c r="AP27" s="87"/>
      <c r="AQ27" s="87"/>
      <c r="AR27" s="87"/>
      <c r="AS27" s="87"/>
      <c r="AT27" s="87"/>
      <c r="AU27" s="87"/>
      <c r="AV27" s="87"/>
      <c r="AW27" s="87"/>
      <c r="AX27" s="89"/>
      <c r="AY27" s="109"/>
      <c r="AZ27" s="87"/>
      <c r="BA27" s="87"/>
      <c r="BB27" s="87"/>
      <c r="BC27" s="87"/>
      <c r="BD27" s="87"/>
      <c r="BE27" s="87"/>
      <c r="BF27" s="87"/>
      <c r="BG27" s="87"/>
      <c r="BH27" s="89"/>
      <c r="BI27" s="92"/>
      <c r="BJ27" s="87"/>
      <c r="BK27" s="87"/>
      <c r="BL27" s="87"/>
      <c r="BM27" s="87"/>
      <c r="BN27" s="87"/>
      <c r="BO27" s="87"/>
      <c r="BP27" s="87"/>
      <c r="BQ27" s="87"/>
      <c r="BR27" s="89"/>
      <c r="BS27" s="38"/>
      <c r="BT27" s="38"/>
    </row>
    <row r="28" spans="1:72" s="39" customFormat="1" ht="9" customHeight="1" x14ac:dyDescent="0.25">
      <c r="A28" s="37"/>
      <c r="B28" s="87"/>
      <c r="C28" s="87"/>
      <c r="D28" s="87"/>
      <c r="E28" s="87"/>
      <c r="F28" s="87"/>
      <c r="G28" s="87"/>
      <c r="H28" s="87"/>
      <c r="I28" s="87"/>
      <c r="J28" s="89"/>
      <c r="K28" s="109"/>
      <c r="L28" s="87"/>
      <c r="M28" s="87"/>
      <c r="N28" s="87"/>
      <c r="O28" s="87"/>
      <c r="P28" s="87"/>
      <c r="Q28" s="87"/>
      <c r="R28" s="87"/>
      <c r="S28" s="87"/>
      <c r="T28" s="89"/>
      <c r="U28" s="109"/>
      <c r="V28" s="87"/>
      <c r="W28" s="87"/>
      <c r="X28" s="87"/>
      <c r="Y28" s="87"/>
      <c r="Z28" s="87"/>
      <c r="AA28" s="87"/>
      <c r="AB28" s="87"/>
      <c r="AC28" s="87"/>
      <c r="AD28" s="89"/>
      <c r="AE28" s="109"/>
      <c r="AF28" s="87"/>
      <c r="AG28" s="87"/>
      <c r="AH28" s="87"/>
      <c r="AI28" s="87"/>
      <c r="AJ28" s="87"/>
      <c r="AK28" s="87"/>
      <c r="AL28" s="87"/>
      <c r="AM28" s="87"/>
      <c r="AN28" s="89"/>
      <c r="AO28" s="109"/>
      <c r="AP28" s="87"/>
      <c r="AQ28" s="87"/>
      <c r="AR28" s="87"/>
      <c r="AS28" s="87"/>
      <c r="AT28" s="87"/>
      <c r="AU28" s="87"/>
      <c r="AV28" s="87"/>
      <c r="AW28" s="87"/>
      <c r="AX28" s="89"/>
      <c r="AY28" s="109"/>
      <c r="AZ28" s="87"/>
      <c r="BA28" s="87"/>
      <c r="BB28" s="87"/>
      <c r="BC28" s="87"/>
      <c r="BD28" s="87"/>
      <c r="BE28" s="87"/>
      <c r="BF28" s="87"/>
      <c r="BG28" s="87"/>
      <c r="BH28" s="89"/>
      <c r="BI28" s="92"/>
      <c r="BJ28" s="87"/>
      <c r="BK28" s="87"/>
      <c r="BL28" s="87"/>
      <c r="BM28" s="87"/>
      <c r="BN28" s="87"/>
      <c r="BO28" s="87"/>
      <c r="BP28" s="87"/>
      <c r="BQ28" s="87"/>
      <c r="BR28" s="89"/>
      <c r="BS28" s="38"/>
      <c r="BT28" s="38"/>
    </row>
    <row r="29" spans="1:72" s="39" customFormat="1" ht="9" customHeight="1" x14ac:dyDescent="0.25">
      <c r="A29" s="37"/>
      <c r="B29" s="87"/>
      <c r="C29" s="87"/>
      <c r="D29" s="87"/>
      <c r="E29" s="87"/>
      <c r="F29" s="87"/>
      <c r="G29" s="87"/>
      <c r="H29" s="87"/>
      <c r="I29" s="87"/>
      <c r="J29" s="89"/>
      <c r="K29" s="109"/>
      <c r="L29" s="87"/>
      <c r="M29" s="87"/>
      <c r="N29" s="87"/>
      <c r="O29" s="87"/>
      <c r="P29" s="87"/>
      <c r="Q29" s="87"/>
      <c r="R29" s="87"/>
      <c r="S29" s="87"/>
      <c r="T29" s="89"/>
      <c r="U29" s="109"/>
      <c r="V29" s="87"/>
      <c r="W29" s="87"/>
      <c r="X29" s="87"/>
      <c r="Y29" s="87"/>
      <c r="Z29" s="87"/>
      <c r="AA29" s="87"/>
      <c r="AB29" s="87"/>
      <c r="AC29" s="87"/>
      <c r="AD29" s="89"/>
      <c r="AE29" s="109"/>
      <c r="AF29" s="87"/>
      <c r="AG29" s="87"/>
      <c r="AH29" s="87"/>
      <c r="AI29" s="87"/>
      <c r="AJ29" s="87"/>
      <c r="AK29" s="87"/>
      <c r="AL29" s="87"/>
      <c r="AM29" s="87"/>
      <c r="AN29" s="89"/>
      <c r="AO29" s="109"/>
      <c r="AP29" s="87"/>
      <c r="AQ29" s="87"/>
      <c r="AR29" s="87"/>
      <c r="AS29" s="87"/>
      <c r="AT29" s="87"/>
      <c r="AU29" s="87"/>
      <c r="AV29" s="87"/>
      <c r="AW29" s="87"/>
      <c r="AX29" s="89"/>
      <c r="AY29" s="109"/>
      <c r="AZ29" s="87"/>
      <c r="BA29" s="87"/>
      <c r="BB29" s="87"/>
      <c r="BC29" s="87"/>
      <c r="BD29" s="87"/>
      <c r="BE29" s="87"/>
      <c r="BF29" s="87"/>
      <c r="BG29" s="87"/>
      <c r="BH29" s="89"/>
      <c r="BI29" s="92"/>
      <c r="BJ29" s="87"/>
      <c r="BK29" s="87"/>
      <c r="BL29" s="87"/>
      <c r="BM29" s="87"/>
      <c r="BN29" s="87"/>
      <c r="BO29" s="87"/>
      <c r="BP29" s="87"/>
      <c r="BQ29" s="87"/>
      <c r="BR29" s="89"/>
      <c r="BS29" s="38"/>
      <c r="BT29" s="38"/>
    </row>
    <row r="30" spans="1:72" s="39" customFormat="1" ht="9" customHeight="1" x14ac:dyDescent="0.25">
      <c r="A30" s="37"/>
      <c r="B30" s="87"/>
      <c r="C30" s="87"/>
      <c r="D30" s="87"/>
      <c r="E30" s="87"/>
      <c r="F30" s="87"/>
      <c r="G30" s="87"/>
      <c r="H30" s="87"/>
      <c r="I30" s="87"/>
      <c r="J30" s="89"/>
      <c r="K30" s="109"/>
      <c r="L30" s="87"/>
      <c r="M30" s="87"/>
      <c r="N30" s="87"/>
      <c r="O30" s="87"/>
      <c r="P30" s="87"/>
      <c r="Q30" s="87"/>
      <c r="R30" s="87"/>
      <c r="S30" s="87"/>
      <c r="T30" s="89"/>
      <c r="U30" s="109"/>
      <c r="V30" s="87"/>
      <c r="W30" s="87"/>
      <c r="X30" s="87"/>
      <c r="Y30" s="87"/>
      <c r="Z30" s="87"/>
      <c r="AA30" s="87"/>
      <c r="AB30" s="87"/>
      <c r="AC30" s="87"/>
      <c r="AD30" s="89"/>
      <c r="AE30" s="109"/>
      <c r="AF30" s="87"/>
      <c r="AG30" s="87"/>
      <c r="AH30" s="87"/>
      <c r="AI30" s="87"/>
      <c r="AJ30" s="87"/>
      <c r="AK30" s="87"/>
      <c r="AL30" s="87"/>
      <c r="AM30" s="87"/>
      <c r="AN30" s="89"/>
      <c r="AO30" s="109"/>
      <c r="AP30" s="87"/>
      <c r="AQ30" s="87"/>
      <c r="AR30" s="87"/>
      <c r="AS30" s="87"/>
      <c r="AT30" s="87"/>
      <c r="AU30" s="87"/>
      <c r="AV30" s="87"/>
      <c r="AW30" s="87"/>
      <c r="AX30" s="89"/>
      <c r="AY30" s="109"/>
      <c r="AZ30" s="87"/>
      <c r="BA30" s="87"/>
      <c r="BB30" s="87"/>
      <c r="BC30" s="87"/>
      <c r="BD30" s="87"/>
      <c r="BE30" s="87"/>
      <c r="BF30" s="87"/>
      <c r="BG30" s="87"/>
      <c r="BH30" s="89"/>
      <c r="BI30" s="92"/>
      <c r="BJ30" s="87"/>
      <c r="BK30" s="87"/>
      <c r="BL30" s="87"/>
      <c r="BM30" s="87"/>
      <c r="BN30" s="87"/>
      <c r="BO30" s="87"/>
      <c r="BP30" s="87"/>
      <c r="BQ30" s="87"/>
      <c r="BR30" s="89"/>
      <c r="BS30" s="38"/>
      <c r="BT30" s="38"/>
    </row>
    <row r="31" spans="1:72" s="39" customFormat="1" ht="9" customHeight="1" x14ac:dyDescent="0.25">
      <c r="A31" s="37"/>
      <c r="B31" s="96"/>
      <c r="C31" s="96"/>
      <c r="D31" s="96"/>
      <c r="E31" s="96"/>
      <c r="F31" s="96"/>
      <c r="G31" s="96"/>
      <c r="H31" s="96"/>
      <c r="I31" s="96"/>
      <c r="J31" s="97"/>
      <c r="K31" s="109"/>
      <c r="L31" s="96"/>
      <c r="M31" s="96"/>
      <c r="N31" s="96"/>
      <c r="O31" s="96"/>
      <c r="P31" s="96"/>
      <c r="Q31" s="96"/>
      <c r="R31" s="96"/>
      <c r="S31" s="96"/>
      <c r="T31" s="97"/>
      <c r="U31" s="109"/>
      <c r="V31" s="96"/>
      <c r="W31" s="96"/>
      <c r="X31" s="96"/>
      <c r="Y31" s="96"/>
      <c r="Z31" s="96"/>
      <c r="AA31" s="96"/>
      <c r="AB31" s="96"/>
      <c r="AC31" s="96"/>
      <c r="AD31" s="97"/>
      <c r="AE31" s="109"/>
      <c r="AF31" s="96"/>
      <c r="AG31" s="96"/>
      <c r="AH31" s="96"/>
      <c r="AI31" s="96"/>
      <c r="AJ31" s="96"/>
      <c r="AK31" s="96"/>
      <c r="AL31" s="96"/>
      <c r="AM31" s="96"/>
      <c r="AN31" s="97"/>
      <c r="AO31" s="109"/>
      <c r="AP31" s="96"/>
      <c r="AQ31" s="96"/>
      <c r="AR31" s="96"/>
      <c r="AS31" s="96"/>
      <c r="AT31" s="96"/>
      <c r="AU31" s="96"/>
      <c r="AV31" s="96"/>
      <c r="AW31" s="96"/>
      <c r="AX31" s="97"/>
      <c r="AY31" s="109"/>
      <c r="AZ31" s="96"/>
      <c r="BA31" s="96"/>
      <c r="BB31" s="96"/>
      <c r="BC31" s="96"/>
      <c r="BD31" s="96"/>
      <c r="BE31" s="96"/>
      <c r="BF31" s="96"/>
      <c r="BG31" s="96"/>
      <c r="BH31" s="97"/>
      <c r="BI31" s="92"/>
      <c r="BJ31" s="96"/>
      <c r="BK31" s="96"/>
      <c r="BL31" s="96"/>
      <c r="BM31" s="96"/>
      <c r="BN31" s="96"/>
      <c r="BO31" s="96"/>
      <c r="BP31" s="96"/>
      <c r="BQ31" s="96"/>
      <c r="BR31" s="97"/>
      <c r="BS31" s="38"/>
      <c r="BT31" s="38"/>
    </row>
    <row r="32" spans="1:72" s="39" customFormat="1" ht="9" customHeight="1" x14ac:dyDescent="0.25">
      <c r="B32" s="88"/>
      <c r="C32" s="87"/>
      <c r="D32" s="87"/>
      <c r="E32" s="87"/>
      <c r="F32" s="87"/>
      <c r="G32" s="87"/>
      <c r="H32" s="87"/>
      <c r="I32" s="87"/>
      <c r="J32" s="89"/>
      <c r="K32" s="109"/>
      <c r="L32" s="87"/>
      <c r="M32" s="87"/>
      <c r="N32" s="87"/>
      <c r="O32" s="87"/>
      <c r="P32" s="87"/>
      <c r="Q32" s="87"/>
      <c r="R32" s="87"/>
      <c r="S32" s="87"/>
      <c r="T32" s="89"/>
      <c r="U32" s="106"/>
      <c r="V32" s="88"/>
      <c r="W32" s="87"/>
      <c r="X32" s="87"/>
      <c r="Y32" s="87"/>
      <c r="Z32" s="87"/>
      <c r="AA32" s="87"/>
      <c r="AB32" s="87"/>
      <c r="AC32" s="87"/>
      <c r="AD32" s="89"/>
      <c r="AE32" s="109"/>
      <c r="AF32" s="87"/>
      <c r="AG32" s="87"/>
      <c r="AH32" s="87"/>
      <c r="AI32" s="87"/>
      <c r="AJ32" s="87"/>
      <c r="AK32" s="87"/>
      <c r="AL32" s="87"/>
      <c r="AM32" s="87"/>
      <c r="AN32" s="89"/>
      <c r="AO32" s="106"/>
      <c r="AP32" s="88"/>
      <c r="AQ32" s="87"/>
      <c r="AR32" s="87"/>
      <c r="AS32" s="87"/>
      <c r="AT32" s="87"/>
      <c r="AU32" s="87"/>
      <c r="AV32" s="87"/>
      <c r="AW32" s="87"/>
      <c r="AX32" s="89"/>
      <c r="AY32" s="106"/>
      <c r="AZ32" s="88"/>
      <c r="BA32" s="87"/>
      <c r="BB32" s="87"/>
      <c r="BC32" s="87"/>
      <c r="BD32" s="87"/>
      <c r="BE32" s="87"/>
      <c r="BF32" s="87"/>
      <c r="BG32" s="87"/>
      <c r="BH32" s="89"/>
      <c r="BI32" s="92"/>
      <c r="BJ32" s="87"/>
      <c r="BK32" s="87"/>
      <c r="BL32" s="87"/>
      <c r="BM32" s="87"/>
      <c r="BN32" s="87"/>
      <c r="BO32" s="87"/>
      <c r="BP32" s="87"/>
      <c r="BQ32" s="87"/>
      <c r="BR32" s="89"/>
      <c r="BS32" s="38"/>
      <c r="BT32" s="38"/>
    </row>
    <row r="33" spans="1:72" s="39" customFormat="1" ht="9" customHeight="1" x14ac:dyDescent="0.25">
      <c r="A33" s="38"/>
      <c r="B33" s="492" t="s">
        <v>503</v>
      </c>
      <c r="C33" s="492"/>
      <c r="D33" s="492"/>
      <c r="E33" s="492"/>
      <c r="F33" s="492"/>
      <c r="G33" s="493">
        <f>CEILING(3774*B5,1)</f>
        <v>5284</v>
      </c>
      <c r="H33" s="493"/>
      <c r="I33" s="493"/>
      <c r="J33" s="493"/>
      <c r="K33" s="227"/>
      <c r="L33" s="555" t="s">
        <v>504</v>
      </c>
      <c r="M33" s="555"/>
      <c r="N33" s="555"/>
      <c r="O33" s="555"/>
      <c r="P33" s="555"/>
      <c r="Q33" s="493">
        <f>CEILING(8031*B5,1)</f>
        <v>11244</v>
      </c>
      <c r="R33" s="493"/>
      <c r="S33" s="493"/>
      <c r="T33" s="493"/>
      <c r="U33" s="227"/>
      <c r="V33" s="492" t="s">
        <v>503</v>
      </c>
      <c r="W33" s="492"/>
      <c r="X33" s="492"/>
      <c r="Y33" s="492"/>
      <c r="Z33" s="492"/>
      <c r="AA33" s="493">
        <f>CEILING(3898*B5,1)</f>
        <v>5458</v>
      </c>
      <c r="AB33" s="493"/>
      <c r="AC33" s="493"/>
      <c r="AD33" s="493"/>
      <c r="AE33" s="227"/>
      <c r="AF33" s="492" t="s">
        <v>505</v>
      </c>
      <c r="AG33" s="492"/>
      <c r="AH33" s="492"/>
      <c r="AI33" s="492"/>
      <c r="AJ33" s="492"/>
      <c r="AK33" s="493">
        <f>CEILING(4761*B5,1)</f>
        <v>6666</v>
      </c>
      <c r="AL33" s="493"/>
      <c r="AM33" s="493"/>
      <c r="AN33" s="493"/>
      <c r="AO33" s="227"/>
      <c r="AP33" s="492" t="s">
        <v>505</v>
      </c>
      <c r="AQ33" s="492"/>
      <c r="AR33" s="492"/>
      <c r="AS33" s="492"/>
      <c r="AT33" s="492"/>
      <c r="AU33" s="493">
        <f>CEILING(5488*B5,1)</f>
        <v>7684</v>
      </c>
      <c r="AV33" s="493"/>
      <c r="AW33" s="493"/>
      <c r="AX33" s="493"/>
      <c r="AY33" s="227"/>
      <c r="AZ33" s="492" t="s">
        <v>503</v>
      </c>
      <c r="BA33" s="492"/>
      <c r="BB33" s="492"/>
      <c r="BC33" s="492"/>
      <c r="BD33" s="492"/>
      <c r="BE33" s="493">
        <f>CEILING(3727*B5,1)</f>
        <v>5218</v>
      </c>
      <c r="BF33" s="493"/>
      <c r="BG33" s="493"/>
      <c r="BH33" s="493"/>
      <c r="BI33" s="227"/>
      <c r="BJ33" s="492" t="s">
        <v>505</v>
      </c>
      <c r="BK33" s="492"/>
      <c r="BL33" s="492"/>
      <c r="BM33" s="492"/>
      <c r="BN33" s="492"/>
      <c r="BO33" s="493">
        <f>CEILING(4807*B5,1)</f>
        <v>6730</v>
      </c>
      <c r="BP33" s="493"/>
      <c r="BQ33" s="493"/>
      <c r="BR33" s="493"/>
      <c r="BS33" s="38"/>
      <c r="BT33" s="38"/>
    </row>
    <row r="34" spans="1:72" s="23" customFormat="1" ht="1.5" customHeight="1" x14ac:dyDescent="0.25">
      <c r="A34" s="26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202"/>
      <c r="AL34" s="202"/>
      <c r="AM34" s="202"/>
      <c r="AN34" s="87"/>
      <c r="AO34" s="87"/>
      <c r="AP34" s="87"/>
      <c r="AQ34" s="202"/>
      <c r="AR34" s="202"/>
      <c r="AS34" s="202"/>
      <c r="AT34" s="202"/>
      <c r="AU34" s="202"/>
      <c r="AV34" s="202"/>
      <c r="AW34" s="202"/>
      <c r="AX34" s="202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112"/>
      <c r="BS34" s="26"/>
      <c r="BT34" s="26"/>
    </row>
    <row r="35" spans="1:72" s="39" customFormat="1" ht="9" customHeight="1" x14ac:dyDescent="0.25">
      <c r="A35" s="38"/>
      <c r="B35" s="474" t="s">
        <v>508</v>
      </c>
      <c r="C35" s="475"/>
      <c r="D35" s="476"/>
      <c r="E35" s="504" t="s">
        <v>496</v>
      </c>
      <c r="F35" s="505"/>
      <c r="G35" s="505"/>
      <c r="H35" s="505"/>
      <c r="I35" s="505"/>
      <c r="J35" s="506"/>
      <c r="K35" s="106"/>
      <c r="L35" s="474" t="s">
        <v>509</v>
      </c>
      <c r="M35" s="475"/>
      <c r="N35" s="476"/>
      <c r="O35" s="504" t="s">
        <v>496</v>
      </c>
      <c r="P35" s="505"/>
      <c r="Q35" s="505"/>
      <c r="R35" s="505"/>
      <c r="S35" s="505"/>
      <c r="T35" s="506"/>
      <c r="U35" s="106"/>
      <c r="V35" s="474" t="s">
        <v>510</v>
      </c>
      <c r="W35" s="475"/>
      <c r="X35" s="476"/>
      <c r="Y35" s="504" t="s">
        <v>491</v>
      </c>
      <c r="Z35" s="505"/>
      <c r="AA35" s="505"/>
      <c r="AB35" s="505"/>
      <c r="AC35" s="505"/>
      <c r="AD35" s="506"/>
      <c r="AE35" s="106"/>
      <c r="AF35" s="474" t="s">
        <v>511</v>
      </c>
      <c r="AG35" s="475"/>
      <c r="AH35" s="476"/>
      <c r="AI35" s="504" t="s">
        <v>179</v>
      </c>
      <c r="AJ35" s="505"/>
      <c r="AK35" s="505"/>
      <c r="AL35" s="505"/>
      <c r="AM35" s="505"/>
      <c r="AN35" s="506"/>
      <c r="AO35" s="106"/>
      <c r="AP35" s="474" t="s">
        <v>512</v>
      </c>
      <c r="AQ35" s="475"/>
      <c r="AR35" s="476"/>
      <c r="AS35" s="504" t="s">
        <v>179</v>
      </c>
      <c r="AT35" s="505"/>
      <c r="AU35" s="505"/>
      <c r="AV35" s="505"/>
      <c r="AW35" s="505"/>
      <c r="AX35" s="506"/>
      <c r="AY35" s="108"/>
      <c r="AZ35" s="474" t="s">
        <v>513</v>
      </c>
      <c r="BA35" s="475"/>
      <c r="BB35" s="476"/>
      <c r="BC35" s="504" t="s">
        <v>179</v>
      </c>
      <c r="BD35" s="505"/>
      <c r="BE35" s="505"/>
      <c r="BF35" s="505"/>
      <c r="BG35" s="505"/>
      <c r="BH35" s="506"/>
      <c r="BI35" s="106"/>
      <c r="BJ35" s="474" t="s">
        <v>514</v>
      </c>
      <c r="BK35" s="475"/>
      <c r="BL35" s="476"/>
      <c r="BM35" s="504" t="s">
        <v>179</v>
      </c>
      <c r="BN35" s="505"/>
      <c r="BO35" s="505"/>
      <c r="BP35" s="505"/>
      <c r="BQ35" s="505"/>
      <c r="BR35" s="506"/>
      <c r="BS35" s="38"/>
      <c r="BT35" s="38"/>
    </row>
    <row r="36" spans="1:72" s="32" customFormat="1" ht="9" customHeight="1" x14ac:dyDescent="0.25">
      <c r="A36" s="35"/>
      <c r="B36" s="489" t="s">
        <v>609</v>
      </c>
      <c r="C36" s="490"/>
      <c r="D36" s="490"/>
      <c r="E36" s="490"/>
      <c r="F36" s="490"/>
      <c r="G36" s="490"/>
      <c r="H36" s="490"/>
      <c r="I36" s="490"/>
      <c r="J36" s="491"/>
      <c r="K36" s="90"/>
      <c r="L36" s="103"/>
      <c r="M36" s="90"/>
      <c r="N36" s="90"/>
      <c r="O36" s="90"/>
      <c r="P36" s="90"/>
      <c r="Q36" s="90"/>
      <c r="R36" s="90"/>
      <c r="S36" s="90"/>
      <c r="T36" s="91"/>
      <c r="U36" s="100"/>
      <c r="V36" s="489" t="s">
        <v>610</v>
      </c>
      <c r="W36" s="490"/>
      <c r="X36" s="490"/>
      <c r="Y36" s="490"/>
      <c r="Z36" s="490"/>
      <c r="AA36" s="490"/>
      <c r="AB36" s="490"/>
      <c r="AC36" s="490"/>
      <c r="AD36" s="491"/>
      <c r="AE36" s="90"/>
      <c r="AF36" s="489" t="s">
        <v>611</v>
      </c>
      <c r="AG36" s="490"/>
      <c r="AH36" s="490"/>
      <c r="AI36" s="490"/>
      <c r="AJ36" s="490"/>
      <c r="AK36" s="490"/>
      <c r="AL36" s="490"/>
      <c r="AM36" s="490"/>
      <c r="AN36" s="491"/>
      <c r="AO36" s="90"/>
      <c r="AP36" s="489" t="s">
        <v>611</v>
      </c>
      <c r="AQ36" s="490"/>
      <c r="AR36" s="490"/>
      <c r="AS36" s="490"/>
      <c r="AT36" s="490"/>
      <c r="AU36" s="490"/>
      <c r="AV36" s="490"/>
      <c r="AW36" s="490"/>
      <c r="AX36" s="491"/>
      <c r="AY36" s="91"/>
      <c r="AZ36" s="489" t="s">
        <v>611</v>
      </c>
      <c r="BA36" s="490"/>
      <c r="BB36" s="490"/>
      <c r="BC36" s="490"/>
      <c r="BD36" s="490"/>
      <c r="BE36" s="490"/>
      <c r="BF36" s="490"/>
      <c r="BG36" s="490"/>
      <c r="BH36" s="491"/>
      <c r="BI36" s="90"/>
      <c r="BJ36" s="489" t="s">
        <v>611</v>
      </c>
      <c r="BK36" s="490"/>
      <c r="BL36" s="490"/>
      <c r="BM36" s="490"/>
      <c r="BN36" s="490"/>
      <c r="BO36" s="490"/>
      <c r="BP36" s="490"/>
      <c r="BQ36" s="490"/>
      <c r="BR36" s="491"/>
      <c r="BS36" s="34"/>
      <c r="BT36" s="34"/>
    </row>
    <row r="37" spans="1:72" s="23" customFormat="1" ht="9" customHeight="1" x14ac:dyDescent="0.25">
      <c r="A37" s="30"/>
      <c r="B37" s="87"/>
      <c r="C37" s="87"/>
      <c r="D37" s="87"/>
      <c r="E37" s="87"/>
      <c r="F37" s="87"/>
      <c r="G37" s="87"/>
      <c r="H37" s="87"/>
      <c r="I37" s="87"/>
      <c r="J37" s="89"/>
      <c r="K37" s="92"/>
      <c r="L37" s="87"/>
      <c r="M37" s="87"/>
      <c r="N37" s="87"/>
      <c r="O37" s="87"/>
      <c r="P37" s="87"/>
      <c r="Q37" s="87"/>
      <c r="R37" s="87"/>
      <c r="S37" s="87"/>
      <c r="T37" s="89"/>
      <c r="U37" s="92"/>
      <c r="V37" s="87"/>
      <c r="W37" s="87"/>
      <c r="X37" s="87"/>
      <c r="Y37" s="87"/>
      <c r="Z37" s="87"/>
      <c r="AA37" s="87"/>
      <c r="AB37" s="87"/>
      <c r="AC37" s="87"/>
      <c r="AD37" s="89"/>
      <c r="AE37" s="92"/>
      <c r="AF37" s="489" t="s">
        <v>517</v>
      </c>
      <c r="AG37" s="490"/>
      <c r="AH37" s="490"/>
      <c r="AI37" s="490"/>
      <c r="AJ37" s="490"/>
      <c r="AK37" s="490"/>
      <c r="AL37" s="490"/>
      <c r="AM37" s="490"/>
      <c r="AN37" s="491"/>
      <c r="AO37" s="89"/>
      <c r="AP37" s="489" t="s">
        <v>518</v>
      </c>
      <c r="AQ37" s="490"/>
      <c r="AR37" s="490"/>
      <c r="AS37" s="490"/>
      <c r="AT37" s="490"/>
      <c r="AU37" s="490"/>
      <c r="AV37" s="490"/>
      <c r="AW37" s="490"/>
      <c r="AX37" s="491"/>
      <c r="AY37" s="89"/>
      <c r="AZ37" s="489" t="s">
        <v>519</v>
      </c>
      <c r="BA37" s="490"/>
      <c r="BB37" s="490"/>
      <c r="BC37" s="490"/>
      <c r="BD37" s="490"/>
      <c r="BE37" s="490"/>
      <c r="BF37" s="490"/>
      <c r="BG37" s="490"/>
      <c r="BH37" s="491"/>
      <c r="BI37" s="92"/>
      <c r="BJ37" s="489" t="s">
        <v>518</v>
      </c>
      <c r="BK37" s="490"/>
      <c r="BL37" s="490"/>
      <c r="BM37" s="490"/>
      <c r="BN37" s="490"/>
      <c r="BO37" s="490"/>
      <c r="BP37" s="490"/>
      <c r="BQ37" s="490"/>
      <c r="BR37" s="491"/>
      <c r="BS37" s="26"/>
      <c r="BT37" s="26"/>
    </row>
    <row r="38" spans="1:72" s="23" customFormat="1" ht="9" customHeight="1" x14ac:dyDescent="0.25">
      <c r="A38" s="30"/>
      <c r="B38" s="87"/>
      <c r="C38" s="87"/>
      <c r="D38" s="87"/>
      <c r="E38" s="87"/>
      <c r="F38" s="87"/>
      <c r="G38" s="87"/>
      <c r="H38" s="87"/>
      <c r="I38" s="87"/>
      <c r="J38" s="89"/>
      <c r="K38" s="92"/>
      <c r="L38" s="87"/>
      <c r="M38" s="87"/>
      <c r="N38" s="87"/>
      <c r="O38" s="87"/>
      <c r="P38" s="87"/>
      <c r="Q38" s="87"/>
      <c r="R38" s="87"/>
      <c r="S38" s="87"/>
      <c r="T38" s="89"/>
      <c r="U38" s="92"/>
      <c r="V38" s="87"/>
      <c r="W38" s="87"/>
      <c r="X38" s="87"/>
      <c r="Y38" s="87"/>
      <c r="Z38" s="87"/>
      <c r="AA38" s="87"/>
      <c r="AB38" s="87"/>
      <c r="AC38" s="87"/>
      <c r="AD38" s="89"/>
      <c r="AE38" s="92"/>
      <c r="AF38" s="87"/>
      <c r="AG38" s="87"/>
      <c r="AH38" s="87"/>
      <c r="AI38" s="87"/>
      <c r="AJ38" s="87"/>
      <c r="AK38" s="87"/>
      <c r="AL38" s="87"/>
      <c r="AM38" s="87"/>
      <c r="AN38" s="89"/>
      <c r="AO38" s="89"/>
      <c r="AP38" s="87"/>
      <c r="AQ38" s="87"/>
      <c r="AR38" s="87"/>
      <c r="AS38" s="87"/>
      <c r="AT38" s="87"/>
      <c r="AU38" s="87"/>
      <c r="AV38" s="87"/>
      <c r="AW38" s="87"/>
      <c r="AX38" s="89"/>
      <c r="AY38" s="89"/>
      <c r="AZ38" s="87"/>
      <c r="BA38" s="87"/>
      <c r="BB38" s="87"/>
      <c r="BC38" s="87"/>
      <c r="BD38" s="87"/>
      <c r="BE38" s="87"/>
      <c r="BF38" s="87"/>
      <c r="BG38" s="87"/>
      <c r="BH38" s="89"/>
      <c r="BI38" s="92"/>
      <c r="BJ38" s="87"/>
      <c r="BK38" s="87"/>
      <c r="BL38" s="87"/>
      <c r="BM38" s="87"/>
      <c r="BN38" s="87"/>
      <c r="BO38" s="87"/>
      <c r="BP38" s="87"/>
      <c r="BQ38" s="87"/>
      <c r="BR38" s="89"/>
      <c r="BS38" s="26"/>
      <c r="BT38" s="26"/>
    </row>
    <row r="39" spans="1:72" s="23" customFormat="1" ht="9.75" customHeight="1" x14ac:dyDescent="0.25">
      <c r="A39" s="30"/>
      <c r="B39" s="87"/>
      <c r="C39" s="87"/>
      <c r="D39" s="87"/>
      <c r="E39" s="87"/>
      <c r="F39" s="87"/>
      <c r="G39" s="87"/>
      <c r="H39" s="87"/>
      <c r="I39" s="87"/>
      <c r="J39" s="89"/>
      <c r="K39" s="92"/>
      <c r="L39" s="87"/>
      <c r="M39" s="87"/>
      <c r="N39" s="87"/>
      <c r="O39" s="87"/>
      <c r="P39" s="87"/>
      <c r="Q39" s="87"/>
      <c r="R39" s="87"/>
      <c r="S39" s="87"/>
      <c r="T39" s="89"/>
      <c r="U39" s="92"/>
      <c r="V39" s="87"/>
      <c r="W39" s="87"/>
      <c r="X39" s="87"/>
      <c r="Y39" s="87"/>
      <c r="Z39" s="87"/>
      <c r="AA39" s="87"/>
      <c r="AB39" s="87"/>
      <c r="AC39" s="87"/>
      <c r="AD39" s="89"/>
      <c r="AE39" s="92"/>
      <c r="AF39" s="87"/>
      <c r="AG39" s="87"/>
      <c r="AH39" s="87"/>
      <c r="AI39" s="87"/>
      <c r="AJ39" s="87"/>
      <c r="AK39" s="87"/>
      <c r="AL39" s="87"/>
      <c r="AM39" s="87"/>
      <c r="AN39" s="89"/>
      <c r="AO39" s="89"/>
      <c r="AP39" s="87"/>
      <c r="AQ39" s="87"/>
      <c r="AR39" s="87"/>
      <c r="AS39" s="87"/>
      <c r="AT39" s="87"/>
      <c r="AU39" s="87"/>
      <c r="AV39" s="87"/>
      <c r="AW39" s="87"/>
      <c r="AX39" s="89"/>
      <c r="AY39" s="89"/>
      <c r="AZ39" s="87"/>
      <c r="BA39" s="87"/>
      <c r="BB39" s="87"/>
      <c r="BC39" s="87"/>
      <c r="BD39" s="87"/>
      <c r="BE39" s="87"/>
      <c r="BF39" s="87"/>
      <c r="BG39" s="87"/>
      <c r="BH39" s="89"/>
      <c r="BI39" s="92"/>
      <c r="BJ39" s="87"/>
      <c r="BK39" s="87"/>
      <c r="BL39" s="87"/>
      <c r="BM39" s="87"/>
      <c r="BN39" s="87"/>
      <c r="BO39" s="87"/>
      <c r="BP39" s="87"/>
      <c r="BQ39" s="87"/>
      <c r="BR39" s="89"/>
      <c r="BS39" s="26"/>
      <c r="BT39" s="26"/>
    </row>
    <row r="40" spans="1:72" s="39" customFormat="1" ht="9" customHeight="1" x14ac:dyDescent="0.25">
      <c r="A40" s="37"/>
      <c r="B40" s="87"/>
      <c r="C40" s="87"/>
      <c r="D40" s="87"/>
      <c r="E40" s="87"/>
      <c r="F40" s="87"/>
      <c r="G40" s="87"/>
      <c r="H40" s="87"/>
      <c r="I40" s="87"/>
      <c r="J40" s="89"/>
      <c r="K40" s="109"/>
      <c r="L40" s="87"/>
      <c r="M40" s="87"/>
      <c r="N40" s="87"/>
      <c r="O40" s="87"/>
      <c r="P40" s="87"/>
      <c r="Q40" s="87"/>
      <c r="R40" s="87"/>
      <c r="S40" s="87"/>
      <c r="T40" s="89"/>
      <c r="U40" s="92"/>
      <c r="V40" s="87"/>
      <c r="W40" s="87"/>
      <c r="X40" s="87"/>
      <c r="Y40" s="87"/>
      <c r="Z40" s="87"/>
      <c r="AA40" s="87"/>
      <c r="AB40" s="87"/>
      <c r="AC40" s="87"/>
      <c r="AD40" s="89"/>
      <c r="AE40" s="109"/>
      <c r="AF40" s="87"/>
      <c r="AG40" s="87"/>
      <c r="AH40" s="87"/>
      <c r="AI40" s="87"/>
      <c r="AJ40" s="87"/>
      <c r="AK40" s="87"/>
      <c r="AL40" s="87"/>
      <c r="AM40" s="87"/>
      <c r="AN40" s="89"/>
      <c r="AO40" s="108"/>
      <c r="AP40" s="87"/>
      <c r="AQ40" s="87"/>
      <c r="AR40" s="87"/>
      <c r="AS40" s="87"/>
      <c r="AT40" s="87"/>
      <c r="AU40" s="87"/>
      <c r="AV40" s="87"/>
      <c r="AW40" s="87"/>
      <c r="AX40" s="89"/>
      <c r="AY40" s="108"/>
      <c r="AZ40" s="87"/>
      <c r="BA40" s="87"/>
      <c r="BB40" s="87"/>
      <c r="BC40" s="87"/>
      <c r="BD40" s="87"/>
      <c r="BE40" s="87"/>
      <c r="BF40" s="87"/>
      <c r="BG40" s="87"/>
      <c r="BH40" s="89"/>
      <c r="BI40" s="109"/>
      <c r="BJ40" s="87"/>
      <c r="BK40" s="87"/>
      <c r="BL40" s="87"/>
      <c r="BM40" s="87"/>
      <c r="BN40" s="87"/>
      <c r="BO40" s="87"/>
      <c r="BP40" s="87"/>
      <c r="BQ40" s="87"/>
      <c r="BR40" s="89"/>
      <c r="BS40" s="38"/>
      <c r="BT40" s="38"/>
    </row>
    <row r="41" spans="1:72" s="39" customFormat="1" ht="9" customHeight="1" x14ac:dyDescent="0.25">
      <c r="A41" s="37"/>
      <c r="B41" s="87"/>
      <c r="C41" s="87"/>
      <c r="D41" s="87"/>
      <c r="E41" s="87"/>
      <c r="F41" s="87"/>
      <c r="G41" s="87"/>
      <c r="H41" s="87"/>
      <c r="I41" s="87"/>
      <c r="J41" s="89"/>
      <c r="K41" s="109"/>
      <c r="L41" s="87"/>
      <c r="M41" s="87"/>
      <c r="N41" s="87"/>
      <c r="O41" s="87"/>
      <c r="P41" s="87"/>
      <c r="Q41" s="87"/>
      <c r="R41" s="87"/>
      <c r="S41" s="87"/>
      <c r="T41" s="89"/>
      <c r="U41" s="92"/>
      <c r="V41" s="87"/>
      <c r="W41" s="87"/>
      <c r="X41" s="87"/>
      <c r="Y41" s="87"/>
      <c r="Z41" s="87"/>
      <c r="AA41" s="87"/>
      <c r="AB41" s="87"/>
      <c r="AC41" s="87"/>
      <c r="AD41" s="89"/>
      <c r="AE41" s="109"/>
      <c r="AF41" s="87"/>
      <c r="AG41" s="87"/>
      <c r="AH41" s="87"/>
      <c r="AI41" s="87"/>
      <c r="AJ41" s="87"/>
      <c r="AK41" s="87"/>
      <c r="AL41" s="87"/>
      <c r="AM41" s="87"/>
      <c r="AN41" s="89"/>
      <c r="AO41" s="108"/>
      <c r="AP41" s="87"/>
      <c r="AQ41" s="87"/>
      <c r="AR41" s="87"/>
      <c r="AS41" s="87"/>
      <c r="AT41" s="87"/>
      <c r="AU41" s="87"/>
      <c r="AV41" s="87"/>
      <c r="AW41" s="87"/>
      <c r="AX41" s="89"/>
      <c r="AY41" s="108"/>
      <c r="AZ41" s="87"/>
      <c r="BA41" s="87"/>
      <c r="BB41" s="87"/>
      <c r="BC41" s="87"/>
      <c r="BD41" s="87"/>
      <c r="BE41" s="87"/>
      <c r="BF41" s="87"/>
      <c r="BG41" s="87"/>
      <c r="BH41" s="89"/>
      <c r="BI41" s="109"/>
      <c r="BJ41" s="87"/>
      <c r="BK41" s="87"/>
      <c r="BL41" s="87"/>
      <c r="BM41" s="87"/>
      <c r="BN41" s="87"/>
      <c r="BO41" s="87"/>
      <c r="BP41" s="87"/>
      <c r="BQ41" s="87"/>
      <c r="BR41" s="89"/>
      <c r="BS41" s="38"/>
      <c r="BT41" s="38"/>
    </row>
    <row r="42" spans="1:72" s="39" customFormat="1" ht="9" customHeight="1" x14ac:dyDescent="0.25">
      <c r="A42" s="37"/>
      <c r="B42" s="87"/>
      <c r="C42" s="87"/>
      <c r="D42" s="87"/>
      <c r="E42" s="87"/>
      <c r="F42" s="87"/>
      <c r="G42" s="87"/>
      <c r="H42" s="87"/>
      <c r="I42" s="87"/>
      <c r="J42" s="89"/>
      <c r="K42" s="109"/>
      <c r="L42" s="87"/>
      <c r="M42" s="87"/>
      <c r="N42" s="87"/>
      <c r="O42" s="87"/>
      <c r="P42" s="87"/>
      <c r="Q42" s="87"/>
      <c r="R42" s="87"/>
      <c r="S42" s="87"/>
      <c r="T42" s="89"/>
      <c r="U42" s="92"/>
      <c r="V42" s="87"/>
      <c r="W42" s="87"/>
      <c r="X42" s="87"/>
      <c r="Y42" s="87"/>
      <c r="Z42" s="87"/>
      <c r="AA42" s="87"/>
      <c r="AB42" s="87"/>
      <c r="AC42" s="87"/>
      <c r="AD42" s="89"/>
      <c r="AE42" s="109"/>
      <c r="AF42" s="87"/>
      <c r="AG42" s="87"/>
      <c r="AH42" s="87"/>
      <c r="AI42" s="87"/>
      <c r="AJ42" s="87"/>
      <c r="AK42" s="87"/>
      <c r="AL42" s="87"/>
      <c r="AM42" s="87"/>
      <c r="AN42" s="89"/>
      <c r="AO42" s="108"/>
      <c r="AP42" s="87"/>
      <c r="AQ42" s="87"/>
      <c r="AR42" s="87"/>
      <c r="AS42" s="87"/>
      <c r="AT42" s="87"/>
      <c r="AU42" s="87"/>
      <c r="AV42" s="87"/>
      <c r="AW42" s="87"/>
      <c r="AX42" s="89"/>
      <c r="AY42" s="108"/>
      <c r="AZ42" s="87"/>
      <c r="BA42" s="87"/>
      <c r="BB42" s="87"/>
      <c r="BC42" s="87"/>
      <c r="BD42" s="87"/>
      <c r="BE42" s="87"/>
      <c r="BF42" s="87"/>
      <c r="BG42" s="87"/>
      <c r="BH42" s="89"/>
      <c r="BI42" s="109"/>
      <c r="BJ42" s="87"/>
      <c r="BK42" s="87"/>
      <c r="BL42" s="87"/>
      <c r="BM42" s="87"/>
      <c r="BN42" s="87"/>
      <c r="BO42" s="87"/>
      <c r="BP42" s="87"/>
      <c r="BQ42" s="87"/>
      <c r="BR42" s="89"/>
      <c r="BS42" s="38"/>
      <c r="BT42" s="38"/>
    </row>
    <row r="43" spans="1:72" s="39" customFormat="1" ht="9" customHeight="1" x14ac:dyDescent="0.25">
      <c r="A43" s="37"/>
      <c r="B43" s="87"/>
      <c r="C43" s="87"/>
      <c r="D43" s="87"/>
      <c r="E43" s="87"/>
      <c r="F43" s="87"/>
      <c r="G43" s="87"/>
      <c r="H43" s="87"/>
      <c r="I43" s="87"/>
      <c r="J43" s="89"/>
      <c r="K43" s="109"/>
      <c r="L43" s="87"/>
      <c r="M43" s="87"/>
      <c r="N43" s="87"/>
      <c r="O43" s="87"/>
      <c r="P43" s="87"/>
      <c r="Q43" s="87"/>
      <c r="R43" s="87"/>
      <c r="S43" s="87"/>
      <c r="T43" s="89"/>
      <c r="U43" s="92"/>
      <c r="V43" s="87"/>
      <c r="W43" s="87"/>
      <c r="X43" s="87"/>
      <c r="Y43" s="87"/>
      <c r="Z43" s="87"/>
      <c r="AA43" s="87"/>
      <c r="AB43" s="87"/>
      <c r="AC43" s="87"/>
      <c r="AD43" s="89"/>
      <c r="AE43" s="109"/>
      <c r="AF43" s="87"/>
      <c r="AG43" s="87"/>
      <c r="AH43" s="87"/>
      <c r="AI43" s="87"/>
      <c r="AJ43" s="87"/>
      <c r="AK43" s="87"/>
      <c r="AL43" s="87"/>
      <c r="AM43" s="87"/>
      <c r="AN43" s="89"/>
      <c r="AO43" s="108"/>
      <c r="AP43" s="87"/>
      <c r="AQ43" s="87"/>
      <c r="AR43" s="87"/>
      <c r="AS43" s="87"/>
      <c r="AT43" s="87"/>
      <c r="AU43" s="87"/>
      <c r="AV43" s="87"/>
      <c r="AW43" s="87"/>
      <c r="AX43" s="89"/>
      <c r="AY43" s="108"/>
      <c r="AZ43" s="87"/>
      <c r="BA43" s="87"/>
      <c r="BB43" s="87"/>
      <c r="BC43" s="87"/>
      <c r="BD43" s="87"/>
      <c r="BE43" s="87"/>
      <c r="BF43" s="87"/>
      <c r="BG43" s="87"/>
      <c r="BH43" s="89"/>
      <c r="BI43" s="109"/>
      <c r="BJ43" s="87"/>
      <c r="BK43" s="87"/>
      <c r="BL43" s="87"/>
      <c r="BM43" s="87"/>
      <c r="BN43" s="87"/>
      <c r="BO43" s="87"/>
      <c r="BP43" s="87"/>
      <c r="BQ43" s="87"/>
      <c r="BR43" s="89"/>
      <c r="BS43" s="38"/>
      <c r="BT43" s="38"/>
    </row>
    <row r="44" spans="1:72" s="39" customFormat="1" ht="9" customHeight="1" x14ac:dyDescent="0.25">
      <c r="A44" s="37"/>
      <c r="B44" s="87"/>
      <c r="C44" s="87"/>
      <c r="D44" s="87"/>
      <c r="E44" s="87"/>
      <c r="F44" s="87"/>
      <c r="G44" s="87"/>
      <c r="H44" s="87"/>
      <c r="I44" s="87"/>
      <c r="J44" s="89"/>
      <c r="K44" s="109"/>
      <c r="L44" s="87"/>
      <c r="M44" s="87"/>
      <c r="N44" s="87"/>
      <c r="O44" s="87"/>
      <c r="P44" s="87"/>
      <c r="Q44" s="87"/>
      <c r="R44" s="87"/>
      <c r="S44" s="87"/>
      <c r="T44" s="89"/>
      <c r="U44" s="92"/>
      <c r="V44" s="87"/>
      <c r="W44" s="87"/>
      <c r="X44" s="87"/>
      <c r="Y44" s="87"/>
      <c r="Z44" s="87"/>
      <c r="AA44" s="87"/>
      <c r="AB44" s="87"/>
      <c r="AC44" s="87"/>
      <c r="AD44" s="89"/>
      <c r="AE44" s="109"/>
      <c r="AF44" s="87"/>
      <c r="AG44" s="87"/>
      <c r="AH44" s="87"/>
      <c r="AI44" s="87"/>
      <c r="AJ44" s="87"/>
      <c r="AK44" s="87"/>
      <c r="AL44" s="87"/>
      <c r="AM44" s="87"/>
      <c r="AN44" s="89"/>
      <c r="AO44" s="108"/>
      <c r="AP44" s="87"/>
      <c r="AQ44" s="87"/>
      <c r="AR44" s="87"/>
      <c r="AS44" s="87"/>
      <c r="AT44" s="87"/>
      <c r="AU44" s="87"/>
      <c r="AV44" s="87"/>
      <c r="AW44" s="87"/>
      <c r="AX44" s="89"/>
      <c r="AY44" s="108"/>
      <c r="AZ44" s="87"/>
      <c r="BA44" s="87"/>
      <c r="BB44" s="87"/>
      <c r="BC44" s="87"/>
      <c r="BD44" s="87"/>
      <c r="BE44" s="87"/>
      <c r="BF44" s="87"/>
      <c r="BG44" s="87"/>
      <c r="BH44" s="89"/>
      <c r="BI44" s="109"/>
      <c r="BJ44" s="87"/>
      <c r="BK44" s="87"/>
      <c r="BL44" s="87"/>
      <c r="BM44" s="87"/>
      <c r="BN44" s="87"/>
      <c r="BO44" s="87"/>
      <c r="BP44" s="87"/>
      <c r="BQ44" s="87"/>
      <c r="BR44" s="89"/>
      <c r="BS44" s="38"/>
      <c r="BT44" s="38"/>
    </row>
    <row r="45" spans="1:72" s="39" customFormat="1" ht="9" customHeight="1" x14ac:dyDescent="0.25">
      <c r="A45" s="37"/>
      <c r="B45" s="96"/>
      <c r="C45" s="96"/>
      <c r="D45" s="96"/>
      <c r="E45" s="96"/>
      <c r="F45" s="96"/>
      <c r="G45" s="96"/>
      <c r="H45" s="96"/>
      <c r="I45" s="96"/>
      <c r="J45" s="97"/>
      <c r="K45" s="109"/>
      <c r="L45" s="96"/>
      <c r="M45" s="96"/>
      <c r="N45" s="96"/>
      <c r="O45" s="96"/>
      <c r="P45" s="96"/>
      <c r="Q45" s="96"/>
      <c r="R45" s="96"/>
      <c r="S45" s="96"/>
      <c r="T45" s="97"/>
      <c r="U45" s="92"/>
      <c r="V45" s="96"/>
      <c r="W45" s="96"/>
      <c r="X45" s="96"/>
      <c r="Y45" s="96"/>
      <c r="Z45" s="96"/>
      <c r="AA45" s="96"/>
      <c r="AB45" s="96"/>
      <c r="AC45" s="96"/>
      <c r="AD45" s="97"/>
      <c r="AE45" s="109"/>
      <c r="AF45" s="96"/>
      <c r="AG45" s="96"/>
      <c r="AH45" s="96"/>
      <c r="AI45" s="96"/>
      <c r="AJ45" s="96"/>
      <c r="AK45" s="96"/>
      <c r="AL45" s="96"/>
      <c r="AM45" s="96"/>
      <c r="AN45" s="97"/>
      <c r="AO45" s="108"/>
      <c r="AP45" s="96"/>
      <c r="AQ45" s="96"/>
      <c r="AR45" s="96"/>
      <c r="AS45" s="96"/>
      <c r="AT45" s="96"/>
      <c r="AU45" s="96"/>
      <c r="AV45" s="96"/>
      <c r="AW45" s="96"/>
      <c r="AX45" s="97"/>
      <c r="AY45" s="109"/>
      <c r="AZ45" s="96"/>
      <c r="BA45" s="96"/>
      <c r="BB45" s="96"/>
      <c r="BC45" s="96"/>
      <c r="BD45" s="96"/>
      <c r="BE45" s="96"/>
      <c r="BF45" s="96"/>
      <c r="BG45" s="96"/>
      <c r="BH45" s="97"/>
      <c r="BI45" s="109"/>
      <c r="BJ45" s="113"/>
      <c r="BK45" s="114"/>
      <c r="BL45" s="114"/>
      <c r="BM45" s="114"/>
      <c r="BN45" s="114"/>
      <c r="BO45" s="114"/>
      <c r="BP45" s="114"/>
      <c r="BQ45" s="114"/>
      <c r="BR45" s="115"/>
      <c r="BS45" s="38"/>
      <c r="BT45" s="38"/>
    </row>
    <row r="46" spans="1:72" s="39" customFormat="1" ht="9" customHeight="1" x14ac:dyDescent="0.25">
      <c r="A46" s="37"/>
      <c r="B46" s="87"/>
      <c r="C46" s="87"/>
      <c r="D46" s="87"/>
      <c r="E46" s="87"/>
      <c r="F46" s="87"/>
      <c r="G46" s="87"/>
      <c r="H46" s="87"/>
      <c r="I46" s="87"/>
      <c r="J46" s="89"/>
      <c r="K46" s="109"/>
      <c r="L46" s="87"/>
      <c r="M46" s="87"/>
      <c r="N46" s="87"/>
      <c r="O46" s="87"/>
      <c r="P46" s="87"/>
      <c r="Q46" s="87"/>
      <c r="R46" s="87"/>
      <c r="S46" s="87"/>
      <c r="T46" s="89"/>
      <c r="U46" s="92"/>
      <c r="V46" s="87"/>
      <c r="W46" s="87"/>
      <c r="X46" s="87"/>
      <c r="Y46" s="87"/>
      <c r="Z46" s="87"/>
      <c r="AA46" s="87"/>
      <c r="AB46" s="87"/>
      <c r="AC46" s="87"/>
      <c r="AD46" s="89"/>
      <c r="AE46" s="109"/>
      <c r="AF46" s="87"/>
      <c r="AG46" s="87"/>
      <c r="AH46" s="87"/>
      <c r="AI46" s="87"/>
      <c r="AJ46" s="87"/>
      <c r="AK46" s="87"/>
      <c r="AL46" s="87"/>
      <c r="AM46" s="87"/>
      <c r="AN46" s="89"/>
      <c r="AO46" s="106"/>
      <c r="AP46" s="88"/>
      <c r="AQ46" s="87"/>
      <c r="AR46" s="87"/>
      <c r="AS46" s="87"/>
      <c r="AT46" s="87"/>
      <c r="AU46" s="87"/>
      <c r="AV46" s="87"/>
      <c r="AW46" s="87"/>
      <c r="AX46" s="89"/>
      <c r="AY46" s="109"/>
      <c r="AZ46" s="87"/>
      <c r="BA46" s="87"/>
      <c r="BB46" s="87"/>
      <c r="BC46" s="87"/>
      <c r="BD46" s="87"/>
      <c r="BE46" s="87"/>
      <c r="BF46" s="87"/>
      <c r="BG46" s="87"/>
      <c r="BH46" s="89"/>
      <c r="BI46" s="109"/>
      <c r="BJ46" s="489" t="s">
        <v>520</v>
      </c>
      <c r="BK46" s="490"/>
      <c r="BL46" s="490"/>
      <c r="BM46" s="490"/>
      <c r="BN46" s="490"/>
      <c r="BO46" s="490"/>
      <c r="BP46" s="490"/>
      <c r="BQ46" s="490"/>
      <c r="BR46" s="491"/>
      <c r="BS46" s="38"/>
      <c r="BT46" s="38"/>
    </row>
    <row r="47" spans="1:72" s="39" customFormat="1" ht="9" customHeight="1" x14ac:dyDescent="0.25">
      <c r="B47" s="555" t="s">
        <v>515</v>
      </c>
      <c r="C47" s="555"/>
      <c r="D47" s="555"/>
      <c r="E47" s="555"/>
      <c r="F47" s="555"/>
      <c r="G47" s="493">
        <f>CEILING(4455*B5,1)</f>
        <v>6237</v>
      </c>
      <c r="H47" s="493"/>
      <c r="I47" s="493"/>
      <c r="J47" s="493"/>
      <c r="K47" s="227"/>
      <c r="L47" s="555" t="s">
        <v>516</v>
      </c>
      <c r="M47" s="555"/>
      <c r="N47" s="555"/>
      <c r="O47" s="555"/>
      <c r="P47" s="555"/>
      <c r="Q47" s="493">
        <f>CEILING(4529*B5,1)</f>
        <v>6341</v>
      </c>
      <c r="R47" s="493"/>
      <c r="S47" s="493"/>
      <c r="T47" s="493"/>
      <c r="U47" s="223"/>
      <c r="V47" s="492" t="s">
        <v>427</v>
      </c>
      <c r="W47" s="492"/>
      <c r="X47" s="492"/>
      <c r="Y47" s="492"/>
      <c r="Z47" s="492"/>
      <c r="AA47" s="493">
        <f>CEILING(4931*B5,1)</f>
        <v>6904</v>
      </c>
      <c r="AB47" s="493"/>
      <c r="AC47" s="493"/>
      <c r="AD47" s="493"/>
      <c r="AE47" s="227"/>
      <c r="AF47" s="555" t="s">
        <v>756</v>
      </c>
      <c r="AG47" s="555"/>
      <c r="AH47" s="555"/>
      <c r="AI47" s="555"/>
      <c r="AJ47" s="555"/>
      <c r="AK47" s="493">
        <f>CEILING(6338*B5,1)</f>
        <v>8874</v>
      </c>
      <c r="AL47" s="493"/>
      <c r="AM47" s="493"/>
      <c r="AN47" s="493"/>
      <c r="AO47" s="227"/>
      <c r="AP47" s="555" t="s">
        <v>757</v>
      </c>
      <c r="AQ47" s="555"/>
      <c r="AR47" s="555"/>
      <c r="AS47" s="555"/>
      <c r="AT47" s="555"/>
      <c r="AU47" s="493">
        <f>CEILING(11619*B5,1)</f>
        <v>16267</v>
      </c>
      <c r="AV47" s="493"/>
      <c r="AW47" s="493"/>
      <c r="AX47" s="493"/>
      <c r="AY47" s="227"/>
      <c r="AZ47" s="555" t="s">
        <v>758</v>
      </c>
      <c r="BA47" s="555"/>
      <c r="BB47" s="555"/>
      <c r="BC47" s="555"/>
      <c r="BD47" s="555"/>
      <c r="BE47" s="493">
        <f>CEILING(16900*B5,1)</f>
        <v>23660</v>
      </c>
      <c r="BF47" s="493"/>
      <c r="BG47" s="493"/>
      <c r="BH47" s="493"/>
      <c r="BI47" s="227"/>
      <c r="BJ47" s="555" t="s">
        <v>757</v>
      </c>
      <c r="BK47" s="555"/>
      <c r="BL47" s="555"/>
      <c r="BM47" s="555"/>
      <c r="BN47" s="555"/>
      <c r="BO47" s="493">
        <f>CEILING(11005*B5,1)</f>
        <v>15407</v>
      </c>
      <c r="BP47" s="493"/>
      <c r="BQ47" s="493"/>
      <c r="BR47" s="493"/>
      <c r="BS47" s="38"/>
      <c r="BT47" s="38"/>
    </row>
    <row r="48" spans="1:72" s="23" customFormat="1" ht="1.5" customHeight="1" x14ac:dyDescent="0.25"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94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26"/>
      <c r="BT48" s="26"/>
    </row>
    <row r="49" spans="1:72" s="23" customFormat="1" ht="9" customHeight="1" x14ac:dyDescent="0.25">
      <c r="B49" s="474" t="s">
        <v>521</v>
      </c>
      <c r="C49" s="475"/>
      <c r="D49" s="476"/>
      <c r="E49" s="505" t="s">
        <v>522</v>
      </c>
      <c r="F49" s="505"/>
      <c r="G49" s="505"/>
      <c r="H49" s="505"/>
      <c r="I49" s="505"/>
      <c r="J49" s="506"/>
      <c r="K49" s="87"/>
      <c r="L49" s="474" t="s">
        <v>523</v>
      </c>
      <c r="M49" s="475"/>
      <c r="N49" s="476"/>
      <c r="O49" s="505" t="s">
        <v>522</v>
      </c>
      <c r="P49" s="505"/>
      <c r="Q49" s="505"/>
      <c r="R49" s="505"/>
      <c r="S49" s="505"/>
      <c r="T49" s="506"/>
      <c r="U49" s="87"/>
      <c r="V49" s="474" t="s">
        <v>524</v>
      </c>
      <c r="W49" s="475"/>
      <c r="X49" s="476"/>
      <c r="Y49" s="505" t="s">
        <v>525</v>
      </c>
      <c r="Z49" s="505"/>
      <c r="AA49" s="505"/>
      <c r="AB49" s="505"/>
      <c r="AC49" s="505"/>
      <c r="AD49" s="506"/>
      <c r="AE49" s="87"/>
      <c r="AF49" s="474" t="s">
        <v>526</v>
      </c>
      <c r="AG49" s="475"/>
      <c r="AH49" s="476"/>
      <c r="AI49" s="505" t="s">
        <v>525</v>
      </c>
      <c r="AJ49" s="505"/>
      <c r="AK49" s="505"/>
      <c r="AL49" s="505"/>
      <c r="AM49" s="505"/>
      <c r="AN49" s="506"/>
      <c r="AO49" s="87"/>
      <c r="AP49" s="474" t="s">
        <v>527</v>
      </c>
      <c r="AQ49" s="475"/>
      <c r="AR49" s="476"/>
      <c r="AS49" s="505" t="s">
        <v>491</v>
      </c>
      <c r="AT49" s="505"/>
      <c r="AU49" s="505"/>
      <c r="AV49" s="505"/>
      <c r="AW49" s="505"/>
      <c r="AX49" s="506"/>
      <c r="AY49" s="87"/>
      <c r="AZ49" s="474" t="s">
        <v>528</v>
      </c>
      <c r="BA49" s="475"/>
      <c r="BB49" s="476"/>
      <c r="BC49" s="505" t="s">
        <v>491</v>
      </c>
      <c r="BD49" s="505"/>
      <c r="BE49" s="505"/>
      <c r="BF49" s="505"/>
      <c r="BG49" s="505"/>
      <c r="BH49" s="506"/>
      <c r="BI49" s="87"/>
      <c r="BJ49" s="474" t="s">
        <v>529</v>
      </c>
      <c r="BK49" s="475"/>
      <c r="BL49" s="476"/>
      <c r="BM49" s="505" t="s">
        <v>400</v>
      </c>
      <c r="BN49" s="505"/>
      <c r="BO49" s="505"/>
      <c r="BP49" s="505"/>
      <c r="BQ49" s="505"/>
      <c r="BR49" s="506"/>
      <c r="BS49" s="26"/>
      <c r="BT49" s="26"/>
    </row>
    <row r="50" spans="1:72" s="32" customFormat="1" ht="9" customHeight="1" x14ac:dyDescent="0.25">
      <c r="B50" s="116"/>
      <c r="C50" s="96"/>
      <c r="D50" s="96"/>
      <c r="E50" s="96"/>
      <c r="F50" s="96"/>
      <c r="G50" s="96"/>
      <c r="H50" s="96"/>
      <c r="I50" s="96"/>
      <c r="J50" s="97"/>
      <c r="K50" s="90"/>
      <c r="L50" s="116"/>
      <c r="M50" s="96"/>
      <c r="N50" s="96"/>
      <c r="O50" s="96"/>
      <c r="P50" s="96"/>
      <c r="Q50" s="96"/>
      <c r="R50" s="96"/>
      <c r="S50" s="96"/>
      <c r="T50" s="97"/>
      <c r="U50" s="90"/>
      <c r="V50" s="116"/>
      <c r="W50" s="96"/>
      <c r="X50" s="96"/>
      <c r="Y50" s="96"/>
      <c r="Z50" s="96"/>
      <c r="AA50" s="96"/>
      <c r="AB50" s="96"/>
      <c r="AC50" s="96"/>
      <c r="AD50" s="97"/>
      <c r="AE50" s="90"/>
      <c r="AF50" s="116"/>
      <c r="AG50" s="96"/>
      <c r="AH50" s="96"/>
      <c r="AI50" s="96"/>
      <c r="AJ50" s="96"/>
      <c r="AK50" s="96"/>
      <c r="AL50" s="96"/>
      <c r="AM50" s="96"/>
      <c r="AN50" s="97"/>
      <c r="AO50" s="90"/>
      <c r="AP50" s="489" t="s">
        <v>530</v>
      </c>
      <c r="AQ50" s="490"/>
      <c r="AR50" s="490"/>
      <c r="AS50" s="490"/>
      <c r="AT50" s="490"/>
      <c r="AU50" s="490"/>
      <c r="AV50" s="490"/>
      <c r="AW50" s="490"/>
      <c r="AX50" s="491"/>
      <c r="AY50" s="90"/>
      <c r="AZ50" s="489" t="s">
        <v>530</v>
      </c>
      <c r="BA50" s="490"/>
      <c r="BB50" s="490"/>
      <c r="BC50" s="490"/>
      <c r="BD50" s="490"/>
      <c r="BE50" s="490"/>
      <c r="BF50" s="490"/>
      <c r="BG50" s="490"/>
      <c r="BH50" s="491"/>
      <c r="BI50" s="90"/>
      <c r="BJ50" s="489" t="s">
        <v>530</v>
      </c>
      <c r="BK50" s="490"/>
      <c r="BL50" s="490"/>
      <c r="BM50" s="490"/>
      <c r="BN50" s="490"/>
      <c r="BO50" s="490"/>
      <c r="BP50" s="490"/>
      <c r="BQ50" s="490"/>
      <c r="BR50" s="491"/>
      <c r="BS50" s="34"/>
      <c r="BT50" s="34"/>
    </row>
    <row r="51" spans="1:72" s="32" customFormat="1" ht="9" customHeight="1" x14ac:dyDescent="0.25">
      <c r="B51" s="103"/>
      <c r="C51" s="90"/>
      <c r="D51" s="90"/>
      <c r="E51" s="90"/>
      <c r="F51" s="90"/>
      <c r="G51" s="90"/>
      <c r="H51" s="90"/>
      <c r="I51" s="90"/>
      <c r="J51" s="91"/>
      <c r="K51" s="90"/>
      <c r="L51" s="103"/>
      <c r="M51" s="90"/>
      <c r="N51" s="90"/>
      <c r="O51" s="90"/>
      <c r="P51" s="90"/>
      <c r="Q51" s="90"/>
      <c r="R51" s="90"/>
      <c r="S51" s="90"/>
      <c r="T51" s="91"/>
      <c r="U51" s="90"/>
      <c r="V51" s="103"/>
      <c r="W51" s="90"/>
      <c r="X51" s="90"/>
      <c r="Y51" s="90"/>
      <c r="Z51" s="90"/>
      <c r="AA51" s="90"/>
      <c r="AB51" s="90"/>
      <c r="AC51" s="90"/>
      <c r="AD51" s="91"/>
      <c r="AE51" s="90"/>
      <c r="AF51" s="103"/>
      <c r="AG51" s="90"/>
      <c r="AH51" s="90"/>
      <c r="AI51" s="90"/>
      <c r="AJ51" s="90"/>
      <c r="AK51" s="90"/>
      <c r="AL51" s="90"/>
      <c r="AM51" s="90"/>
      <c r="AN51" s="91"/>
      <c r="AO51" s="90"/>
      <c r="AP51" s="103"/>
      <c r="AQ51" s="90"/>
      <c r="AR51" s="90"/>
      <c r="AS51" s="90"/>
      <c r="AT51" s="90"/>
      <c r="AU51" s="90"/>
      <c r="AV51" s="90"/>
      <c r="AW51" s="90"/>
      <c r="AX51" s="91"/>
      <c r="AY51" s="90"/>
      <c r="AZ51" s="103"/>
      <c r="BA51" s="90"/>
      <c r="BB51" s="90"/>
      <c r="BC51" s="90"/>
      <c r="BD51" s="90"/>
      <c r="BE51" s="90"/>
      <c r="BF51" s="90"/>
      <c r="BG51" s="90"/>
      <c r="BH51" s="91"/>
      <c r="BI51" s="90"/>
      <c r="BJ51" s="103"/>
      <c r="BK51" s="90"/>
      <c r="BL51" s="90"/>
      <c r="BM51" s="90"/>
      <c r="BN51" s="90"/>
      <c r="BO51" s="90"/>
      <c r="BP51" s="90"/>
      <c r="BQ51" s="90"/>
      <c r="BR51" s="91"/>
      <c r="BS51" s="34"/>
      <c r="BT51" s="34"/>
    </row>
    <row r="52" spans="1:72" s="32" customFormat="1" ht="9" customHeight="1" x14ac:dyDescent="0.25">
      <c r="B52" s="103"/>
      <c r="C52" s="90"/>
      <c r="D52" s="90"/>
      <c r="E52" s="90"/>
      <c r="F52" s="90"/>
      <c r="G52" s="90"/>
      <c r="H52" s="90"/>
      <c r="I52" s="90"/>
      <c r="J52" s="91"/>
      <c r="K52" s="90"/>
      <c r="L52" s="103"/>
      <c r="M52" s="90"/>
      <c r="N52" s="90"/>
      <c r="O52" s="90"/>
      <c r="P52" s="90"/>
      <c r="Q52" s="90"/>
      <c r="R52" s="90"/>
      <c r="S52" s="90"/>
      <c r="T52" s="91"/>
      <c r="U52" s="90"/>
      <c r="V52" s="103"/>
      <c r="W52" s="90"/>
      <c r="X52" s="90"/>
      <c r="Y52" s="90"/>
      <c r="Z52" s="90"/>
      <c r="AA52" s="90"/>
      <c r="AB52" s="90"/>
      <c r="AC52" s="90"/>
      <c r="AD52" s="91"/>
      <c r="AE52" s="90"/>
      <c r="AF52" s="103"/>
      <c r="AG52" s="90"/>
      <c r="AH52" s="90"/>
      <c r="AI52" s="90"/>
      <c r="AJ52" s="90"/>
      <c r="AK52" s="90"/>
      <c r="AL52" s="90"/>
      <c r="AM52" s="90"/>
      <c r="AN52" s="91"/>
      <c r="AO52" s="90"/>
      <c r="AP52" s="103"/>
      <c r="AQ52" s="90"/>
      <c r="AR52" s="90"/>
      <c r="AS52" s="90"/>
      <c r="AT52" s="90"/>
      <c r="AU52" s="90"/>
      <c r="AV52" s="90"/>
      <c r="AW52" s="90"/>
      <c r="AX52" s="91"/>
      <c r="AY52" s="90"/>
      <c r="AZ52" s="103"/>
      <c r="BA52" s="90"/>
      <c r="BB52" s="90"/>
      <c r="BC52" s="90"/>
      <c r="BD52" s="90"/>
      <c r="BE52" s="90"/>
      <c r="BF52" s="90"/>
      <c r="BG52" s="90"/>
      <c r="BH52" s="91"/>
      <c r="BI52" s="90"/>
      <c r="BJ52" s="103"/>
      <c r="BK52" s="90"/>
      <c r="BL52" s="90"/>
      <c r="BM52" s="90"/>
      <c r="BN52" s="90"/>
      <c r="BO52" s="90"/>
      <c r="BP52" s="90"/>
      <c r="BQ52" s="90"/>
      <c r="BR52" s="91"/>
      <c r="BS52" s="34"/>
      <c r="BT52" s="34"/>
    </row>
    <row r="53" spans="1:72" s="23" customFormat="1" ht="9" customHeight="1" x14ac:dyDescent="0.25">
      <c r="B53" s="88"/>
      <c r="C53" s="87"/>
      <c r="D53" s="87"/>
      <c r="E53" s="87"/>
      <c r="F53" s="87"/>
      <c r="G53" s="87"/>
      <c r="H53" s="87"/>
      <c r="I53" s="87"/>
      <c r="J53" s="89"/>
      <c r="K53" s="87"/>
      <c r="L53" s="88"/>
      <c r="M53" s="87"/>
      <c r="N53" s="87"/>
      <c r="O53" s="87"/>
      <c r="P53" s="87"/>
      <c r="Q53" s="87"/>
      <c r="R53" s="87"/>
      <c r="S53" s="87"/>
      <c r="T53" s="89"/>
      <c r="U53" s="87"/>
      <c r="V53" s="88"/>
      <c r="W53" s="87"/>
      <c r="X53" s="87"/>
      <c r="Y53" s="87"/>
      <c r="Z53" s="87"/>
      <c r="AA53" s="87"/>
      <c r="AB53" s="87"/>
      <c r="AC53" s="87"/>
      <c r="AD53" s="89"/>
      <c r="AE53" s="87"/>
      <c r="AF53" s="88"/>
      <c r="AG53" s="87"/>
      <c r="AH53" s="87"/>
      <c r="AI53" s="87"/>
      <c r="AJ53" s="87"/>
      <c r="AK53" s="87"/>
      <c r="AL53" s="87"/>
      <c r="AM53" s="87"/>
      <c r="AN53" s="89"/>
      <c r="AO53" s="87"/>
      <c r="AP53" s="88"/>
      <c r="AQ53" s="87"/>
      <c r="AR53" s="87"/>
      <c r="AS53" s="87"/>
      <c r="AT53" s="87"/>
      <c r="AU53" s="87"/>
      <c r="AV53" s="87"/>
      <c r="AW53" s="87"/>
      <c r="AX53" s="89"/>
      <c r="AY53" s="87"/>
      <c r="AZ53" s="88"/>
      <c r="BA53" s="87"/>
      <c r="BB53" s="87"/>
      <c r="BC53" s="87"/>
      <c r="BD53" s="87"/>
      <c r="BE53" s="87"/>
      <c r="BF53" s="87"/>
      <c r="BG53" s="87"/>
      <c r="BH53" s="89"/>
      <c r="BI53" s="87"/>
      <c r="BJ53" s="88"/>
      <c r="BK53" s="87"/>
      <c r="BL53" s="87"/>
      <c r="BM53" s="87"/>
      <c r="BN53" s="87"/>
      <c r="BO53" s="87"/>
      <c r="BP53" s="87"/>
      <c r="BQ53" s="87"/>
      <c r="BR53" s="89"/>
      <c r="BS53" s="26"/>
      <c r="BT53" s="26"/>
    </row>
    <row r="54" spans="1:72" s="39" customFormat="1" ht="9" customHeight="1" x14ac:dyDescent="0.25">
      <c r="B54" s="107"/>
      <c r="C54" s="106"/>
      <c r="D54" s="106"/>
      <c r="E54" s="106"/>
      <c r="F54" s="106"/>
      <c r="G54" s="106"/>
      <c r="H54" s="106"/>
      <c r="I54" s="106"/>
      <c r="J54" s="108"/>
      <c r="K54" s="106"/>
      <c r="L54" s="107"/>
      <c r="M54" s="106"/>
      <c r="N54" s="106"/>
      <c r="O54" s="106"/>
      <c r="P54" s="106"/>
      <c r="Q54" s="106"/>
      <c r="R54" s="106"/>
      <c r="S54" s="106"/>
      <c r="T54" s="108"/>
      <c r="U54" s="106"/>
      <c r="V54" s="107"/>
      <c r="W54" s="106"/>
      <c r="X54" s="106"/>
      <c r="Y54" s="106"/>
      <c r="Z54" s="106"/>
      <c r="AA54" s="106"/>
      <c r="AB54" s="106"/>
      <c r="AC54" s="106"/>
      <c r="AD54" s="108"/>
      <c r="AE54" s="106"/>
      <c r="AF54" s="107"/>
      <c r="AG54" s="106"/>
      <c r="AH54" s="106"/>
      <c r="AI54" s="106"/>
      <c r="AJ54" s="106"/>
      <c r="AK54" s="106"/>
      <c r="AL54" s="106"/>
      <c r="AM54" s="106"/>
      <c r="AN54" s="108"/>
      <c r="AO54" s="106"/>
      <c r="AP54" s="107"/>
      <c r="AQ54" s="106"/>
      <c r="AR54" s="106"/>
      <c r="AS54" s="106"/>
      <c r="AT54" s="106"/>
      <c r="AU54" s="106"/>
      <c r="AV54" s="106"/>
      <c r="AW54" s="106"/>
      <c r="AX54" s="108"/>
      <c r="AY54" s="106"/>
      <c r="AZ54" s="107"/>
      <c r="BA54" s="106"/>
      <c r="BB54" s="106"/>
      <c r="BC54" s="106"/>
      <c r="BD54" s="106"/>
      <c r="BE54" s="106"/>
      <c r="BF54" s="106"/>
      <c r="BG54" s="106"/>
      <c r="BH54" s="108"/>
      <c r="BI54" s="106"/>
      <c r="BJ54" s="107"/>
      <c r="BK54" s="106"/>
      <c r="BL54" s="106"/>
      <c r="BM54" s="106"/>
      <c r="BN54" s="106"/>
      <c r="BO54" s="106"/>
      <c r="BP54" s="106"/>
      <c r="BQ54" s="106"/>
      <c r="BR54" s="108"/>
      <c r="BS54" s="38"/>
      <c r="BT54" s="38"/>
    </row>
    <row r="55" spans="1:72" s="39" customFormat="1" ht="9" customHeight="1" x14ac:dyDescent="0.25">
      <c r="B55" s="107"/>
      <c r="C55" s="106"/>
      <c r="D55" s="106"/>
      <c r="E55" s="106"/>
      <c r="F55" s="106"/>
      <c r="G55" s="106"/>
      <c r="H55" s="106"/>
      <c r="I55" s="106"/>
      <c r="J55" s="108"/>
      <c r="K55" s="106"/>
      <c r="L55" s="107"/>
      <c r="M55" s="106"/>
      <c r="N55" s="106"/>
      <c r="O55" s="106"/>
      <c r="P55" s="106"/>
      <c r="Q55" s="106"/>
      <c r="R55" s="106"/>
      <c r="S55" s="106"/>
      <c r="T55" s="108"/>
      <c r="U55" s="106"/>
      <c r="V55" s="107"/>
      <c r="W55" s="106"/>
      <c r="X55" s="106"/>
      <c r="Y55" s="106"/>
      <c r="Z55" s="106"/>
      <c r="AA55" s="106"/>
      <c r="AB55" s="106"/>
      <c r="AC55" s="106"/>
      <c r="AD55" s="108"/>
      <c r="AE55" s="106"/>
      <c r="AF55" s="107"/>
      <c r="AG55" s="106"/>
      <c r="AH55" s="106"/>
      <c r="AI55" s="106"/>
      <c r="AJ55" s="106"/>
      <c r="AK55" s="106"/>
      <c r="AL55" s="106"/>
      <c r="AM55" s="106"/>
      <c r="AN55" s="108"/>
      <c r="AO55" s="106"/>
      <c r="AP55" s="107"/>
      <c r="AQ55" s="106"/>
      <c r="AR55" s="106"/>
      <c r="AS55" s="106"/>
      <c r="AT55" s="106"/>
      <c r="AU55" s="106"/>
      <c r="AV55" s="106"/>
      <c r="AW55" s="106"/>
      <c r="AX55" s="108"/>
      <c r="AY55" s="106"/>
      <c r="AZ55" s="107"/>
      <c r="BA55" s="106"/>
      <c r="BB55" s="106"/>
      <c r="BC55" s="106"/>
      <c r="BD55" s="106"/>
      <c r="BE55" s="106"/>
      <c r="BF55" s="106"/>
      <c r="BG55" s="106"/>
      <c r="BH55" s="108"/>
      <c r="BI55" s="106"/>
      <c r="BJ55" s="107"/>
      <c r="BK55" s="106"/>
      <c r="BL55" s="106"/>
      <c r="BM55" s="106"/>
      <c r="BN55" s="106"/>
      <c r="BO55" s="106"/>
      <c r="BP55" s="106"/>
      <c r="BQ55" s="106"/>
      <c r="BR55" s="108"/>
      <c r="BS55" s="38"/>
      <c r="BT55" s="38"/>
    </row>
    <row r="56" spans="1:72" s="39" customFormat="1" ht="9" customHeight="1" x14ac:dyDescent="0.25">
      <c r="A56" s="38"/>
      <c r="B56" s="107"/>
      <c r="C56" s="106"/>
      <c r="D56" s="106"/>
      <c r="E56" s="106"/>
      <c r="F56" s="106"/>
      <c r="G56" s="106"/>
      <c r="H56" s="106"/>
      <c r="I56" s="106"/>
      <c r="J56" s="108"/>
      <c r="K56" s="106"/>
      <c r="L56" s="107"/>
      <c r="M56" s="106"/>
      <c r="N56" s="106"/>
      <c r="O56" s="106"/>
      <c r="P56" s="106"/>
      <c r="Q56" s="106"/>
      <c r="R56" s="106"/>
      <c r="S56" s="106"/>
      <c r="T56" s="108"/>
      <c r="U56" s="106"/>
      <c r="V56" s="107"/>
      <c r="W56" s="106"/>
      <c r="X56" s="106"/>
      <c r="Y56" s="106"/>
      <c r="Z56" s="106"/>
      <c r="AA56" s="106"/>
      <c r="AB56" s="106"/>
      <c r="AC56" s="106"/>
      <c r="AD56" s="108"/>
      <c r="AE56" s="106"/>
      <c r="AF56" s="107"/>
      <c r="AG56" s="106"/>
      <c r="AH56" s="106"/>
      <c r="AI56" s="106"/>
      <c r="AJ56" s="106"/>
      <c r="AK56" s="106"/>
      <c r="AL56" s="106"/>
      <c r="AM56" s="106"/>
      <c r="AN56" s="108"/>
      <c r="AO56" s="106"/>
      <c r="AP56" s="107"/>
      <c r="AQ56" s="106"/>
      <c r="AR56" s="106"/>
      <c r="AS56" s="106"/>
      <c r="AT56" s="106"/>
      <c r="AU56" s="106"/>
      <c r="AV56" s="106"/>
      <c r="AW56" s="106"/>
      <c r="AX56" s="108"/>
      <c r="AY56" s="106"/>
      <c r="AZ56" s="107"/>
      <c r="BA56" s="106"/>
      <c r="BB56" s="106"/>
      <c r="BC56" s="106"/>
      <c r="BD56" s="106"/>
      <c r="BE56" s="106"/>
      <c r="BF56" s="106"/>
      <c r="BG56" s="106"/>
      <c r="BH56" s="108"/>
      <c r="BI56" s="106"/>
      <c r="BJ56" s="107"/>
      <c r="BK56" s="106"/>
      <c r="BL56" s="106"/>
      <c r="BM56" s="106"/>
      <c r="BN56" s="106"/>
      <c r="BO56" s="106"/>
      <c r="BP56" s="106"/>
      <c r="BQ56" s="106"/>
      <c r="BR56" s="108"/>
      <c r="BS56" s="38"/>
      <c r="BT56" s="38"/>
    </row>
    <row r="57" spans="1:72" s="39" customFormat="1" ht="9" customHeight="1" x14ac:dyDescent="0.25">
      <c r="A57" s="38"/>
      <c r="B57" s="107"/>
      <c r="C57" s="106"/>
      <c r="D57" s="106"/>
      <c r="E57" s="106"/>
      <c r="F57" s="106"/>
      <c r="G57" s="106"/>
      <c r="H57" s="106"/>
      <c r="I57" s="106"/>
      <c r="J57" s="108"/>
      <c r="K57" s="106"/>
      <c r="L57" s="107"/>
      <c r="M57" s="106"/>
      <c r="N57" s="106"/>
      <c r="O57" s="106"/>
      <c r="P57" s="106"/>
      <c r="Q57" s="106"/>
      <c r="R57" s="106"/>
      <c r="S57" s="106"/>
      <c r="T57" s="108"/>
      <c r="U57" s="106"/>
      <c r="V57" s="107"/>
      <c r="W57" s="106"/>
      <c r="X57" s="106"/>
      <c r="Y57" s="106"/>
      <c r="Z57" s="106"/>
      <c r="AA57" s="106"/>
      <c r="AB57" s="106"/>
      <c r="AC57" s="106"/>
      <c r="AD57" s="108"/>
      <c r="AE57" s="106"/>
      <c r="AF57" s="107"/>
      <c r="AG57" s="106"/>
      <c r="AH57" s="106"/>
      <c r="AI57" s="106"/>
      <c r="AJ57" s="106"/>
      <c r="AK57" s="106"/>
      <c r="AL57" s="106"/>
      <c r="AM57" s="106"/>
      <c r="AN57" s="108"/>
      <c r="AO57" s="106"/>
      <c r="AP57" s="107"/>
      <c r="AQ57" s="106"/>
      <c r="AR57" s="106"/>
      <c r="AS57" s="106"/>
      <c r="AT57" s="106"/>
      <c r="AU57" s="106"/>
      <c r="AV57" s="106"/>
      <c r="AW57" s="106"/>
      <c r="AX57" s="108"/>
      <c r="AY57" s="106"/>
      <c r="AZ57" s="107"/>
      <c r="BA57" s="106"/>
      <c r="BB57" s="106"/>
      <c r="BC57" s="106"/>
      <c r="BD57" s="106"/>
      <c r="BE57" s="106"/>
      <c r="BF57" s="106"/>
      <c r="BG57" s="106"/>
      <c r="BH57" s="108"/>
      <c r="BI57" s="106"/>
      <c r="BJ57" s="107"/>
      <c r="BK57" s="106"/>
      <c r="BL57" s="106"/>
      <c r="BM57" s="106"/>
      <c r="BN57" s="106"/>
      <c r="BO57" s="106"/>
      <c r="BP57" s="106"/>
      <c r="BQ57" s="106"/>
      <c r="BR57" s="108"/>
      <c r="BS57" s="38"/>
      <c r="BT57" s="38"/>
    </row>
    <row r="58" spans="1:72" s="39" customFormat="1" ht="9" customHeight="1" x14ac:dyDescent="0.25">
      <c r="A58" s="38"/>
      <c r="B58" s="107"/>
      <c r="C58" s="106"/>
      <c r="D58" s="106"/>
      <c r="E58" s="106"/>
      <c r="F58" s="106"/>
      <c r="G58" s="106"/>
      <c r="H58" s="106"/>
      <c r="I58" s="106"/>
      <c r="J58" s="108"/>
      <c r="K58" s="106"/>
      <c r="L58" s="107"/>
      <c r="M58" s="106"/>
      <c r="N58" s="106"/>
      <c r="O58" s="106"/>
      <c r="P58" s="106"/>
      <c r="Q58" s="106"/>
      <c r="R58" s="106"/>
      <c r="S58" s="106"/>
      <c r="T58" s="108"/>
      <c r="U58" s="106"/>
      <c r="V58" s="107"/>
      <c r="W58" s="106"/>
      <c r="X58" s="106"/>
      <c r="Y58" s="106"/>
      <c r="Z58" s="106"/>
      <c r="AA58" s="106"/>
      <c r="AB58" s="106"/>
      <c r="AC58" s="106"/>
      <c r="AD58" s="108"/>
      <c r="AE58" s="106"/>
      <c r="AF58" s="107"/>
      <c r="AG58" s="106"/>
      <c r="AH58" s="106"/>
      <c r="AI58" s="106"/>
      <c r="AJ58" s="106"/>
      <c r="AK58" s="106"/>
      <c r="AL58" s="106"/>
      <c r="AM58" s="106"/>
      <c r="AN58" s="108"/>
      <c r="AO58" s="106"/>
      <c r="AP58" s="107"/>
      <c r="AQ58" s="106"/>
      <c r="AR58" s="106"/>
      <c r="AS58" s="106"/>
      <c r="AT58" s="106"/>
      <c r="AU58" s="106"/>
      <c r="AV58" s="106"/>
      <c r="AW58" s="106"/>
      <c r="AX58" s="108"/>
      <c r="AY58" s="106"/>
      <c r="AZ58" s="107"/>
      <c r="BA58" s="106"/>
      <c r="BB58" s="106"/>
      <c r="BC58" s="106"/>
      <c r="BD58" s="106"/>
      <c r="BE58" s="106"/>
      <c r="BF58" s="106"/>
      <c r="BG58" s="106"/>
      <c r="BH58" s="108"/>
      <c r="BI58" s="106"/>
      <c r="BJ58" s="107"/>
      <c r="BK58" s="106"/>
      <c r="BL58" s="106"/>
      <c r="BM58" s="106"/>
      <c r="BN58" s="106"/>
      <c r="BO58" s="106"/>
      <c r="BP58" s="106"/>
      <c r="BQ58" s="106"/>
      <c r="BR58" s="108"/>
      <c r="BS58" s="38"/>
      <c r="BT58" s="38"/>
    </row>
    <row r="59" spans="1:72" s="23" customFormat="1" ht="9" customHeight="1" x14ac:dyDescent="0.25">
      <c r="A59" s="26"/>
      <c r="B59" s="88"/>
      <c r="C59" s="87"/>
      <c r="D59" s="87"/>
      <c r="E59" s="87"/>
      <c r="F59" s="87"/>
      <c r="G59" s="87"/>
      <c r="H59" s="87"/>
      <c r="I59" s="87"/>
      <c r="J59" s="89"/>
      <c r="K59" s="87"/>
      <c r="L59" s="88"/>
      <c r="M59" s="87"/>
      <c r="N59" s="87"/>
      <c r="O59" s="87"/>
      <c r="P59" s="87"/>
      <c r="Q59" s="87"/>
      <c r="R59" s="87"/>
      <c r="S59" s="87"/>
      <c r="T59" s="89"/>
      <c r="U59" s="87"/>
      <c r="V59" s="88"/>
      <c r="W59" s="87"/>
      <c r="X59" s="87"/>
      <c r="Y59" s="87"/>
      <c r="Z59" s="87"/>
      <c r="AA59" s="87"/>
      <c r="AB59" s="87"/>
      <c r="AC59" s="87"/>
      <c r="AD59" s="89"/>
      <c r="AE59" s="87"/>
      <c r="AF59" s="88"/>
      <c r="AG59" s="87"/>
      <c r="AH59" s="87"/>
      <c r="AI59" s="87"/>
      <c r="AJ59" s="87"/>
      <c r="AK59" s="87"/>
      <c r="AL59" s="87"/>
      <c r="AM59" s="87"/>
      <c r="AN59" s="89"/>
      <c r="AO59" s="87"/>
      <c r="AP59" s="88"/>
      <c r="AQ59" s="87"/>
      <c r="AR59" s="87"/>
      <c r="AS59" s="87"/>
      <c r="AT59" s="87"/>
      <c r="AU59" s="87"/>
      <c r="AV59" s="87"/>
      <c r="AW59" s="87"/>
      <c r="AX59" s="89"/>
      <c r="AY59" s="87"/>
      <c r="AZ59" s="88"/>
      <c r="BA59" s="87"/>
      <c r="BB59" s="87"/>
      <c r="BC59" s="87"/>
      <c r="BD59" s="87"/>
      <c r="BE59" s="87"/>
      <c r="BF59" s="87"/>
      <c r="BG59" s="87"/>
      <c r="BH59" s="89"/>
      <c r="BI59" s="87"/>
      <c r="BJ59" s="88"/>
      <c r="BK59" s="87"/>
      <c r="BL59" s="87"/>
      <c r="BM59" s="87"/>
      <c r="BN59" s="87"/>
      <c r="BO59" s="87"/>
      <c r="BP59" s="87"/>
      <c r="BQ59" s="87"/>
      <c r="BR59" s="89"/>
      <c r="BS59" s="26"/>
      <c r="BT59" s="26"/>
    </row>
    <row r="60" spans="1:72" s="23" customFormat="1" ht="9" customHeight="1" x14ac:dyDescent="0.25">
      <c r="A60" s="26"/>
      <c r="B60" s="116"/>
      <c r="C60" s="96"/>
      <c r="D60" s="96"/>
      <c r="E60" s="96"/>
      <c r="F60" s="96"/>
      <c r="G60" s="96"/>
      <c r="H60" s="96"/>
      <c r="I60" s="96"/>
      <c r="J60" s="97"/>
      <c r="K60" s="87"/>
      <c r="L60" s="116"/>
      <c r="M60" s="96"/>
      <c r="N60" s="96"/>
      <c r="O60" s="96"/>
      <c r="P60" s="96"/>
      <c r="Q60" s="96"/>
      <c r="R60" s="96"/>
      <c r="S60" s="96"/>
      <c r="T60" s="97"/>
      <c r="U60" s="87"/>
      <c r="V60" s="116"/>
      <c r="W60" s="96"/>
      <c r="X60" s="96"/>
      <c r="Y60" s="96"/>
      <c r="Z60" s="96"/>
      <c r="AA60" s="96"/>
      <c r="AB60" s="96"/>
      <c r="AC60" s="96"/>
      <c r="AD60" s="97"/>
      <c r="AE60" s="87"/>
      <c r="AF60" s="116"/>
      <c r="AG60" s="96"/>
      <c r="AH60" s="96"/>
      <c r="AI60" s="96"/>
      <c r="AJ60" s="96"/>
      <c r="AK60" s="96"/>
      <c r="AL60" s="96"/>
      <c r="AM60" s="96"/>
      <c r="AN60" s="97"/>
      <c r="AO60" s="87"/>
      <c r="AP60" s="116"/>
      <c r="AQ60" s="96"/>
      <c r="AR60" s="96"/>
      <c r="AS60" s="96"/>
      <c r="AT60" s="96"/>
      <c r="AU60" s="96"/>
      <c r="AV60" s="96"/>
      <c r="AW60" s="96"/>
      <c r="AX60" s="97"/>
      <c r="AY60" s="87"/>
      <c r="AZ60" s="116"/>
      <c r="BA60" s="96"/>
      <c r="BB60" s="96"/>
      <c r="BC60" s="96"/>
      <c r="BD60" s="96"/>
      <c r="BE60" s="96"/>
      <c r="BF60" s="96"/>
      <c r="BG60" s="96"/>
      <c r="BH60" s="97"/>
      <c r="BI60" s="87"/>
      <c r="BJ60" s="116"/>
      <c r="BK60" s="96"/>
      <c r="BL60" s="96"/>
      <c r="BM60" s="96"/>
      <c r="BN60" s="96"/>
      <c r="BO60" s="96"/>
      <c r="BP60" s="96"/>
      <c r="BQ60" s="96"/>
      <c r="BR60" s="97"/>
      <c r="BS60" s="26"/>
      <c r="BT60" s="26"/>
    </row>
    <row r="61" spans="1:72" s="23" customFormat="1" ht="9" customHeight="1" x14ac:dyDescent="0.25">
      <c r="A61" s="26"/>
      <c r="B61" s="492" t="s">
        <v>531</v>
      </c>
      <c r="C61" s="492"/>
      <c r="D61" s="492"/>
      <c r="E61" s="492"/>
      <c r="F61" s="492"/>
      <c r="G61" s="493">
        <f>CEILING(1843*B5,1)</f>
        <v>2581</v>
      </c>
      <c r="H61" s="493"/>
      <c r="I61" s="493"/>
      <c r="J61" s="493"/>
      <c r="K61" s="223"/>
      <c r="L61" s="492" t="s">
        <v>532</v>
      </c>
      <c r="M61" s="492"/>
      <c r="N61" s="492"/>
      <c r="O61" s="492"/>
      <c r="P61" s="492"/>
      <c r="Q61" s="493">
        <f>CEILING(6862*B5,1)</f>
        <v>9607</v>
      </c>
      <c r="R61" s="493"/>
      <c r="S61" s="493"/>
      <c r="T61" s="493"/>
      <c r="U61" s="223"/>
      <c r="V61" s="492" t="s">
        <v>533</v>
      </c>
      <c r="W61" s="492"/>
      <c r="X61" s="492"/>
      <c r="Y61" s="492"/>
      <c r="Z61" s="492"/>
      <c r="AA61" s="493">
        <f>CEILING(4407*B5,1)</f>
        <v>6170</v>
      </c>
      <c r="AB61" s="493"/>
      <c r="AC61" s="493"/>
      <c r="AD61" s="493"/>
      <c r="AE61" s="223"/>
      <c r="AF61" s="492" t="s">
        <v>427</v>
      </c>
      <c r="AG61" s="492"/>
      <c r="AH61" s="492"/>
      <c r="AI61" s="492"/>
      <c r="AJ61" s="492"/>
      <c r="AK61" s="493">
        <f>CEILING(3023*B5,1)</f>
        <v>4233</v>
      </c>
      <c r="AL61" s="493"/>
      <c r="AM61" s="493"/>
      <c r="AN61" s="493"/>
      <c r="AO61" s="223"/>
      <c r="AP61" s="492" t="s">
        <v>534</v>
      </c>
      <c r="AQ61" s="492"/>
      <c r="AR61" s="492"/>
      <c r="AS61" s="492"/>
      <c r="AT61" s="492"/>
      <c r="AU61" s="493">
        <f>CEILING(2797*B5,1)</f>
        <v>3916</v>
      </c>
      <c r="AV61" s="493"/>
      <c r="AW61" s="493"/>
      <c r="AX61" s="493"/>
      <c r="AY61" s="223"/>
      <c r="AZ61" s="555" t="s">
        <v>535</v>
      </c>
      <c r="BA61" s="555"/>
      <c r="BB61" s="555"/>
      <c r="BC61" s="555"/>
      <c r="BD61" s="555"/>
      <c r="BE61" s="493">
        <f>CEILING(5216*B5,1)</f>
        <v>7303</v>
      </c>
      <c r="BF61" s="493"/>
      <c r="BG61" s="493"/>
      <c r="BH61" s="493"/>
      <c r="BI61" s="223"/>
      <c r="BJ61" s="492" t="s">
        <v>536</v>
      </c>
      <c r="BK61" s="492"/>
      <c r="BL61" s="492"/>
      <c r="BM61" s="492"/>
      <c r="BN61" s="492"/>
      <c r="BO61" s="493">
        <f>CEILING(2343*B5,1)</f>
        <v>3281</v>
      </c>
      <c r="BP61" s="493"/>
      <c r="BQ61" s="493"/>
      <c r="BR61" s="493"/>
      <c r="BS61" s="26"/>
      <c r="BT61" s="26"/>
    </row>
    <row r="62" spans="1:72" s="23" customFormat="1" ht="1.5" customHeight="1" x14ac:dyDescent="0.25">
      <c r="A62" s="26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26"/>
      <c r="BT62" s="26"/>
    </row>
    <row r="63" spans="1:72" s="23" customFormat="1" ht="9" customHeight="1" x14ac:dyDescent="0.25">
      <c r="A63" s="26"/>
      <c r="B63" s="474" t="s">
        <v>537</v>
      </c>
      <c r="C63" s="475"/>
      <c r="D63" s="476"/>
      <c r="E63" s="505" t="s">
        <v>270</v>
      </c>
      <c r="F63" s="505"/>
      <c r="G63" s="505"/>
      <c r="H63" s="505"/>
      <c r="I63" s="505"/>
      <c r="J63" s="506"/>
      <c r="K63" s="87"/>
      <c r="L63" s="474" t="s">
        <v>538</v>
      </c>
      <c r="M63" s="475"/>
      <c r="N63" s="476"/>
      <c r="O63" s="505" t="s">
        <v>270</v>
      </c>
      <c r="P63" s="505"/>
      <c r="Q63" s="505"/>
      <c r="R63" s="505"/>
      <c r="S63" s="505"/>
      <c r="T63" s="506"/>
      <c r="U63" s="87"/>
      <c r="V63" s="474" t="s">
        <v>539</v>
      </c>
      <c r="W63" s="475"/>
      <c r="X63" s="476"/>
      <c r="Y63" s="505" t="s">
        <v>270</v>
      </c>
      <c r="Z63" s="505"/>
      <c r="AA63" s="505"/>
      <c r="AB63" s="505"/>
      <c r="AC63" s="505"/>
      <c r="AD63" s="506"/>
      <c r="AE63" s="87"/>
      <c r="AF63" s="474" t="s">
        <v>540</v>
      </c>
      <c r="AG63" s="475"/>
      <c r="AH63" s="476"/>
      <c r="AI63" s="505" t="s">
        <v>270</v>
      </c>
      <c r="AJ63" s="505"/>
      <c r="AK63" s="505"/>
      <c r="AL63" s="505"/>
      <c r="AM63" s="505"/>
      <c r="AN63" s="506"/>
      <c r="AO63" s="87"/>
      <c r="AP63" s="474" t="s">
        <v>541</v>
      </c>
      <c r="AQ63" s="475"/>
      <c r="AR63" s="476"/>
      <c r="AS63" s="505" t="s">
        <v>270</v>
      </c>
      <c r="AT63" s="505"/>
      <c r="AU63" s="505"/>
      <c r="AV63" s="505"/>
      <c r="AW63" s="505"/>
      <c r="AX63" s="506"/>
      <c r="AY63" s="87"/>
      <c r="AZ63" s="474" t="s">
        <v>542</v>
      </c>
      <c r="BA63" s="475"/>
      <c r="BB63" s="476"/>
      <c r="BC63" s="505" t="s">
        <v>270</v>
      </c>
      <c r="BD63" s="505"/>
      <c r="BE63" s="505"/>
      <c r="BF63" s="505"/>
      <c r="BG63" s="505"/>
      <c r="BH63" s="506"/>
      <c r="BI63" s="106"/>
      <c r="BJ63" s="474" t="s">
        <v>543</v>
      </c>
      <c r="BK63" s="475"/>
      <c r="BL63" s="476"/>
      <c r="BM63" s="505" t="s">
        <v>270</v>
      </c>
      <c r="BN63" s="505"/>
      <c r="BO63" s="505"/>
      <c r="BP63" s="505"/>
      <c r="BQ63" s="505"/>
      <c r="BR63" s="506"/>
      <c r="BS63" s="26"/>
      <c r="BT63" s="26"/>
    </row>
    <row r="64" spans="1:72" s="23" customFormat="1" ht="9" customHeight="1" x14ac:dyDescent="0.25">
      <c r="A64" s="26"/>
      <c r="B64" s="489" t="s">
        <v>612</v>
      </c>
      <c r="C64" s="490"/>
      <c r="D64" s="490"/>
      <c r="E64" s="490"/>
      <c r="F64" s="490"/>
      <c r="G64" s="490"/>
      <c r="H64" s="490"/>
      <c r="I64" s="490"/>
      <c r="J64" s="491"/>
      <c r="K64" s="90"/>
      <c r="L64" s="489" t="s">
        <v>612</v>
      </c>
      <c r="M64" s="490"/>
      <c r="N64" s="490"/>
      <c r="O64" s="490"/>
      <c r="P64" s="490"/>
      <c r="Q64" s="490"/>
      <c r="R64" s="490"/>
      <c r="S64" s="490"/>
      <c r="T64" s="491"/>
      <c r="U64" s="90"/>
      <c r="V64" s="489" t="s">
        <v>612</v>
      </c>
      <c r="W64" s="490"/>
      <c r="X64" s="490"/>
      <c r="Y64" s="490"/>
      <c r="Z64" s="490"/>
      <c r="AA64" s="490"/>
      <c r="AB64" s="490"/>
      <c r="AC64" s="490"/>
      <c r="AD64" s="491"/>
      <c r="AE64" s="90"/>
      <c r="AF64" s="489" t="s">
        <v>612</v>
      </c>
      <c r="AG64" s="490"/>
      <c r="AH64" s="490"/>
      <c r="AI64" s="490"/>
      <c r="AJ64" s="490"/>
      <c r="AK64" s="490"/>
      <c r="AL64" s="490"/>
      <c r="AM64" s="490"/>
      <c r="AN64" s="491"/>
      <c r="AO64" s="90"/>
      <c r="AP64" s="489" t="s">
        <v>612</v>
      </c>
      <c r="AQ64" s="490"/>
      <c r="AR64" s="490"/>
      <c r="AS64" s="490"/>
      <c r="AT64" s="490"/>
      <c r="AU64" s="490"/>
      <c r="AV64" s="490"/>
      <c r="AW64" s="490"/>
      <c r="AX64" s="491"/>
      <c r="AY64" s="87"/>
      <c r="AZ64" s="489" t="s">
        <v>612</v>
      </c>
      <c r="BA64" s="490"/>
      <c r="BB64" s="490"/>
      <c r="BC64" s="490"/>
      <c r="BD64" s="490"/>
      <c r="BE64" s="490"/>
      <c r="BF64" s="490"/>
      <c r="BG64" s="490"/>
      <c r="BH64" s="491"/>
      <c r="BI64" s="106"/>
      <c r="BJ64" s="489" t="s">
        <v>612</v>
      </c>
      <c r="BK64" s="490"/>
      <c r="BL64" s="490"/>
      <c r="BM64" s="490"/>
      <c r="BN64" s="490"/>
      <c r="BO64" s="490"/>
      <c r="BP64" s="490"/>
      <c r="BQ64" s="490"/>
      <c r="BR64" s="491"/>
      <c r="BS64" s="26"/>
      <c r="BT64" s="26"/>
    </row>
    <row r="65" spans="1:80" s="23" customFormat="1" ht="9" customHeight="1" x14ac:dyDescent="0.25">
      <c r="A65" s="26"/>
      <c r="B65" s="103"/>
      <c r="C65" s="90"/>
      <c r="D65" s="90"/>
      <c r="E65" s="90"/>
      <c r="F65" s="90"/>
      <c r="G65" s="90"/>
      <c r="H65" s="90"/>
      <c r="I65" s="90"/>
      <c r="J65" s="91"/>
      <c r="K65" s="90"/>
      <c r="L65" s="103"/>
      <c r="M65" s="90"/>
      <c r="N65" s="90"/>
      <c r="O65" s="90"/>
      <c r="P65" s="90"/>
      <c r="Q65" s="90"/>
      <c r="R65" s="90"/>
      <c r="S65" s="90"/>
      <c r="T65" s="91"/>
      <c r="U65" s="90"/>
      <c r="V65" s="103"/>
      <c r="W65" s="90"/>
      <c r="X65" s="90"/>
      <c r="Y65" s="90"/>
      <c r="Z65" s="90"/>
      <c r="AA65" s="90"/>
      <c r="AB65" s="90"/>
      <c r="AC65" s="90"/>
      <c r="AD65" s="91"/>
      <c r="AE65" s="100"/>
      <c r="AF65" s="87"/>
      <c r="AG65" s="87"/>
      <c r="AH65" s="87"/>
      <c r="AI65" s="87"/>
      <c r="AJ65" s="87"/>
      <c r="AK65" s="87"/>
      <c r="AL65" s="87"/>
      <c r="AM65" s="87"/>
      <c r="AN65" s="89"/>
      <c r="AO65" s="100"/>
      <c r="AP65" s="87"/>
      <c r="AQ65" s="87"/>
      <c r="AR65" s="87"/>
      <c r="AS65" s="87"/>
      <c r="AT65" s="87"/>
      <c r="AU65" s="87"/>
      <c r="AV65" s="87"/>
      <c r="AW65" s="87"/>
      <c r="AX65" s="89"/>
      <c r="AY65" s="92"/>
      <c r="AZ65" s="87"/>
      <c r="BA65" s="87"/>
      <c r="BB65" s="87"/>
      <c r="BC65" s="87"/>
      <c r="BD65" s="87"/>
      <c r="BE65" s="87"/>
      <c r="BF65" s="87"/>
      <c r="BG65" s="87"/>
      <c r="BH65" s="89"/>
      <c r="BI65" s="109"/>
      <c r="BJ65" s="87"/>
      <c r="BK65" s="87"/>
      <c r="BL65" s="87"/>
      <c r="BM65" s="87"/>
      <c r="BN65" s="87"/>
      <c r="BO65" s="87"/>
      <c r="BP65" s="87"/>
      <c r="BQ65" s="87"/>
      <c r="BR65" s="89"/>
      <c r="BS65" s="26"/>
      <c r="BT65" s="26"/>
    </row>
    <row r="66" spans="1:80" s="23" customFormat="1" ht="9" customHeight="1" x14ac:dyDescent="0.25">
      <c r="A66" s="26"/>
      <c r="B66" s="103"/>
      <c r="C66" s="90"/>
      <c r="D66" s="90"/>
      <c r="E66" s="90"/>
      <c r="F66" s="90"/>
      <c r="G66" s="90"/>
      <c r="H66" s="90"/>
      <c r="I66" s="90"/>
      <c r="J66" s="91"/>
      <c r="K66" s="90"/>
      <c r="L66" s="103"/>
      <c r="M66" s="90"/>
      <c r="N66" s="90"/>
      <c r="O66" s="90"/>
      <c r="P66" s="90"/>
      <c r="Q66" s="90"/>
      <c r="R66" s="90"/>
      <c r="S66" s="90"/>
      <c r="T66" s="91"/>
      <c r="U66" s="90"/>
      <c r="V66" s="103"/>
      <c r="W66" s="90"/>
      <c r="X66" s="90"/>
      <c r="Y66" s="90"/>
      <c r="Z66" s="90"/>
      <c r="AA66" s="90"/>
      <c r="AB66" s="90"/>
      <c r="AC66" s="90"/>
      <c r="AD66" s="91"/>
      <c r="AE66" s="100"/>
      <c r="AF66" s="87"/>
      <c r="AG66" s="87"/>
      <c r="AH66" s="87"/>
      <c r="AI66" s="87"/>
      <c r="AJ66" s="87"/>
      <c r="AK66" s="87"/>
      <c r="AL66" s="87"/>
      <c r="AM66" s="87"/>
      <c r="AN66" s="89"/>
      <c r="AO66" s="100"/>
      <c r="AP66" s="87"/>
      <c r="AQ66" s="87"/>
      <c r="AR66" s="87"/>
      <c r="AS66" s="87"/>
      <c r="AT66" s="87"/>
      <c r="AU66" s="87"/>
      <c r="AV66" s="87"/>
      <c r="AW66" s="87"/>
      <c r="AX66" s="89"/>
      <c r="AY66" s="92"/>
      <c r="AZ66" s="87"/>
      <c r="BA66" s="87"/>
      <c r="BB66" s="87"/>
      <c r="BC66" s="87"/>
      <c r="BD66" s="87"/>
      <c r="BE66" s="87"/>
      <c r="BF66" s="87"/>
      <c r="BG66" s="87"/>
      <c r="BH66" s="89"/>
      <c r="BI66" s="109"/>
      <c r="BJ66" s="87"/>
      <c r="BK66" s="87"/>
      <c r="BL66" s="87"/>
      <c r="BM66" s="87"/>
      <c r="BN66" s="87"/>
      <c r="BO66" s="87"/>
      <c r="BP66" s="87"/>
      <c r="BQ66" s="87"/>
      <c r="BR66" s="89"/>
      <c r="BS66" s="26"/>
      <c r="BT66" s="26"/>
    </row>
    <row r="67" spans="1:80" s="23" customFormat="1" ht="9" customHeight="1" x14ac:dyDescent="0.25">
      <c r="A67" s="26"/>
      <c r="B67" s="88"/>
      <c r="C67" s="87"/>
      <c r="D67" s="87"/>
      <c r="E67" s="87"/>
      <c r="F67" s="87"/>
      <c r="G67" s="87"/>
      <c r="H67" s="87"/>
      <c r="I67" s="87"/>
      <c r="J67" s="89"/>
      <c r="K67" s="87"/>
      <c r="L67" s="88"/>
      <c r="M67" s="87"/>
      <c r="N67" s="87"/>
      <c r="O67" s="87"/>
      <c r="P67" s="87"/>
      <c r="Q67" s="87"/>
      <c r="R67" s="87"/>
      <c r="S67" s="87"/>
      <c r="T67" s="89"/>
      <c r="U67" s="87"/>
      <c r="V67" s="88"/>
      <c r="W67" s="87"/>
      <c r="X67" s="87"/>
      <c r="Y67" s="87"/>
      <c r="Z67" s="87"/>
      <c r="AA67" s="87"/>
      <c r="AB67" s="87"/>
      <c r="AC67" s="87"/>
      <c r="AD67" s="89"/>
      <c r="AE67" s="92"/>
      <c r="AF67" s="87"/>
      <c r="AG67" s="87"/>
      <c r="AH67" s="87"/>
      <c r="AI67" s="87"/>
      <c r="AJ67" s="87"/>
      <c r="AK67" s="87"/>
      <c r="AL67" s="87"/>
      <c r="AM67" s="87"/>
      <c r="AN67" s="89"/>
      <c r="AO67" s="92"/>
      <c r="AP67" s="87"/>
      <c r="AQ67" s="87"/>
      <c r="AR67" s="87"/>
      <c r="AS67" s="87"/>
      <c r="AT67" s="87"/>
      <c r="AU67" s="87"/>
      <c r="AV67" s="87"/>
      <c r="AW67" s="87"/>
      <c r="AX67" s="89"/>
      <c r="AY67" s="92"/>
      <c r="AZ67" s="87"/>
      <c r="BA67" s="87"/>
      <c r="BB67" s="87"/>
      <c r="BC67" s="87"/>
      <c r="BD67" s="87"/>
      <c r="BE67" s="87"/>
      <c r="BF67" s="87"/>
      <c r="BG67" s="87"/>
      <c r="BH67" s="89"/>
      <c r="BI67" s="109"/>
      <c r="BJ67" s="87"/>
      <c r="BK67" s="87"/>
      <c r="BL67" s="87"/>
      <c r="BM67" s="87"/>
      <c r="BN67" s="87"/>
      <c r="BO67" s="87"/>
      <c r="BP67" s="87"/>
      <c r="BQ67" s="87"/>
      <c r="BR67" s="89"/>
      <c r="BS67" s="26"/>
      <c r="BT67" s="26"/>
    </row>
    <row r="68" spans="1:80" s="23" customFormat="1" ht="9" customHeight="1" x14ac:dyDescent="0.25">
      <c r="A68" s="26"/>
      <c r="B68" s="107"/>
      <c r="C68" s="106"/>
      <c r="D68" s="106"/>
      <c r="E68" s="106"/>
      <c r="F68" s="106"/>
      <c r="G68" s="106"/>
      <c r="H68" s="106"/>
      <c r="I68" s="106"/>
      <c r="J68" s="108"/>
      <c r="K68" s="87"/>
      <c r="L68" s="107"/>
      <c r="M68" s="106"/>
      <c r="N68" s="106"/>
      <c r="O68" s="106"/>
      <c r="P68" s="106"/>
      <c r="Q68" s="106"/>
      <c r="R68" s="106"/>
      <c r="S68" s="106"/>
      <c r="T68" s="108"/>
      <c r="U68" s="87"/>
      <c r="V68" s="107"/>
      <c r="W68" s="106"/>
      <c r="X68" s="106"/>
      <c r="Y68" s="106"/>
      <c r="Z68" s="106"/>
      <c r="AA68" s="106"/>
      <c r="AB68" s="106"/>
      <c r="AC68" s="106"/>
      <c r="AD68" s="108"/>
      <c r="AE68" s="92"/>
      <c r="AF68" s="87"/>
      <c r="AG68" s="87"/>
      <c r="AH68" s="87"/>
      <c r="AI68" s="87"/>
      <c r="AJ68" s="87"/>
      <c r="AK68" s="87"/>
      <c r="AL68" s="87"/>
      <c r="AM68" s="87"/>
      <c r="AN68" s="89"/>
      <c r="AO68" s="92"/>
      <c r="AP68" s="87"/>
      <c r="AQ68" s="87"/>
      <c r="AR68" s="87"/>
      <c r="AS68" s="87"/>
      <c r="AT68" s="87"/>
      <c r="AU68" s="87"/>
      <c r="AV68" s="87"/>
      <c r="AW68" s="87"/>
      <c r="AX68" s="89"/>
      <c r="AY68" s="92"/>
      <c r="AZ68" s="87"/>
      <c r="BA68" s="87"/>
      <c r="BB68" s="87"/>
      <c r="BC68" s="87"/>
      <c r="BD68" s="87"/>
      <c r="BE68" s="87"/>
      <c r="BF68" s="87"/>
      <c r="BG68" s="87"/>
      <c r="BH68" s="89"/>
      <c r="BI68" s="109"/>
      <c r="BJ68" s="87"/>
      <c r="BK68" s="87"/>
      <c r="BL68" s="87"/>
      <c r="BM68" s="87"/>
      <c r="BN68" s="87"/>
      <c r="BO68" s="87"/>
      <c r="BP68" s="87"/>
      <c r="BQ68" s="87"/>
      <c r="BR68" s="89"/>
      <c r="BS68" s="26"/>
      <c r="BT68" s="26"/>
    </row>
    <row r="69" spans="1:80" s="23" customFormat="1" ht="9" customHeight="1" x14ac:dyDescent="0.25">
      <c r="A69" s="26"/>
      <c r="B69" s="107"/>
      <c r="C69" s="106"/>
      <c r="D69" s="106"/>
      <c r="E69" s="106"/>
      <c r="F69" s="106"/>
      <c r="G69" s="106"/>
      <c r="H69" s="106"/>
      <c r="I69" s="106"/>
      <c r="J69" s="108"/>
      <c r="K69" s="87"/>
      <c r="L69" s="107"/>
      <c r="M69" s="106"/>
      <c r="N69" s="106"/>
      <c r="O69" s="106"/>
      <c r="P69" s="106"/>
      <c r="Q69" s="106"/>
      <c r="R69" s="106"/>
      <c r="S69" s="106"/>
      <c r="T69" s="108"/>
      <c r="U69" s="87"/>
      <c r="V69" s="107"/>
      <c r="W69" s="106"/>
      <c r="X69" s="106"/>
      <c r="Y69" s="106"/>
      <c r="Z69" s="106"/>
      <c r="AA69" s="106"/>
      <c r="AB69" s="106"/>
      <c r="AC69" s="106"/>
      <c r="AD69" s="108"/>
      <c r="AE69" s="92"/>
      <c r="AF69" s="87"/>
      <c r="AG69" s="87"/>
      <c r="AH69" s="87"/>
      <c r="AI69" s="87"/>
      <c r="AJ69" s="87"/>
      <c r="AK69" s="87"/>
      <c r="AL69" s="87"/>
      <c r="AM69" s="87"/>
      <c r="AN69" s="89"/>
      <c r="AO69" s="92"/>
      <c r="AP69" s="87"/>
      <c r="AQ69" s="87"/>
      <c r="AR69" s="87"/>
      <c r="AS69" s="87"/>
      <c r="AT69" s="87"/>
      <c r="AU69" s="87"/>
      <c r="AV69" s="87"/>
      <c r="AW69" s="87"/>
      <c r="AX69" s="89"/>
      <c r="AY69" s="92"/>
      <c r="AZ69" s="87"/>
      <c r="BA69" s="87"/>
      <c r="BB69" s="87"/>
      <c r="BC69" s="87"/>
      <c r="BD69" s="87"/>
      <c r="BE69" s="87"/>
      <c r="BF69" s="87"/>
      <c r="BG69" s="87"/>
      <c r="BH69" s="89"/>
      <c r="BI69" s="109"/>
      <c r="BJ69" s="87"/>
      <c r="BK69" s="87"/>
      <c r="BL69" s="87"/>
      <c r="BM69" s="87"/>
      <c r="BN69" s="87"/>
      <c r="BO69" s="87"/>
      <c r="BP69" s="87"/>
      <c r="BQ69" s="87"/>
      <c r="BR69" s="89"/>
      <c r="BS69" s="26"/>
      <c r="BT69" s="26"/>
    </row>
    <row r="70" spans="1:80" s="23" customFormat="1" ht="9" customHeight="1" x14ac:dyDescent="0.25">
      <c r="A70" s="26"/>
      <c r="B70" s="107"/>
      <c r="C70" s="106"/>
      <c r="D70" s="106"/>
      <c r="E70" s="106"/>
      <c r="F70" s="106"/>
      <c r="G70" s="106"/>
      <c r="H70" s="106"/>
      <c r="I70" s="106"/>
      <c r="J70" s="108"/>
      <c r="K70" s="87"/>
      <c r="L70" s="107"/>
      <c r="M70" s="106"/>
      <c r="N70" s="106"/>
      <c r="O70" s="106"/>
      <c r="P70" s="106"/>
      <c r="Q70" s="106"/>
      <c r="R70" s="106"/>
      <c r="S70" s="106"/>
      <c r="T70" s="108"/>
      <c r="U70" s="87"/>
      <c r="V70" s="107"/>
      <c r="W70" s="106"/>
      <c r="X70" s="106"/>
      <c r="Y70" s="106"/>
      <c r="Z70" s="106"/>
      <c r="AA70" s="106"/>
      <c r="AB70" s="106"/>
      <c r="AC70" s="106"/>
      <c r="AD70" s="108"/>
      <c r="AE70" s="92"/>
      <c r="AF70" s="87"/>
      <c r="AG70" s="87"/>
      <c r="AH70" s="87"/>
      <c r="AI70" s="87"/>
      <c r="AJ70" s="87"/>
      <c r="AK70" s="87"/>
      <c r="AL70" s="87"/>
      <c r="AM70" s="87"/>
      <c r="AN70" s="89"/>
      <c r="AO70" s="92"/>
      <c r="AP70" s="87"/>
      <c r="AQ70" s="87"/>
      <c r="AR70" s="87"/>
      <c r="AS70" s="87"/>
      <c r="AT70" s="87"/>
      <c r="AU70" s="87"/>
      <c r="AV70" s="87"/>
      <c r="AW70" s="87"/>
      <c r="AX70" s="89"/>
      <c r="AY70" s="92"/>
      <c r="AZ70" s="87"/>
      <c r="BA70" s="87"/>
      <c r="BB70" s="87"/>
      <c r="BC70" s="87"/>
      <c r="BD70" s="87"/>
      <c r="BE70" s="87"/>
      <c r="BF70" s="87"/>
      <c r="BG70" s="87"/>
      <c r="BH70" s="89"/>
      <c r="BI70" s="109"/>
      <c r="BJ70" s="87"/>
      <c r="BK70" s="87"/>
      <c r="BL70" s="87"/>
      <c r="BM70" s="87"/>
      <c r="BN70" s="87"/>
      <c r="BO70" s="87"/>
      <c r="BP70" s="87"/>
      <c r="BQ70" s="87"/>
      <c r="BR70" s="89"/>
      <c r="BS70" s="26"/>
      <c r="BT70" s="26"/>
    </row>
    <row r="71" spans="1:80" s="23" customFormat="1" ht="9" customHeight="1" x14ac:dyDescent="0.25">
      <c r="A71" s="26"/>
      <c r="B71" s="107"/>
      <c r="C71" s="106"/>
      <c r="D71" s="106"/>
      <c r="E71" s="106"/>
      <c r="F71" s="106"/>
      <c r="G71" s="106"/>
      <c r="H71" s="106"/>
      <c r="I71" s="106"/>
      <c r="J71" s="108"/>
      <c r="K71" s="87"/>
      <c r="L71" s="107"/>
      <c r="M71" s="106"/>
      <c r="N71" s="106"/>
      <c r="O71" s="106"/>
      <c r="P71" s="106"/>
      <c r="Q71" s="106"/>
      <c r="R71" s="106"/>
      <c r="S71" s="106"/>
      <c r="T71" s="108"/>
      <c r="U71" s="87"/>
      <c r="V71" s="107"/>
      <c r="W71" s="106"/>
      <c r="X71" s="106"/>
      <c r="Y71" s="106"/>
      <c r="Z71" s="106"/>
      <c r="AA71" s="106"/>
      <c r="AB71" s="106"/>
      <c r="AC71" s="106"/>
      <c r="AD71" s="108"/>
      <c r="AE71" s="92"/>
      <c r="AF71" s="87"/>
      <c r="AG71" s="87"/>
      <c r="AH71" s="87"/>
      <c r="AI71" s="87"/>
      <c r="AJ71" s="87"/>
      <c r="AK71" s="87"/>
      <c r="AL71" s="87"/>
      <c r="AM71" s="87"/>
      <c r="AN71" s="89"/>
      <c r="AO71" s="92"/>
      <c r="AP71" s="87"/>
      <c r="AQ71" s="87"/>
      <c r="AR71" s="87"/>
      <c r="AS71" s="87"/>
      <c r="AT71" s="87"/>
      <c r="AU71" s="87"/>
      <c r="AV71" s="87"/>
      <c r="AW71" s="87"/>
      <c r="AX71" s="89"/>
      <c r="AY71" s="92"/>
      <c r="AZ71" s="87"/>
      <c r="BA71" s="87"/>
      <c r="BB71" s="87"/>
      <c r="BC71" s="87"/>
      <c r="BD71" s="87"/>
      <c r="BE71" s="87"/>
      <c r="BF71" s="87"/>
      <c r="BG71" s="87"/>
      <c r="BH71" s="89"/>
      <c r="BI71" s="109"/>
      <c r="BJ71" s="87"/>
      <c r="BK71" s="87"/>
      <c r="BL71" s="87"/>
      <c r="BM71" s="87"/>
      <c r="BN71" s="87"/>
      <c r="BO71" s="87"/>
      <c r="BP71" s="87"/>
      <c r="BQ71" s="87"/>
      <c r="BR71" s="89"/>
      <c r="BS71" s="26"/>
      <c r="BT71" s="26"/>
    </row>
    <row r="72" spans="1:80" s="39" customFormat="1" ht="9" customHeight="1" x14ac:dyDescent="0.25">
      <c r="A72" s="38"/>
      <c r="B72" s="107"/>
      <c r="C72" s="106"/>
      <c r="D72" s="106"/>
      <c r="E72" s="106"/>
      <c r="F72" s="106"/>
      <c r="G72" s="106"/>
      <c r="H72" s="106"/>
      <c r="I72" s="106"/>
      <c r="J72" s="108"/>
      <c r="K72" s="106"/>
      <c r="L72" s="107"/>
      <c r="M72" s="106"/>
      <c r="N72" s="106"/>
      <c r="O72" s="106"/>
      <c r="P72" s="106"/>
      <c r="Q72" s="106"/>
      <c r="R72" s="106"/>
      <c r="S72" s="106"/>
      <c r="T72" s="108"/>
      <c r="U72" s="106"/>
      <c r="V72" s="107"/>
      <c r="W72" s="106"/>
      <c r="X72" s="106"/>
      <c r="Y72" s="106"/>
      <c r="Z72" s="106"/>
      <c r="AA72" s="106"/>
      <c r="AB72" s="106"/>
      <c r="AC72" s="106"/>
      <c r="AD72" s="108"/>
      <c r="AE72" s="109"/>
      <c r="AF72" s="87"/>
      <c r="AG72" s="87"/>
      <c r="AH72" s="87"/>
      <c r="AI72" s="87"/>
      <c r="AJ72" s="87"/>
      <c r="AK72" s="87"/>
      <c r="AL72" s="87"/>
      <c r="AM72" s="87"/>
      <c r="AN72" s="89"/>
      <c r="AO72" s="109"/>
      <c r="AP72" s="87"/>
      <c r="AQ72" s="87"/>
      <c r="AR72" s="87"/>
      <c r="AS72" s="87"/>
      <c r="AT72" s="87"/>
      <c r="AU72" s="87"/>
      <c r="AV72" s="87"/>
      <c r="AW72" s="87"/>
      <c r="AX72" s="89"/>
      <c r="AY72" s="109"/>
      <c r="AZ72" s="87"/>
      <c r="BA72" s="87"/>
      <c r="BB72" s="87"/>
      <c r="BC72" s="87"/>
      <c r="BD72" s="87"/>
      <c r="BE72" s="87"/>
      <c r="BF72" s="87"/>
      <c r="BG72" s="87"/>
      <c r="BH72" s="89"/>
      <c r="BI72" s="92"/>
      <c r="BJ72" s="87"/>
      <c r="BK72" s="87"/>
      <c r="BL72" s="87"/>
      <c r="BM72" s="87"/>
      <c r="BN72" s="87"/>
      <c r="BO72" s="87"/>
      <c r="BP72" s="87"/>
      <c r="BQ72" s="87"/>
      <c r="BR72" s="89"/>
      <c r="BS72" s="38"/>
      <c r="BT72" s="38"/>
    </row>
    <row r="73" spans="1:80" s="23" customFormat="1" ht="8.25" customHeight="1" x14ac:dyDescent="0.25">
      <c r="A73" s="26"/>
      <c r="B73" s="93"/>
      <c r="C73" s="94"/>
      <c r="D73" s="94"/>
      <c r="E73" s="94"/>
      <c r="F73" s="94"/>
      <c r="G73" s="94"/>
      <c r="H73" s="94"/>
      <c r="I73" s="94"/>
      <c r="J73" s="95"/>
      <c r="K73" s="87"/>
      <c r="L73" s="88"/>
      <c r="M73" s="87"/>
      <c r="N73" s="87"/>
      <c r="O73" s="87"/>
      <c r="P73" s="87"/>
      <c r="Q73" s="87"/>
      <c r="R73" s="87"/>
      <c r="S73" s="87"/>
      <c r="T73" s="89"/>
      <c r="U73" s="87"/>
      <c r="V73" s="93"/>
      <c r="W73" s="94"/>
      <c r="X73" s="94"/>
      <c r="Y73" s="94"/>
      <c r="Z73" s="94"/>
      <c r="AA73" s="94"/>
      <c r="AB73" s="94"/>
      <c r="AC73" s="94"/>
      <c r="AD73" s="95"/>
      <c r="AE73" s="92"/>
      <c r="AF73" s="96"/>
      <c r="AG73" s="96"/>
      <c r="AH73" s="96"/>
      <c r="AI73" s="96"/>
      <c r="AJ73" s="96"/>
      <c r="AK73" s="96"/>
      <c r="AL73" s="96"/>
      <c r="AM73" s="96"/>
      <c r="AN73" s="97"/>
      <c r="AO73" s="92"/>
      <c r="AP73" s="96"/>
      <c r="AQ73" s="96"/>
      <c r="AR73" s="96"/>
      <c r="AS73" s="96"/>
      <c r="AT73" s="96"/>
      <c r="AU73" s="96"/>
      <c r="AV73" s="96"/>
      <c r="AW73" s="96"/>
      <c r="AX73" s="97"/>
      <c r="AY73" s="92"/>
      <c r="AZ73" s="96"/>
      <c r="BA73" s="96"/>
      <c r="BB73" s="96"/>
      <c r="BC73" s="96"/>
      <c r="BD73" s="96"/>
      <c r="BE73" s="96"/>
      <c r="BF73" s="96"/>
      <c r="BG73" s="96"/>
      <c r="BH73" s="97"/>
      <c r="BI73" s="109"/>
      <c r="BJ73" s="96"/>
      <c r="BK73" s="96"/>
      <c r="BL73" s="96"/>
      <c r="BM73" s="96"/>
      <c r="BN73" s="96"/>
      <c r="BO73" s="96"/>
      <c r="BP73" s="96"/>
      <c r="BQ73" s="96"/>
      <c r="BR73" s="97"/>
      <c r="BS73" s="26"/>
      <c r="BT73" s="26"/>
    </row>
    <row r="74" spans="1:80" s="23" customFormat="1" ht="9" customHeight="1" x14ac:dyDescent="0.25">
      <c r="A74" s="26"/>
      <c r="B74" s="489" t="s">
        <v>520</v>
      </c>
      <c r="C74" s="490"/>
      <c r="D74" s="490"/>
      <c r="E74" s="490"/>
      <c r="F74" s="490"/>
      <c r="G74" s="490"/>
      <c r="H74" s="490"/>
      <c r="I74" s="490"/>
      <c r="J74" s="491"/>
      <c r="K74" s="87"/>
      <c r="L74" s="504" t="s">
        <v>520</v>
      </c>
      <c r="M74" s="505"/>
      <c r="N74" s="505"/>
      <c r="O74" s="505"/>
      <c r="P74" s="505"/>
      <c r="Q74" s="505"/>
      <c r="R74" s="505"/>
      <c r="S74" s="505"/>
      <c r="T74" s="506"/>
      <c r="U74" s="87"/>
      <c r="V74" s="489" t="s">
        <v>520</v>
      </c>
      <c r="W74" s="490"/>
      <c r="X74" s="490"/>
      <c r="Y74" s="490"/>
      <c r="Z74" s="490"/>
      <c r="AA74" s="490"/>
      <c r="AB74" s="490"/>
      <c r="AC74" s="490"/>
      <c r="AD74" s="491"/>
      <c r="AE74" s="92"/>
      <c r="AF74" s="87"/>
      <c r="AG74" s="87"/>
      <c r="AH74" s="87"/>
      <c r="AI74" s="87"/>
      <c r="AJ74" s="87"/>
      <c r="AK74" s="87"/>
      <c r="AL74" s="87"/>
      <c r="AM74" s="87"/>
      <c r="AN74" s="89"/>
      <c r="AO74" s="92"/>
      <c r="AP74" s="87"/>
      <c r="AQ74" s="87"/>
      <c r="AR74" s="87"/>
      <c r="AS74" s="87"/>
      <c r="AT74" s="87"/>
      <c r="AU74" s="87"/>
      <c r="AV74" s="87"/>
      <c r="AW74" s="87"/>
      <c r="AX74" s="89"/>
      <c r="AY74" s="92"/>
      <c r="AZ74" s="87"/>
      <c r="BA74" s="87"/>
      <c r="BB74" s="87"/>
      <c r="BC74" s="87"/>
      <c r="BD74" s="87"/>
      <c r="BE74" s="87"/>
      <c r="BF74" s="87"/>
      <c r="BG74" s="87"/>
      <c r="BH74" s="89"/>
      <c r="BI74" s="92"/>
      <c r="BJ74" s="87"/>
      <c r="BK74" s="87"/>
      <c r="BL74" s="87"/>
      <c r="BM74" s="87"/>
      <c r="BN74" s="87"/>
      <c r="BO74" s="87"/>
      <c r="BP74" s="87"/>
      <c r="BQ74" s="87"/>
      <c r="BR74" s="89"/>
      <c r="BS74" s="26"/>
      <c r="BT74" s="26"/>
    </row>
    <row r="75" spans="1:80" s="23" customFormat="1" ht="9" customHeight="1" x14ac:dyDescent="0.25">
      <c r="A75" s="26"/>
      <c r="B75" s="492" t="s">
        <v>544</v>
      </c>
      <c r="C75" s="492"/>
      <c r="D75" s="492"/>
      <c r="E75" s="492"/>
      <c r="F75" s="492"/>
      <c r="G75" s="493">
        <f>CEILING(899*B5,1)</f>
        <v>1259</v>
      </c>
      <c r="H75" s="493"/>
      <c r="I75" s="493"/>
      <c r="J75" s="493"/>
      <c r="K75" s="223"/>
      <c r="L75" s="492" t="s">
        <v>544</v>
      </c>
      <c r="M75" s="492"/>
      <c r="N75" s="492"/>
      <c r="O75" s="492"/>
      <c r="P75" s="492"/>
      <c r="Q75" s="493">
        <f>CEILING(1014*B5,1)</f>
        <v>1420</v>
      </c>
      <c r="R75" s="493"/>
      <c r="S75" s="493"/>
      <c r="T75" s="493"/>
      <c r="U75" s="223"/>
      <c r="V75" s="492" t="s">
        <v>544</v>
      </c>
      <c r="W75" s="492"/>
      <c r="X75" s="492"/>
      <c r="Y75" s="492"/>
      <c r="Z75" s="492"/>
      <c r="AA75" s="493">
        <f>CEILING(1218*B5,1)</f>
        <v>1706</v>
      </c>
      <c r="AB75" s="493"/>
      <c r="AC75" s="493"/>
      <c r="AD75" s="493"/>
      <c r="AE75" s="223"/>
      <c r="AF75" s="492" t="s">
        <v>544</v>
      </c>
      <c r="AG75" s="492"/>
      <c r="AH75" s="492"/>
      <c r="AI75" s="492"/>
      <c r="AJ75" s="492"/>
      <c r="AK75" s="493">
        <f>CEILING(1547*B5,1)</f>
        <v>2166</v>
      </c>
      <c r="AL75" s="493"/>
      <c r="AM75" s="493"/>
      <c r="AN75" s="493"/>
      <c r="AO75" s="223"/>
      <c r="AP75" s="492" t="s">
        <v>61</v>
      </c>
      <c r="AQ75" s="492"/>
      <c r="AR75" s="492"/>
      <c r="AS75" s="492"/>
      <c r="AT75" s="492"/>
      <c r="AU75" s="493">
        <f>CEILING(1570*B5,1)</f>
        <v>2198</v>
      </c>
      <c r="AV75" s="493"/>
      <c r="AW75" s="493"/>
      <c r="AX75" s="493"/>
      <c r="AY75" s="223"/>
      <c r="AZ75" s="492" t="s">
        <v>61</v>
      </c>
      <c r="BA75" s="492"/>
      <c r="BB75" s="492"/>
      <c r="BC75" s="492"/>
      <c r="BD75" s="492"/>
      <c r="BE75" s="493">
        <f>CEILING(1968*B5,1)</f>
        <v>2756</v>
      </c>
      <c r="BF75" s="493"/>
      <c r="BG75" s="493"/>
      <c r="BH75" s="493"/>
      <c r="BI75" s="223"/>
      <c r="BJ75" s="555" t="s">
        <v>613</v>
      </c>
      <c r="BK75" s="555"/>
      <c r="BL75" s="555"/>
      <c r="BM75" s="555"/>
      <c r="BN75" s="555"/>
      <c r="BO75" s="493">
        <f>CEILING(2275*B5,1)</f>
        <v>3185</v>
      </c>
      <c r="BP75" s="493"/>
      <c r="BQ75" s="493"/>
      <c r="BR75" s="493"/>
      <c r="BS75" s="26"/>
      <c r="BT75" s="26"/>
    </row>
    <row r="76" spans="1:80" s="23" customFormat="1" ht="1.5" customHeight="1" x14ac:dyDescent="0.25">
      <c r="A76" s="26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99"/>
      <c r="BG76" s="99"/>
      <c r="BH76" s="99"/>
      <c r="BI76" s="99"/>
      <c r="BJ76" s="99"/>
      <c r="BK76" s="99"/>
      <c r="BL76" s="99"/>
      <c r="BM76" s="99"/>
      <c r="BN76" s="99"/>
      <c r="BO76" s="99"/>
      <c r="BP76" s="99"/>
      <c r="BQ76" s="99"/>
      <c r="BR76" s="99"/>
      <c r="BS76" s="26"/>
      <c r="BT76" s="26"/>
    </row>
    <row r="77" spans="1:80" s="23" customFormat="1" ht="9" customHeight="1" x14ac:dyDescent="0.25">
      <c r="A77" s="26"/>
      <c r="B77" s="474" t="s">
        <v>545</v>
      </c>
      <c r="C77" s="475"/>
      <c r="D77" s="476"/>
      <c r="E77" s="505" t="s">
        <v>552</v>
      </c>
      <c r="F77" s="505"/>
      <c r="G77" s="505"/>
      <c r="H77" s="505"/>
      <c r="I77" s="505"/>
      <c r="J77" s="506"/>
      <c r="K77" s="87"/>
      <c r="L77" s="474" t="s">
        <v>546</v>
      </c>
      <c r="M77" s="475"/>
      <c r="N77" s="476"/>
      <c r="O77" s="505" t="s">
        <v>552</v>
      </c>
      <c r="P77" s="505"/>
      <c r="Q77" s="505"/>
      <c r="R77" s="505"/>
      <c r="S77" s="505"/>
      <c r="T77" s="506"/>
      <c r="U77" s="87"/>
      <c r="V77" s="474" t="s">
        <v>547</v>
      </c>
      <c r="W77" s="475"/>
      <c r="X77" s="476"/>
      <c r="Y77" s="505" t="s">
        <v>552</v>
      </c>
      <c r="Z77" s="505"/>
      <c r="AA77" s="505"/>
      <c r="AB77" s="505"/>
      <c r="AC77" s="505"/>
      <c r="AD77" s="506"/>
      <c r="AE77" s="87"/>
      <c r="AF77" s="474" t="s">
        <v>548</v>
      </c>
      <c r="AG77" s="475"/>
      <c r="AH77" s="476"/>
      <c r="AI77" s="505" t="s">
        <v>553</v>
      </c>
      <c r="AJ77" s="505"/>
      <c r="AK77" s="505"/>
      <c r="AL77" s="505"/>
      <c r="AM77" s="505"/>
      <c r="AN77" s="506"/>
      <c r="AO77" s="87"/>
      <c r="AP77" s="474" t="s">
        <v>549</v>
      </c>
      <c r="AQ77" s="475"/>
      <c r="AR77" s="476"/>
      <c r="AS77" s="505" t="s">
        <v>553</v>
      </c>
      <c r="AT77" s="505"/>
      <c r="AU77" s="505"/>
      <c r="AV77" s="505"/>
      <c r="AW77" s="505"/>
      <c r="AX77" s="506"/>
      <c r="AY77" s="87"/>
      <c r="AZ77" s="474" t="s">
        <v>550</v>
      </c>
      <c r="BA77" s="475"/>
      <c r="BB77" s="476"/>
      <c r="BC77" s="505" t="s">
        <v>525</v>
      </c>
      <c r="BD77" s="505"/>
      <c r="BE77" s="505"/>
      <c r="BF77" s="505"/>
      <c r="BG77" s="505"/>
      <c r="BH77" s="506"/>
      <c r="BI77" s="106"/>
      <c r="BJ77" s="474" t="s">
        <v>551</v>
      </c>
      <c r="BK77" s="475"/>
      <c r="BL77" s="476"/>
      <c r="BM77" s="505" t="s">
        <v>525</v>
      </c>
      <c r="BN77" s="505"/>
      <c r="BO77" s="505"/>
      <c r="BP77" s="505"/>
      <c r="BQ77" s="505"/>
      <c r="BR77" s="506"/>
      <c r="BS77" s="26"/>
      <c r="BT77" s="530"/>
      <c r="BU77" s="530"/>
      <c r="BV77" s="530"/>
      <c r="BW77" s="530"/>
      <c r="BX77" s="530"/>
      <c r="BY77" s="530"/>
      <c r="BZ77" s="530"/>
      <c r="CA77" s="530"/>
      <c r="CB77" s="530"/>
    </row>
    <row r="78" spans="1:80" s="32" customFormat="1" ht="9" customHeight="1" x14ac:dyDescent="0.25">
      <c r="A78" s="34"/>
      <c r="B78" s="103"/>
      <c r="C78" s="90"/>
      <c r="D78" s="90"/>
      <c r="E78" s="90"/>
      <c r="F78" s="90"/>
      <c r="G78" s="90"/>
      <c r="H78" s="90"/>
      <c r="I78" s="90"/>
      <c r="J78" s="91"/>
      <c r="K78" s="90"/>
      <c r="L78" s="103"/>
      <c r="M78" s="90"/>
      <c r="N78" s="90"/>
      <c r="O78" s="90"/>
      <c r="P78" s="90"/>
      <c r="Q78" s="90"/>
      <c r="R78" s="90"/>
      <c r="S78" s="90"/>
      <c r="T78" s="91"/>
      <c r="U78" s="90"/>
      <c r="V78" s="103"/>
      <c r="W78" s="90"/>
      <c r="X78" s="90"/>
      <c r="Y78" s="90"/>
      <c r="Z78" s="90"/>
      <c r="AA78" s="90"/>
      <c r="AB78" s="90"/>
      <c r="AC78" s="90"/>
      <c r="AD78" s="91"/>
      <c r="AE78" s="90"/>
      <c r="AF78" s="103"/>
      <c r="AG78" s="90"/>
      <c r="AH78" s="90"/>
      <c r="AI78" s="90"/>
      <c r="AJ78" s="90"/>
      <c r="AK78" s="90"/>
      <c r="AL78" s="90"/>
      <c r="AM78" s="90"/>
      <c r="AN78" s="91"/>
      <c r="AO78" s="90"/>
      <c r="AP78" s="103"/>
      <c r="AQ78" s="90"/>
      <c r="AR78" s="90"/>
      <c r="AS78" s="90"/>
      <c r="AT78" s="90"/>
      <c r="AU78" s="90"/>
      <c r="AV78" s="90"/>
      <c r="AW78" s="90"/>
      <c r="AX78" s="91"/>
      <c r="AY78" s="90"/>
      <c r="AZ78" s="489" t="s">
        <v>554</v>
      </c>
      <c r="BA78" s="490"/>
      <c r="BB78" s="490"/>
      <c r="BC78" s="490"/>
      <c r="BD78" s="490"/>
      <c r="BE78" s="490"/>
      <c r="BF78" s="490"/>
      <c r="BG78" s="490"/>
      <c r="BH78" s="491"/>
      <c r="BI78" s="91"/>
      <c r="BJ78" s="489" t="s">
        <v>555</v>
      </c>
      <c r="BK78" s="490"/>
      <c r="BL78" s="490"/>
      <c r="BM78" s="490"/>
      <c r="BN78" s="490"/>
      <c r="BO78" s="490"/>
      <c r="BP78" s="490"/>
      <c r="BQ78" s="490"/>
      <c r="BR78" s="491"/>
      <c r="BS78" s="34"/>
      <c r="BT78" s="34"/>
      <c r="BU78" s="34"/>
      <c r="BV78" s="34"/>
      <c r="BW78" s="34"/>
      <c r="BX78" s="34"/>
      <c r="BY78" s="34"/>
      <c r="BZ78" s="34"/>
      <c r="CA78" s="34"/>
      <c r="CB78" s="34"/>
    </row>
    <row r="79" spans="1:80" s="23" customFormat="1" ht="9" customHeight="1" x14ac:dyDescent="0.25">
      <c r="A79" s="26"/>
      <c r="B79" s="103"/>
      <c r="C79" s="90"/>
      <c r="D79" s="90"/>
      <c r="E79" s="90"/>
      <c r="F79" s="90"/>
      <c r="G79" s="90"/>
      <c r="H79" s="90"/>
      <c r="I79" s="90"/>
      <c r="J79" s="91"/>
      <c r="K79" s="87"/>
      <c r="L79" s="103"/>
      <c r="M79" s="90"/>
      <c r="N79" s="90"/>
      <c r="O79" s="90"/>
      <c r="P79" s="90"/>
      <c r="Q79" s="90"/>
      <c r="R79" s="90"/>
      <c r="S79" s="90"/>
      <c r="T79" s="91"/>
      <c r="U79" s="87"/>
      <c r="V79" s="103"/>
      <c r="W79" s="90"/>
      <c r="X79" s="90"/>
      <c r="Y79" s="90"/>
      <c r="Z79" s="90"/>
      <c r="AA79" s="90"/>
      <c r="AB79" s="90"/>
      <c r="AC79" s="90"/>
      <c r="AD79" s="91"/>
      <c r="AE79" s="87"/>
      <c r="AF79" s="103"/>
      <c r="AG79" s="90"/>
      <c r="AH79" s="90"/>
      <c r="AI79" s="90"/>
      <c r="AJ79" s="90"/>
      <c r="AK79" s="90"/>
      <c r="AL79" s="90"/>
      <c r="AM79" s="90"/>
      <c r="AN79" s="91"/>
      <c r="AO79" s="87"/>
      <c r="AP79" s="103"/>
      <c r="AQ79" s="90"/>
      <c r="AR79" s="90"/>
      <c r="AS79" s="90"/>
      <c r="AT79" s="90"/>
      <c r="AU79" s="90"/>
      <c r="AV79" s="90"/>
      <c r="AW79" s="90"/>
      <c r="AX79" s="91"/>
      <c r="AY79" s="87"/>
      <c r="AZ79" s="103"/>
      <c r="BA79" s="90"/>
      <c r="BB79" s="90"/>
      <c r="BC79" s="90"/>
      <c r="BD79" s="90"/>
      <c r="BE79" s="90"/>
      <c r="BF79" s="90"/>
      <c r="BG79" s="90"/>
      <c r="BH79" s="91"/>
      <c r="BI79" s="108"/>
      <c r="BJ79" s="103"/>
      <c r="BK79" s="90"/>
      <c r="BL79" s="90"/>
      <c r="BM79" s="90"/>
      <c r="BN79" s="90"/>
      <c r="BO79" s="90"/>
      <c r="BP79" s="90"/>
      <c r="BQ79" s="90"/>
      <c r="BR79" s="91"/>
      <c r="BS79" s="26"/>
      <c r="BT79" s="33"/>
      <c r="BU79" s="33"/>
      <c r="BV79" s="33"/>
      <c r="BW79" s="34"/>
      <c r="BX79" s="34"/>
      <c r="BY79" s="34"/>
      <c r="BZ79" s="34"/>
      <c r="CA79" s="34"/>
      <c r="CB79" s="34"/>
    </row>
    <row r="80" spans="1:80" s="23" customFormat="1" ht="9" customHeight="1" x14ac:dyDescent="0.25">
      <c r="A80" s="26"/>
      <c r="B80" s="103"/>
      <c r="C80" s="90"/>
      <c r="D80" s="90"/>
      <c r="E80" s="90"/>
      <c r="F80" s="90"/>
      <c r="G80" s="90"/>
      <c r="H80" s="90"/>
      <c r="I80" s="90"/>
      <c r="J80" s="91"/>
      <c r="K80" s="87"/>
      <c r="L80" s="103"/>
      <c r="M80" s="90"/>
      <c r="N80" s="90"/>
      <c r="O80" s="90"/>
      <c r="P80" s="90"/>
      <c r="Q80" s="90"/>
      <c r="R80" s="90"/>
      <c r="S80" s="90"/>
      <c r="T80" s="91"/>
      <c r="U80" s="87"/>
      <c r="V80" s="103"/>
      <c r="W80" s="90"/>
      <c r="X80" s="90"/>
      <c r="Y80" s="90"/>
      <c r="Z80" s="90"/>
      <c r="AA80" s="90"/>
      <c r="AB80" s="90"/>
      <c r="AC80" s="90"/>
      <c r="AD80" s="91"/>
      <c r="AE80" s="87"/>
      <c r="AF80" s="103"/>
      <c r="AG80" s="90"/>
      <c r="AH80" s="90"/>
      <c r="AI80" s="90"/>
      <c r="AJ80" s="90"/>
      <c r="AK80" s="90"/>
      <c r="AL80" s="90"/>
      <c r="AM80" s="90"/>
      <c r="AN80" s="91"/>
      <c r="AO80" s="87"/>
      <c r="AP80" s="103"/>
      <c r="AQ80" s="90"/>
      <c r="AR80" s="90"/>
      <c r="AS80" s="90"/>
      <c r="AT80" s="90"/>
      <c r="AU80" s="90"/>
      <c r="AV80" s="90"/>
      <c r="AW80" s="90"/>
      <c r="AX80" s="91"/>
      <c r="AY80" s="87"/>
      <c r="AZ80" s="103"/>
      <c r="BA80" s="90"/>
      <c r="BB80" s="90"/>
      <c r="BC80" s="90"/>
      <c r="BD80" s="90"/>
      <c r="BE80" s="90"/>
      <c r="BF80" s="90"/>
      <c r="BG80" s="90"/>
      <c r="BH80" s="91"/>
      <c r="BI80" s="108"/>
      <c r="BJ80" s="103"/>
      <c r="BK80" s="90"/>
      <c r="BL80" s="90"/>
      <c r="BM80" s="90"/>
      <c r="BN80" s="90"/>
      <c r="BO80" s="90"/>
      <c r="BP80" s="90"/>
      <c r="BQ80" s="90"/>
      <c r="BR80" s="91"/>
      <c r="BS80" s="26"/>
      <c r="BT80" s="33"/>
      <c r="BU80" s="33"/>
      <c r="BV80" s="33"/>
      <c r="BW80" s="34"/>
      <c r="BX80" s="34"/>
      <c r="BY80" s="34"/>
      <c r="BZ80" s="34"/>
      <c r="CA80" s="34"/>
      <c r="CB80" s="34"/>
    </row>
    <row r="81" spans="1:80" s="23" customFormat="1" ht="9" customHeight="1" x14ac:dyDescent="0.25">
      <c r="A81" s="26"/>
      <c r="B81" s="88"/>
      <c r="C81" s="87"/>
      <c r="D81" s="87"/>
      <c r="E81" s="87"/>
      <c r="F81" s="87"/>
      <c r="G81" s="87"/>
      <c r="H81" s="87"/>
      <c r="I81" s="87"/>
      <c r="J81" s="89"/>
      <c r="K81" s="87"/>
      <c r="L81" s="88"/>
      <c r="M81" s="87"/>
      <c r="N81" s="87"/>
      <c r="O81" s="87"/>
      <c r="P81" s="87"/>
      <c r="Q81" s="87"/>
      <c r="R81" s="87"/>
      <c r="S81" s="87"/>
      <c r="T81" s="89"/>
      <c r="U81" s="87"/>
      <c r="V81" s="88"/>
      <c r="W81" s="87"/>
      <c r="X81" s="87"/>
      <c r="Y81" s="87"/>
      <c r="Z81" s="87"/>
      <c r="AA81" s="87"/>
      <c r="AB81" s="87"/>
      <c r="AC81" s="87"/>
      <c r="AD81" s="89"/>
      <c r="AE81" s="87"/>
      <c r="AF81" s="88"/>
      <c r="AG81" s="87"/>
      <c r="AH81" s="87"/>
      <c r="AI81" s="87"/>
      <c r="AJ81" s="87"/>
      <c r="AK81" s="87"/>
      <c r="AL81" s="87"/>
      <c r="AM81" s="87"/>
      <c r="AN81" s="89"/>
      <c r="AO81" s="87"/>
      <c r="AP81" s="88"/>
      <c r="AQ81" s="87"/>
      <c r="AR81" s="87"/>
      <c r="AS81" s="87"/>
      <c r="AT81" s="87"/>
      <c r="AU81" s="87"/>
      <c r="AV81" s="87"/>
      <c r="AW81" s="87"/>
      <c r="AX81" s="89"/>
      <c r="AY81" s="87"/>
      <c r="AZ81" s="88"/>
      <c r="BA81" s="87"/>
      <c r="BB81" s="87"/>
      <c r="BC81" s="87"/>
      <c r="BD81" s="87"/>
      <c r="BE81" s="87"/>
      <c r="BF81" s="87"/>
      <c r="BG81" s="87"/>
      <c r="BH81" s="89"/>
      <c r="BI81" s="108"/>
      <c r="BJ81" s="88"/>
      <c r="BK81" s="87"/>
      <c r="BL81" s="87"/>
      <c r="BM81" s="87"/>
      <c r="BN81" s="87"/>
      <c r="BO81" s="87"/>
      <c r="BP81" s="87"/>
      <c r="BQ81" s="87"/>
      <c r="BR81" s="89"/>
      <c r="BS81" s="26"/>
      <c r="BT81" s="33"/>
      <c r="BU81" s="33"/>
      <c r="BV81" s="33"/>
      <c r="BW81" s="34"/>
      <c r="BX81" s="34"/>
      <c r="BY81" s="34"/>
      <c r="BZ81" s="34"/>
      <c r="CA81" s="34"/>
      <c r="CB81" s="34"/>
    </row>
    <row r="82" spans="1:80" s="23" customFormat="1" ht="9" customHeight="1" x14ac:dyDescent="0.25">
      <c r="A82" s="26"/>
      <c r="B82" s="107"/>
      <c r="C82" s="106"/>
      <c r="D82" s="106"/>
      <c r="E82" s="106"/>
      <c r="F82" s="106"/>
      <c r="G82" s="106"/>
      <c r="H82" s="106"/>
      <c r="I82" s="106"/>
      <c r="J82" s="108"/>
      <c r="K82" s="87"/>
      <c r="L82" s="107"/>
      <c r="M82" s="106"/>
      <c r="N82" s="106"/>
      <c r="O82" s="106"/>
      <c r="P82" s="106"/>
      <c r="Q82" s="106"/>
      <c r="R82" s="106"/>
      <c r="S82" s="106"/>
      <c r="T82" s="108"/>
      <c r="U82" s="87"/>
      <c r="V82" s="107"/>
      <c r="W82" s="106"/>
      <c r="X82" s="106"/>
      <c r="Y82" s="106"/>
      <c r="Z82" s="106"/>
      <c r="AA82" s="106"/>
      <c r="AB82" s="106"/>
      <c r="AC82" s="106"/>
      <c r="AD82" s="108"/>
      <c r="AE82" s="87"/>
      <c r="AF82" s="107"/>
      <c r="AG82" s="106"/>
      <c r="AH82" s="106"/>
      <c r="AI82" s="106"/>
      <c r="AJ82" s="106"/>
      <c r="AK82" s="106"/>
      <c r="AL82" s="106"/>
      <c r="AM82" s="106"/>
      <c r="AN82" s="108"/>
      <c r="AO82" s="87"/>
      <c r="AP82" s="107"/>
      <c r="AQ82" s="106"/>
      <c r="AR82" s="106"/>
      <c r="AS82" s="106"/>
      <c r="AT82" s="106"/>
      <c r="AU82" s="106"/>
      <c r="AV82" s="106"/>
      <c r="AW82" s="106"/>
      <c r="AX82" s="108"/>
      <c r="AY82" s="87"/>
      <c r="AZ82" s="107"/>
      <c r="BA82" s="106"/>
      <c r="BB82" s="106"/>
      <c r="BC82" s="106"/>
      <c r="BD82" s="106"/>
      <c r="BE82" s="106"/>
      <c r="BF82" s="106"/>
      <c r="BG82" s="106"/>
      <c r="BH82" s="108"/>
      <c r="BI82" s="108"/>
      <c r="BJ82" s="107"/>
      <c r="BK82" s="106"/>
      <c r="BL82" s="106"/>
      <c r="BM82" s="106"/>
      <c r="BN82" s="106"/>
      <c r="BO82" s="106"/>
      <c r="BP82" s="106"/>
      <c r="BQ82" s="106"/>
      <c r="BR82" s="108"/>
      <c r="BS82" s="26"/>
      <c r="BT82" s="33"/>
      <c r="BU82" s="33"/>
      <c r="BV82" s="33"/>
      <c r="BW82" s="34"/>
      <c r="BX82" s="34"/>
      <c r="BY82" s="34"/>
      <c r="BZ82" s="34"/>
      <c r="CA82" s="34"/>
      <c r="CB82" s="34"/>
    </row>
    <row r="83" spans="1:80" s="23" customFormat="1" ht="9" customHeight="1" x14ac:dyDescent="0.25">
      <c r="A83" s="26"/>
      <c r="B83" s="107"/>
      <c r="C83" s="106"/>
      <c r="D83" s="106"/>
      <c r="E83" s="106"/>
      <c r="F83" s="106"/>
      <c r="G83" s="106"/>
      <c r="H83" s="106"/>
      <c r="I83" s="106"/>
      <c r="J83" s="108"/>
      <c r="K83" s="87"/>
      <c r="L83" s="107"/>
      <c r="M83" s="106"/>
      <c r="N83" s="106"/>
      <c r="O83" s="106"/>
      <c r="P83" s="106"/>
      <c r="Q83" s="106"/>
      <c r="R83" s="106"/>
      <c r="S83" s="106"/>
      <c r="T83" s="108"/>
      <c r="U83" s="87"/>
      <c r="V83" s="107"/>
      <c r="W83" s="106"/>
      <c r="X83" s="106"/>
      <c r="Y83" s="106"/>
      <c r="Z83" s="106"/>
      <c r="AA83" s="106"/>
      <c r="AB83" s="106"/>
      <c r="AC83" s="106"/>
      <c r="AD83" s="108"/>
      <c r="AE83" s="87"/>
      <c r="AF83" s="107"/>
      <c r="AG83" s="106"/>
      <c r="AH83" s="106"/>
      <c r="AI83" s="106"/>
      <c r="AJ83" s="106"/>
      <c r="AK83" s="106"/>
      <c r="AL83" s="106"/>
      <c r="AM83" s="106"/>
      <c r="AN83" s="108"/>
      <c r="AO83" s="87"/>
      <c r="AP83" s="107"/>
      <c r="AQ83" s="106"/>
      <c r="AR83" s="106"/>
      <c r="AS83" s="106"/>
      <c r="AT83" s="106"/>
      <c r="AU83" s="106"/>
      <c r="AV83" s="106"/>
      <c r="AW83" s="106"/>
      <c r="AX83" s="108"/>
      <c r="AY83" s="87"/>
      <c r="AZ83" s="107"/>
      <c r="BA83" s="106"/>
      <c r="BB83" s="106"/>
      <c r="BC83" s="106"/>
      <c r="BD83" s="106"/>
      <c r="BE83" s="106"/>
      <c r="BF83" s="106"/>
      <c r="BG83" s="106"/>
      <c r="BH83" s="108"/>
      <c r="BI83" s="108"/>
      <c r="BJ83" s="107"/>
      <c r="BK83" s="106"/>
      <c r="BL83" s="106"/>
      <c r="BM83" s="106"/>
      <c r="BN83" s="106"/>
      <c r="BO83" s="106"/>
      <c r="BP83" s="106"/>
      <c r="BQ83" s="106"/>
      <c r="BR83" s="108"/>
      <c r="BS83" s="26"/>
      <c r="BT83" s="33"/>
      <c r="BU83" s="33"/>
      <c r="BV83" s="33"/>
      <c r="BW83" s="34"/>
      <c r="BX83" s="34"/>
      <c r="BY83" s="34"/>
      <c r="BZ83" s="34"/>
      <c r="CA83" s="34"/>
      <c r="CB83" s="34"/>
    </row>
    <row r="84" spans="1:80" s="23" customFormat="1" ht="9" customHeight="1" x14ac:dyDescent="0.25">
      <c r="A84" s="26"/>
      <c r="B84" s="107"/>
      <c r="C84" s="106"/>
      <c r="D84" s="106"/>
      <c r="E84" s="106"/>
      <c r="F84" s="106"/>
      <c r="G84" s="106"/>
      <c r="H84" s="106"/>
      <c r="I84" s="106"/>
      <c r="J84" s="108"/>
      <c r="K84" s="87"/>
      <c r="L84" s="107"/>
      <c r="M84" s="106"/>
      <c r="N84" s="106"/>
      <c r="O84" s="106"/>
      <c r="P84" s="106"/>
      <c r="Q84" s="106"/>
      <c r="R84" s="106"/>
      <c r="S84" s="106"/>
      <c r="T84" s="108"/>
      <c r="U84" s="87"/>
      <c r="V84" s="107"/>
      <c r="W84" s="106"/>
      <c r="X84" s="106"/>
      <c r="Y84" s="106"/>
      <c r="Z84" s="106"/>
      <c r="AA84" s="106"/>
      <c r="AB84" s="106"/>
      <c r="AC84" s="106"/>
      <c r="AD84" s="108"/>
      <c r="AE84" s="87"/>
      <c r="AF84" s="107"/>
      <c r="AG84" s="106"/>
      <c r="AH84" s="106"/>
      <c r="AI84" s="106"/>
      <c r="AJ84" s="106"/>
      <c r="AK84" s="106"/>
      <c r="AL84" s="106"/>
      <c r="AM84" s="106"/>
      <c r="AN84" s="108"/>
      <c r="AO84" s="87"/>
      <c r="AP84" s="107"/>
      <c r="AQ84" s="106"/>
      <c r="AR84" s="106"/>
      <c r="AS84" s="106"/>
      <c r="AT84" s="106"/>
      <c r="AU84" s="106"/>
      <c r="AV84" s="106"/>
      <c r="AW84" s="106"/>
      <c r="AX84" s="108"/>
      <c r="AY84" s="87"/>
      <c r="AZ84" s="107"/>
      <c r="BA84" s="106"/>
      <c r="BB84" s="106"/>
      <c r="BC84" s="106"/>
      <c r="BD84" s="106"/>
      <c r="BE84" s="106"/>
      <c r="BF84" s="106"/>
      <c r="BG84" s="106"/>
      <c r="BH84" s="108"/>
      <c r="BI84" s="108"/>
      <c r="BJ84" s="107"/>
      <c r="BK84" s="106"/>
      <c r="BL84" s="106"/>
      <c r="BM84" s="106"/>
      <c r="BN84" s="106"/>
      <c r="BO84" s="106"/>
      <c r="BP84" s="106"/>
      <c r="BQ84" s="106"/>
      <c r="BR84" s="108"/>
      <c r="BS84" s="26"/>
      <c r="BT84" s="33"/>
      <c r="BU84" s="33"/>
      <c r="BV84" s="33"/>
      <c r="BW84" s="33"/>
      <c r="BX84" s="33"/>
      <c r="BY84" s="33"/>
      <c r="BZ84" s="33"/>
      <c r="CA84" s="33"/>
      <c r="CB84" s="33"/>
    </row>
    <row r="85" spans="1:80" s="23" customFormat="1" ht="9" customHeight="1" x14ac:dyDescent="0.25">
      <c r="A85" s="26"/>
      <c r="B85" s="107"/>
      <c r="C85" s="106"/>
      <c r="D85" s="106"/>
      <c r="E85" s="106"/>
      <c r="F85" s="106"/>
      <c r="G85" s="106"/>
      <c r="H85" s="106"/>
      <c r="I85" s="106"/>
      <c r="J85" s="108"/>
      <c r="K85" s="87"/>
      <c r="L85" s="107"/>
      <c r="M85" s="106"/>
      <c r="N85" s="106"/>
      <c r="O85" s="106"/>
      <c r="P85" s="106"/>
      <c r="Q85" s="106"/>
      <c r="R85" s="106"/>
      <c r="S85" s="106"/>
      <c r="T85" s="108"/>
      <c r="U85" s="87"/>
      <c r="V85" s="107"/>
      <c r="W85" s="106"/>
      <c r="X85" s="106"/>
      <c r="Y85" s="106"/>
      <c r="Z85" s="106"/>
      <c r="AA85" s="106"/>
      <c r="AB85" s="106"/>
      <c r="AC85" s="106"/>
      <c r="AD85" s="108"/>
      <c r="AE85" s="87"/>
      <c r="AF85" s="107"/>
      <c r="AG85" s="106"/>
      <c r="AH85" s="106"/>
      <c r="AI85" s="106"/>
      <c r="AJ85" s="106"/>
      <c r="AK85" s="106"/>
      <c r="AL85" s="106"/>
      <c r="AM85" s="106"/>
      <c r="AN85" s="108"/>
      <c r="AO85" s="87"/>
      <c r="AP85" s="107"/>
      <c r="AQ85" s="106"/>
      <c r="AR85" s="106"/>
      <c r="AS85" s="106"/>
      <c r="AT85" s="106"/>
      <c r="AU85" s="106"/>
      <c r="AV85" s="106"/>
      <c r="AW85" s="106"/>
      <c r="AX85" s="108"/>
      <c r="AY85" s="87"/>
      <c r="AZ85" s="107"/>
      <c r="BA85" s="106"/>
      <c r="BB85" s="106"/>
      <c r="BC85" s="106"/>
      <c r="BD85" s="106"/>
      <c r="BE85" s="106"/>
      <c r="BF85" s="106"/>
      <c r="BG85" s="106"/>
      <c r="BH85" s="108"/>
      <c r="BI85" s="108"/>
      <c r="BJ85" s="107"/>
      <c r="BK85" s="106"/>
      <c r="BL85" s="106"/>
      <c r="BM85" s="106"/>
      <c r="BN85" s="106"/>
      <c r="BO85" s="106"/>
      <c r="BP85" s="106"/>
      <c r="BQ85" s="106"/>
      <c r="BR85" s="108"/>
      <c r="BS85" s="26"/>
      <c r="BT85" s="33"/>
      <c r="BU85" s="33"/>
      <c r="BV85" s="33"/>
      <c r="BW85" s="33"/>
      <c r="BX85" s="33"/>
      <c r="BY85" s="33"/>
      <c r="BZ85" s="33"/>
      <c r="CA85" s="33"/>
      <c r="CB85" s="33"/>
    </row>
    <row r="86" spans="1:80" s="23" customFormat="1" ht="9" customHeight="1" x14ac:dyDescent="0.25">
      <c r="A86" s="26"/>
      <c r="B86" s="107"/>
      <c r="C86" s="106"/>
      <c r="D86" s="106"/>
      <c r="E86" s="106"/>
      <c r="F86" s="106"/>
      <c r="G86" s="106"/>
      <c r="H86" s="106"/>
      <c r="I86" s="106"/>
      <c r="J86" s="108"/>
      <c r="K86" s="87"/>
      <c r="L86" s="107"/>
      <c r="M86" s="106"/>
      <c r="N86" s="106"/>
      <c r="O86" s="106"/>
      <c r="P86" s="106"/>
      <c r="Q86" s="106"/>
      <c r="R86" s="106"/>
      <c r="S86" s="106"/>
      <c r="T86" s="108"/>
      <c r="U86" s="87"/>
      <c r="V86" s="107"/>
      <c r="W86" s="106"/>
      <c r="X86" s="106"/>
      <c r="Y86" s="106"/>
      <c r="Z86" s="106"/>
      <c r="AA86" s="106"/>
      <c r="AB86" s="106"/>
      <c r="AC86" s="106"/>
      <c r="AD86" s="108"/>
      <c r="AE86" s="87"/>
      <c r="AF86" s="107"/>
      <c r="AG86" s="106"/>
      <c r="AH86" s="106"/>
      <c r="AI86" s="106"/>
      <c r="AJ86" s="106"/>
      <c r="AK86" s="106"/>
      <c r="AL86" s="106"/>
      <c r="AM86" s="106"/>
      <c r="AN86" s="108"/>
      <c r="AO86" s="87"/>
      <c r="AP86" s="107"/>
      <c r="AQ86" s="106"/>
      <c r="AR86" s="106"/>
      <c r="AS86" s="106"/>
      <c r="AT86" s="106"/>
      <c r="AU86" s="106"/>
      <c r="AV86" s="106"/>
      <c r="AW86" s="106"/>
      <c r="AX86" s="108"/>
      <c r="AY86" s="87"/>
      <c r="AZ86" s="107"/>
      <c r="BA86" s="106"/>
      <c r="BB86" s="106"/>
      <c r="BC86" s="106"/>
      <c r="BD86" s="106"/>
      <c r="BE86" s="106"/>
      <c r="BF86" s="106"/>
      <c r="BG86" s="106"/>
      <c r="BH86" s="108"/>
      <c r="BI86" s="108"/>
      <c r="BJ86" s="107"/>
      <c r="BK86" s="106"/>
      <c r="BL86" s="106"/>
      <c r="BM86" s="106"/>
      <c r="BN86" s="106"/>
      <c r="BO86" s="106"/>
      <c r="BP86" s="106"/>
      <c r="BQ86" s="106"/>
      <c r="BR86" s="108"/>
      <c r="BS86" s="26"/>
      <c r="BT86" s="33"/>
      <c r="BU86" s="33"/>
      <c r="BV86" s="33"/>
      <c r="BW86" s="33"/>
      <c r="BX86" s="33"/>
      <c r="BY86" s="33"/>
      <c r="BZ86" s="33"/>
      <c r="CA86" s="33"/>
      <c r="CB86" s="33"/>
    </row>
    <row r="87" spans="1:80" s="23" customFormat="1" ht="9" customHeight="1" x14ac:dyDescent="0.25">
      <c r="A87" s="26"/>
      <c r="B87" s="88"/>
      <c r="C87" s="87"/>
      <c r="D87" s="87"/>
      <c r="E87" s="87"/>
      <c r="F87" s="87"/>
      <c r="G87" s="87"/>
      <c r="H87" s="87"/>
      <c r="I87" s="87"/>
      <c r="J87" s="89"/>
      <c r="K87" s="87"/>
      <c r="L87" s="88"/>
      <c r="M87" s="87"/>
      <c r="N87" s="87"/>
      <c r="O87" s="87"/>
      <c r="P87" s="87"/>
      <c r="Q87" s="87"/>
      <c r="R87" s="87"/>
      <c r="S87" s="87"/>
      <c r="T87" s="89"/>
      <c r="U87" s="87"/>
      <c r="V87" s="88"/>
      <c r="W87" s="87"/>
      <c r="X87" s="87"/>
      <c r="Y87" s="87"/>
      <c r="Z87" s="87"/>
      <c r="AA87" s="87"/>
      <c r="AB87" s="87"/>
      <c r="AC87" s="87"/>
      <c r="AD87" s="89"/>
      <c r="AE87" s="87"/>
      <c r="AF87" s="88"/>
      <c r="AG87" s="87"/>
      <c r="AH87" s="87"/>
      <c r="AI87" s="87"/>
      <c r="AJ87" s="87"/>
      <c r="AK87" s="87"/>
      <c r="AL87" s="87"/>
      <c r="AM87" s="87"/>
      <c r="AN87" s="89"/>
      <c r="AO87" s="87"/>
      <c r="AP87" s="88"/>
      <c r="AQ87" s="87"/>
      <c r="AR87" s="87"/>
      <c r="AS87" s="87"/>
      <c r="AT87" s="87"/>
      <c r="AU87" s="87"/>
      <c r="AV87" s="87"/>
      <c r="AW87" s="87"/>
      <c r="AX87" s="89"/>
      <c r="AY87" s="87"/>
      <c r="AZ87" s="88"/>
      <c r="BA87" s="87"/>
      <c r="BB87" s="87"/>
      <c r="BC87" s="87"/>
      <c r="BD87" s="87"/>
      <c r="BE87" s="87"/>
      <c r="BF87" s="87"/>
      <c r="BG87" s="87"/>
      <c r="BH87" s="89"/>
      <c r="BI87" s="89"/>
      <c r="BJ87" s="88"/>
      <c r="BK87" s="87"/>
      <c r="BL87" s="87"/>
      <c r="BM87" s="87"/>
      <c r="BN87" s="87"/>
      <c r="BO87" s="87"/>
      <c r="BP87" s="87"/>
      <c r="BQ87" s="87"/>
      <c r="BR87" s="89"/>
      <c r="BS87" s="26"/>
      <c r="BT87" s="33"/>
      <c r="BU87" s="33"/>
      <c r="BV87" s="33"/>
      <c r="BW87" s="33"/>
      <c r="BX87" s="33"/>
      <c r="BY87" s="33"/>
      <c r="BZ87" s="33"/>
      <c r="CA87" s="33"/>
      <c r="CB87" s="33"/>
    </row>
    <row r="88" spans="1:80" s="23" customFormat="1" ht="9" customHeight="1" x14ac:dyDescent="0.25">
      <c r="A88" s="26"/>
      <c r="B88" s="116"/>
      <c r="C88" s="96"/>
      <c r="D88" s="96"/>
      <c r="E88" s="96"/>
      <c r="F88" s="96"/>
      <c r="G88" s="96"/>
      <c r="H88" s="96"/>
      <c r="I88" s="96"/>
      <c r="J88" s="97"/>
      <c r="K88" s="87"/>
      <c r="L88" s="116"/>
      <c r="M88" s="96"/>
      <c r="N88" s="96"/>
      <c r="O88" s="96"/>
      <c r="P88" s="96"/>
      <c r="Q88" s="96"/>
      <c r="R88" s="96"/>
      <c r="S88" s="96"/>
      <c r="T88" s="97"/>
      <c r="U88" s="87"/>
      <c r="V88" s="116"/>
      <c r="W88" s="96"/>
      <c r="X88" s="96"/>
      <c r="Y88" s="96"/>
      <c r="Z88" s="96"/>
      <c r="AA88" s="96"/>
      <c r="AB88" s="96"/>
      <c r="AC88" s="96"/>
      <c r="AD88" s="97"/>
      <c r="AE88" s="87"/>
      <c r="AF88" s="116"/>
      <c r="AG88" s="96"/>
      <c r="AH88" s="96"/>
      <c r="AI88" s="96"/>
      <c r="AJ88" s="96"/>
      <c r="AK88" s="96"/>
      <c r="AL88" s="96"/>
      <c r="AM88" s="96"/>
      <c r="AN88" s="97"/>
      <c r="AO88" s="87"/>
      <c r="AP88" s="116"/>
      <c r="AQ88" s="96"/>
      <c r="AR88" s="96"/>
      <c r="AS88" s="96"/>
      <c r="AT88" s="96"/>
      <c r="AU88" s="96"/>
      <c r="AV88" s="96"/>
      <c r="AW88" s="96"/>
      <c r="AX88" s="97"/>
      <c r="AY88" s="87"/>
      <c r="AZ88" s="116"/>
      <c r="BA88" s="96"/>
      <c r="BB88" s="96"/>
      <c r="BC88" s="96"/>
      <c r="BD88" s="96"/>
      <c r="BE88" s="96"/>
      <c r="BF88" s="96"/>
      <c r="BG88" s="96"/>
      <c r="BH88" s="97"/>
      <c r="BI88" s="89"/>
      <c r="BJ88" s="116"/>
      <c r="BK88" s="96"/>
      <c r="BL88" s="96"/>
      <c r="BM88" s="96"/>
      <c r="BN88" s="96"/>
      <c r="BO88" s="96"/>
      <c r="BP88" s="96"/>
      <c r="BQ88" s="96"/>
      <c r="BR88" s="97"/>
      <c r="BS88" s="26"/>
      <c r="BT88" s="33"/>
      <c r="BU88" s="33"/>
      <c r="BV88" s="33"/>
      <c r="BW88" s="33"/>
      <c r="BX88" s="33"/>
      <c r="BY88" s="33"/>
      <c r="BZ88" s="33"/>
      <c r="CA88" s="33"/>
      <c r="CB88" s="33"/>
    </row>
    <row r="89" spans="1:80" s="23" customFormat="1" ht="9" customHeight="1" x14ac:dyDescent="0.25">
      <c r="A89" s="26"/>
      <c r="B89" s="492" t="s">
        <v>568</v>
      </c>
      <c r="C89" s="492"/>
      <c r="D89" s="492"/>
      <c r="E89" s="492"/>
      <c r="F89" s="492"/>
      <c r="G89" s="493">
        <f>CEILING(4430*B5,1)</f>
        <v>6202</v>
      </c>
      <c r="H89" s="493"/>
      <c r="I89" s="493"/>
      <c r="J89" s="493"/>
      <c r="K89" s="223"/>
      <c r="L89" s="492" t="s">
        <v>568</v>
      </c>
      <c r="M89" s="492"/>
      <c r="N89" s="492"/>
      <c r="O89" s="492"/>
      <c r="P89" s="492"/>
      <c r="Q89" s="493">
        <f>CEILING(4204*B5,1)</f>
        <v>5886</v>
      </c>
      <c r="R89" s="493"/>
      <c r="S89" s="493"/>
      <c r="T89" s="493"/>
      <c r="U89" s="223"/>
      <c r="V89" s="492" t="s">
        <v>569</v>
      </c>
      <c r="W89" s="492"/>
      <c r="X89" s="492"/>
      <c r="Y89" s="492"/>
      <c r="Z89" s="492"/>
      <c r="AA89" s="493">
        <f>CEILING(5568*B5,1)</f>
        <v>7796</v>
      </c>
      <c r="AB89" s="493"/>
      <c r="AC89" s="493"/>
      <c r="AD89" s="493"/>
      <c r="AE89" s="223"/>
      <c r="AF89" s="492" t="s">
        <v>570</v>
      </c>
      <c r="AG89" s="492"/>
      <c r="AH89" s="492"/>
      <c r="AI89" s="492"/>
      <c r="AJ89" s="492"/>
      <c r="AK89" s="493">
        <f>CEILING(2693*B5,1)</f>
        <v>3771</v>
      </c>
      <c r="AL89" s="493"/>
      <c r="AM89" s="493"/>
      <c r="AN89" s="493"/>
      <c r="AO89" s="223"/>
      <c r="AP89" s="492" t="s">
        <v>570</v>
      </c>
      <c r="AQ89" s="492"/>
      <c r="AR89" s="492"/>
      <c r="AS89" s="492"/>
      <c r="AT89" s="492"/>
      <c r="AU89" s="493">
        <f>CEILING(3114*B5,1)</f>
        <v>4360</v>
      </c>
      <c r="AV89" s="493"/>
      <c r="AW89" s="493"/>
      <c r="AX89" s="493"/>
      <c r="AY89" s="223"/>
      <c r="AZ89" s="492" t="s">
        <v>571</v>
      </c>
      <c r="BA89" s="492"/>
      <c r="BB89" s="492"/>
      <c r="BC89" s="492"/>
      <c r="BD89" s="492"/>
      <c r="BE89" s="493">
        <f>CEILING(1093*B5,1)</f>
        <v>1531</v>
      </c>
      <c r="BF89" s="493"/>
      <c r="BG89" s="493"/>
      <c r="BH89" s="493"/>
      <c r="BI89" s="223"/>
      <c r="BJ89" s="492" t="s">
        <v>576</v>
      </c>
      <c r="BK89" s="492"/>
      <c r="BL89" s="492"/>
      <c r="BM89" s="492"/>
      <c r="BN89" s="492"/>
      <c r="BO89" s="493">
        <f>CEILING(2490*B5,1)</f>
        <v>3486</v>
      </c>
      <c r="BP89" s="493"/>
      <c r="BQ89" s="493"/>
      <c r="BR89" s="493"/>
      <c r="BS89" s="26"/>
      <c r="BT89" s="533"/>
      <c r="BU89" s="533"/>
      <c r="BV89" s="533"/>
      <c r="BW89" s="533"/>
      <c r="BX89" s="533"/>
      <c r="BY89" s="530"/>
      <c r="BZ89" s="530"/>
      <c r="CA89" s="530"/>
      <c r="CB89" s="530"/>
    </row>
    <row r="90" spans="1:80" s="23" customFormat="1" ht="1.5" customHeight="1" x14ac:dyDescent="0.25">
      <c r="A90" s="26"/>
      <c r="B90" s="197"/>
      <c r="C90" s="198"/>
      <c r="D90" s="198"/>
      <c r="E90" s="106"/>
      <c r="F90" s="106"/>
      <c r="G90" s="202"/>
      <c r="H90" s="202"/>
      <c r="I90" s="202"/>
      <c r="J90" s="203"/>
      <c r="K90" s="87"/>
      <c r="L90" s="197"/>
      <c r="M90" s="198"/>
      <c r="N90" s="198"/>
      <c r="O90" s="106"/>
      <c r="P90" s="106"/>
      <c r="Q90" s="202"/>
      <c r="R90" s="202"/>
      <c r="S90" s="202"/>
      <c r="T90" s="203"/>
      <c r="U90" s="87"/>
      <c r="V90" s="197"/>
      <c r="W90" s="198"/>
      <c r="X90" s="198"/>
      <c r="Y90" s="106"/>
      <c r="Z90" s="106"/>
      <c r="AA90" s="202"/>
      <c r="AB90" s="202"/>
      <c r="AC90" s="202"/>
      <c r="AD90" s="203"/>
      <c r="AE90" s="87"/>
      <c r="AF90" s="197"/>
      <c r="AG90" s="198"/>
      <c r="AH90" s="198"/>
      <c r="AI90" s="106"/>
      <c r="AJ90" s="106"/>
      <c r="AK90" s="202"/>
      <c r="AL90" s="202"/>
      <c r="AM90" s="202"/>
      <c r="AN90" s="203"/>
      <c r="AO90" s="87"/>
      <c r="AP90" s="197"/>
      <c r="AQ90" s="198"/>
      <c r="AR90" s="198"/>
      <c r="AS90" s="106"/>
      <c r="AT90" s="106"/>
      <c r="AU90" s="202"/>
      <c r="AV90" s="202"/>
      <c r="AW90" s="202"/>
      <c r="AX90" s="203"/>
      <c r="AY90" s="87"/>
      <c r="AZ90" s="197"/>
      <c r="BA90" s="198"/>
      <c r="BB90" s="198"/>
      <c r="BC90" s="106"/>
      <c r="BD90" s="106"/>
      <c r="BE90" s="202"/>
      <c r="BF90" s="202"/>
      <c r="BG90" s="202"/>
      <c r="BH90" s="203"/>
      <c r="BI90" s="87"/>
      <c r="BJ90" s="197"/>
      <c r="BK90" s="198"/>
      <c r="BL90" s="198"/>
      <c r="BM90" s="106"/>
      <c r="BN90" s="106"/>
      <c r="BO90" s="202"/>
      <c r="BP90" s="202"/>
      <c r="BQ90" s="202"/>
      <c r="BR90" s="203"/>
      <c r="BS90" s="26"/>
      <c r="BT90" s="38"/>
      <c r="BU90" s="38"/>
      <c r="BV90" s="38"/>
      <c r="BW90" s="38"/>
      <c r="BX90" s="38"/>
      <c r="BY90" s="26"/>
      <c r="BZ90" s="26"/>
      <c r="CA90" s="26"/>
      <c r="CB90" s="26"/>
    </row>
    <row r="91" spans="1:80" s="23" customFormat="1" ht="9.75" x14ac:dyDescent="0.25">
      <c r="A91" s="26"/>
      <c r="B91" s="474" t="s">
        <v>562</v>
      </c>
      <c r="C91" s="475"/>
      <c r="D91" s="476"/>
      <c r="E91" s="505" t="s">
        <v>525</v>
      </c>
      <c r="F91" s="505"/>
      <c r="G91" s="505"/>
      <c r="H91" s="505"/>
      <c r="I91" s="505"/>
      <c r="J91" s="506"/>
      <c r="K91" s="87"/>
      <c r="L91" s="474" t="s">
        <v>561</v>
      </c>
      <c r="M91" s="475"/>
      <c r="N91" s="476"/>
      <c r="O91" s="505" t="s">
        <v>525</v>
      </c>
      <c r="P91" s="505"/>
      <c r="Q91" s="505"/>
      <c r="R91" s="505"/>
      <c r="S91" s="505"/>
      <c r="T91" s="506"/>
      <c r="U91" s="87"/>
      <c r="V91" s="474" t="s">
        <v>560</v>
      </c>
      <c r="W91" s="475"/>
      <c r="X91" s="476"/>
      <c r="Y91" s="505" t="s">
        <v>525</v>
      </c>
      <c r="Z91" s="505"/>
      <c r="AA91" s="505"/>
      <c r="AB91" s="505"/>
      <c r="AC91" s="505"/>
      <c r="AD91" s="506"/>
      <c r="AE91" s="87"/>
      <c r="AF91" s="474" t="s">
        <v>559</v>
      </c>
      <c r="AG91" s="475"/>
      <c r="AH91" s="476"/>
      <c r="AI91" s="505" t="s">
        <v>565</v>
      </c>
      <c r="AJ91" s="505"/>
      <c r="AK91" s="505"/>
      <c r="AL91" s="505"/>
      <c r="AM91" s="505"/>
      <c r="AN91" s="506"/>
      <c r="AO91" s="87"/>
      <c r="AP91" s="474" t="s">
        <v>558</v>
      </c>
      <c r="AQ91" s="475"/>
      <c r="AR91" s="476"/>
      <c r="AS91" s="505" t="s">
        <v>565</v>
      </c>
      <c r="AT91" s="505"/>
      <c r="AU91" s="505"/>
      <c r="AV91" s="505"/>
      <c r="AW91" s="505"/>
      <c r="AX91" s="506"/>
      <c r="AY91" s="87"/>
      <c r="AZ91" s="474" t="s">
        <v>557</v>
      </c>
      <c r="BA91" s="475"/>
      <c r="BB91" s="476"/>
      <c r="BC91" s="505" t="s">
        <v>565</v>
      </c>
      <c r="BD91" s="505"/>
      <c r="BE91" s="505"/>
      <c r="BF91" s="505"/>
      <c r="BG91" s="505"/>
      <c r="BH91" s="506"/>
      <c r="BI91" s="106"/>
      <c r="BJ91" s="474" t="s">
        <v>556</v>
      </c>
      <c r="BK91" s="475"/>
      <c r="BL91" s="476"/>
      <c r="BM91" s="505" t="s">
        <v>565</v>
      </c>
      <c r="BN91" s="505"/>
      <c r="BO91" s="505"/>
      <c r="BP91" s="505"/>
      <c r="BQ91" s="505"/>
      <c r="BR91" s="506"/>
      <c r="BS91" s="26"/>
    </row>
    <row r="92" spans="1:80" s="23" customFormat="1" ht="9.75" x14ac:dyDescent="0.25">
      <c r="A92" s="26"/>
      <c r="B92" s="489" t="s">
        <v>563</v>
      </c>
      <c r="C92" s="490"/>
      <c r="D92" s="490"/>
      <c r="E92" s="490"/>
      <c r="F92" s="490"/>
      <c r="G92" s="490"/>
      <c r="H92" s="490"/>
      <c r="I92" s="490"/>
      <c r="J92" s="491"/>
      <c r="K92" s="87"/>
      <c r="L92" s="489" t="s">
        <v>564</v>
      </c>
      <c r="M92" s="490"/>
      <c r="N92" s="490"/>
      <c r="O92" s="490"/>
      <c r="P92" s="490"/>
      <c r="Q92" s="490"/>
      <c r="R92" s="490"/>
      <c r="S92" s="490"/>
      <c r="T92" s="491"/>
      <c r="U92" s="87"/>
      <c r="V92" s="489" t="s">
        <v>579</v>
      </c>
      <c r="W92" s="490"/>
      <c r="X92" s="490"/>
      <c r="Y92" s="490"/>
      <c r="Z92" s="490"/>
      <c r="AA92" s="490"/>
      <c r="AB92" s="490"/>
      <c r="AC92" s="490"/>
      <c r="AD92" s="491"/>
      <c r="AE92" s="87"/>
      <c r="AF92" s="489" t="s">
        <v>566</v>
      </c>
      <c r="AG92" s="490"/>
      <c r="AH92" s="490"/>
      <c r="AI92" s="490"/>
      <c r="AJ92" s="490"/>
      <c r="AK92" s="490"/>
      <c r="AL92" s="490"/>
      <c r="AM92" s="490"/>
      <c r="AN92" s="491"/>
      <c r="AO92" s="87"/>
      <c r="AP92" s="489" t="s">
        <v>566</v>
      </c>
      <c r="AQ92" s="490"/>
      <c r="AR92" s="490"/>
      <c r="AS92" s="490"/>
      <c r="AT92" s="490"/>
      <c r="AU92" s="490"/>
      <c r="AV92" s="490"/>
      <c r="AW92" s="490"/>
      <c r="AX92" s="491"/>
      <c r="AY92" s="87"/>
      <c r="AZ92" s="489" t="s">
        <v>566</v>
      </c>
      <c r="BA92" s="490"/>
      <c r="BB92" s="490"/>
      <c r="BC92" s="490"/>
      <c r="BD92" s="490"/>
      <c r="BE92" s="490"/>
      <c r="BF92" s="490"/>
      <c r="BG92" s="490"/>
      <c r="BH92" s="491"/>
      <c r="BI92" s="108"/>
      <c r="BJ92" s="489" t="s">
        <v>566</v>
      </c>
      <c r="BK92" s="490"/>
      <c r="BL92" s="490"/>
      <c r="BM92" s="490"/>
      <c r="BN92" s="490"/>
      <c r="BO92" s="490"/>
      <c r="BP92" s="490"/>
      <c r="BQ92" s="490"/>
      <c r="BR92" s="491"/>
      <c r="BS92" s="26"/>
    </row>
    <row r="93" spans="1:80" s="23" customFormat="1" ht="9.75" x14ac:dyDescent="0.25">
      <c r="A93" s="26"/>
      <c r="B93" s="103"/>
      <c r="C93" s="90"/>
      <c r="D93" s="90"/>
      <c r="E93" s="90"/>
      <c r="F93" s="90"/>
      <c r="G93" s="90"/>
      <c r="H93" s="90"/>
      <c r="I93" s="90"/>
      <c r="J93" s="91"/>
      <c r="K93" s="87"/>
      <c r="L93" s="103"/>
      <c r="M93" s="90"/>
      <c r="N93" s="90"/>
      <c r="O93" s="90"/>
      <c r="P93" s="90"/>
      <c r="Q93" s="90"/>
      <c r="R93" s="90"/>
      <c r="S93" s="90"/>
      <c r="T93" s="91"/>
      <c r="U93" s="87"/>
      <c r="V93" s="103"/>
      <c r="W93" s="90"/>
      <c r="X93" s="90"/>
      <c r="Y93" s="90"/>
      <c r="Z93" s="90"/>
      <c r="AA93" s="90"/>
      <c r="AB93" s="90"/>
      <c r="AC93" s="90"/>
      <c r="AD93" s="91"/>
      <c r="AE93" s="87"/>
      <c r="AF93" s="103"/>
      <c r="AG93" s="90"/>
      <c r="AH93" s="90"/>
      <c r="AI93" s="90"/>
      <c r="AJ93" s="90"/>
      <c r="AK93" s="90"/>
      <c r="AL93" s="90"/>
      <c r="AM93" s="90"/>
      <c r="AN93" s="91"/>
      <c r="AO93" s="87"/>
      <c r="AP93" s="103"/>
      <c r="AQ93" s="90"/>
      <c r="AR93" s="90"/>
      <c r="AS93" s="90"/>
      <c r="AT93" s="90"/>
      <c r="AU93" s="90"/>
      <c r="AV93" s="90"/>
      <c r="AW93" s="90"/>
      <c r="AX93" s="91"/>
      <c r="AY93" s="87"/>
      <c r="AZ93" s="103"/>
      <c r="BA93" s="90"/>
      <c r="BB93" s="90"/>
      <c r="BC93" s="90"/>
      <c r="BD93" s="90"/>
      <c r="BE93" s="90"/>
      <c r="BF93" s="90"/>
      <c r="BG93" s="90"/>
      <c r="BH93" s="91"/>
      <c r="BI93" s="108"/>
      <c r="BJ93" s="103"/>
      <c r="BK93" s="90"/>
      <c r="BL93" s="90"/>
      <c r="BM93" s="90"/>
      <c r="BN93" s="90"/>
      <c r="BO93" s="90"/>
      <c r="BP93" s="90"/>
      <c r="BQ93" s="90"/>
      <c r="BR93" s="91"/>
      <c r="BS93" s="26"/>
    </row>
    <row r="94" spans="1:80" s="23" customFormat="1" ht="9.75" x14ac:dyDescent="0.25">
      <c r="A94" s="26"/>
      <c r="B94" s="103"/>
      <c r="C94" s="90"/>
      <c r="D94" s="90"/>
      <c r="E94" s="90"/>
      <c r="F94" s="90"/>
      <c r="G94" s="90"/>
      <c r="H94" s="90"/>
      <c r="I94" s="90"/>
      <c r="J94" s="91"/>
      <c r="K94" s="87"/>
      <c r="L94" s="103"/>
      <c r="M94" s="90"/>
      <c r="N94" s="90"/>
      <c r="O94" s="90"/>
      <c r="P94" s="90"/>
      <c r="Q94" s="90"/>
      <c r="R94" s="90"/>
      <c r="S94" s="90"/>
      <c r="T94" s="91"/>
      <c r="U94" s="87"/>
      <c r="V94" s="103"/>
      <c r="W94" s="90"/>
      <c r="X94" s="90"/>
      <c r="Y94" s="90"/>
      <c r="Z94" s="90"/>
      <c r="AA94" s="90"/>
      <c r="AB94" s="90"/>
      <c r="AC94" s="90"/>
      <c r="AD94" s="91"/>
      <c r="AE94" s="87"/>
      <c r="AF94" s="103"/>
      <c r="AG94" s="90"/>
      <c r="AH94" s="90"/>
      <c r="AI94" s="90"/>
      <c r="AJ94" s="90"/>
      <c r="AK94" s="90"/>
      <c r="AL94" s="90"/>
      <c r="AM94" s="90"/>
      <c r="AN94" s="91"/>
      <c r="AO94" s="87"/>
      <c r="AP94" s="103"/>
      <c r="AQ94" s="90"/>
      <c r="AR94" s="90"/>
      <c r="AS94" s="90"/>
      <c r="AT94" s="90"/>
      <c r="AU94" s="90"/>
      <c r="AV94" s="90"/>
      <c r="AW94" s="90"/>
      <c r="AX94" s="91"/>
      <c r="AY94" s="87"/>
      <c r="AZ94" s="103"/>
      <c r="BA94" s="90"/>
      <c r="BB94" s="90"/>
      <c r="BC94" s="90"/>
      <c r="BD94" s="90"/>
      <c r="BE94" s="90"/>
      <c r="BF94" s="90"/>
      <c r="BG94" s="90"/>
      <c r="BH94" s="91"/>
      <c r="BI94" s="108"/>
      <c r="BJ94" s="103"/>
      <c r="BK94" s="90"/>
      <c r="BL94" s="90"/>
      <c r="BM94" s="90"/>
      <c r="BN94" s="90"/>
      <c r="BO94" s="90"/>
      <c r="BP94" s="90"/>
      <c r="BQ94" s="90"/>
      <c r="BR94" s="91"/>
      <c r="BS94" s="26"/>
    </row>
    <row r="95" spans="1:80" s="23" customFormat="1" ht="9.75" x14ac:dyDescent="0.25">
      <c r="A95" s="26"/>
      <c r="B95" s="88"/>
      <c r="C95" s="87"/>
      <c r="D95" s="87"/>
      <c r="E95" s="87"/>
      <c r="F95" s="87"/>
      <c r="G95" s="87"/>
      <c r="H95" s="87"/>
      <c r="I95" s="87"/>
      <c r="J95" s="89"/>
      <c r="K95" s="87"/>
      <c r="L95" s="88"/>
      <c r="M95" s="87"/>
      <c r="N95" s="87"/>
      <c r="O95" s="87"/>
      <c r="P95" s="87"/>
      <c r="Q95" s="87"/>
      <c r="R95" s="87"/>
      <c r="S95" s="87"/>
      <c r="T95" s="89"/>
      <c r="U95" s="87"/>
      <c r="V95" s="88"/>
      <c r="W95" s="87"/>
      <c r="X95" s="87"/>
      <c r="Y95" s="87"/>
      <c r="Z95" s="87"/>
      <c r="AA95" s="87"/>
      <c r="AB95" s="87"/>
      <c r="AC95" s="87"/>
      <c r="AD95" s="89"/>
      <c r="AE95" s="87"/>
      <c r="AF95" s="88"/>
      <c r="AG95" s="87"/>
      <c r="AH95" s="87"/>
      <c r="AI95" s="87"/>
      <c r="AJ95" s="87"/>
      <c r="AK95" s="87"/>
      <c r="AL95" s="87"/>
      <c r="AM95" s="87"/>
      <c r="AN95" s="89"/>
      <c r="AO95" s="87"/>
      <c r="AP95" s="88"/>
      <c r="AQ95" s="87"/>
      <c r="AR95" s="87"/>
      <c r="AS95" s="87"/>
      <c r="AT95" s="87"/>
      <c r="AU95" s="87"/>
      <c r="AV95" s="87"/>
      <c r="AW95" s="87"/>
      <c r="AX95" s="89"/>
      <c r="AY95" s="87"/>
      <c r="AZ95" s="88"/>
      <c r="BA95" s="87"/>
      <c r="BB95" s="87"/>
      <c r="BC95" s="87"/>
      <c r="BD95" s="87"/>
      <c r="BE95" s="87"/>
      <c r="BF95" s="87"/>
      <c r="BG95" s="87"/>
      <c r="BH95" s="89"/>
      <c r="BI95" s="108"/>
      <c r="BJ95" s="88"/>
      <c r="BK95" s="87"/>
      <c r="BL95" s="87"/>
      <c r="BM95" s="87"/>
      <c r="BN95" s="87"/>
      <c r="BO95" s="87"/>
      <c r="BP95" s="87"/>
      <c r="BQ95" s="87"/>
      <c r="BR95" s="89"/>
      <c r="BS95" s="26"/>
    </row>
    <row r="96" spans="1:80" s="23" customFormat="1" ht="9.75" x14ac:dyDescent="0.25">
      <c r="A96" s="26"/>
      <c r="B96" s="107"/>
      <c r="C96" s="106"/>
      <c r="D96" s="106"/>
      <c r="E96" s="106"/>
      <c r="F96" s="106"/>
      <c r="G96" s="106"/>
      <c r="H96" s="106"/>
      <c r="I96" s="106"/>
      <c r="J96" s="108"/>
      <c r="K96" s="87"/>
      <c r="L96" s="107"/>
      <c r="M96" s="106"/>
      <c r="N96" s="106"/>
      <c r="O96" s="106"/>
      <c r="P96" s="106"/>
      <c r="Q96" s="106"/>
      <c r="R96" s="106"/>
      <c r="S96" s="106"/>
      <c r="T96" s="108"/>
      <c r="U96" s="87"/>
      <c r="V96" s="107"/>
      <c r="W96" s="106"/>
      <c r="X96" s="106"/>
      <c r="Y96" s="106"/>
      <c r="Z96" s="106"/>
      <c r="AA96" s="106"/>
      <c r="AB96" s="106"/>
      <c r="AC96" s="106"/>
      <c r="AD96" s="108"/>
      <c r="AE96" s="87"/>
      <c r="AF96" s="107"/>
      <c r="AG96" s="106"/>
      <c r="AH96" s="106"/>
      <c r="AI96" s="106"/>
      <c r="AJ96" s="106"/>
      <c r="AK96" s="106"/>
      <c r="AL96" s="106"/>
      <c r="AM96" s="106"/>
      <c r="AN96" s="108"/>
      <c r="AO96" s="87"/>
      <c r="AP96" s="107"/>
      <c r="AQ96" s="106"/>
      <c r="AR96" s="106"/>
      <c r="AS96" s="106"/>
      <c r="AT96" s="106"/>
      <c r="AU96" s="106"/>
      <c r="AV96" s="106"/>
      <c r="AW96" s="106"/>
      <c r="AX96" s="108"/>
      <c r="AY96" s="87"/>
      <c r="AZ96" s="107"/>
      <c r="BA96" s="106"/>
      <c r="BB96" s="106"/>
      <c r="BC96" s="106"/>
      <c r="BD96" s="106"/>
      <c r="BE96" s="106"/>
      <c r="BF96" s="106"/>
      <c r="BG96" s="106"/>
      <c r="BH96" s="108"/>
      <c r="BI96" s="108"/>
      <c r="BJ96" s="107"/>
      <c r="BK96" s="106"/>
      <c r="BL96" s="106"/>
      <c r="BM96" s="106"/>
      <c r="BN96" s="106"/>
      <c r="BO96" s="106"/>
      <c r="BP96" s="106"/>
      <c r="BQ96" s="106"/>
      <c r="BR96" s="108"/>
      <c r="BS96" s="26"/>
    </row>
    <row r="97" spans="1:71" s="23" customFormat="1" ht="9.75" x14ac:dyDescent="0.25">
      <c r="A97" s="26"/>
      <c r="B97" s="107"/>
      <c r="C97" s="106"/>
      <c r="D97" s="106"/>
      <c r="E97" s="106"/>
      <c r="F97" s="106"/>
      <c r="G97" s="106"/>
      <c r="H97" s="106"/>
      <c r="I97" s="106"/>
      <c r="J97" s="108"/>
      <c r="K97" s="87"/>
      <c r="L97" s="107"/>
      <c r="M97" s="106"/>
      <c r="N97" s="106"/>
      <c r="O97" s="106"/>
      <c r="P97" s="106"/>
      <c r="Q97" s="106"/>
      <c r="R97" s="106"/>
      <c r="S97" s="106"/>
      <c r="T97" s="108"/>
      <c r="U97" s="87"/>
      <c r="V97" s="107"/>
      <c r="W97" s="106"/>
      <c r="X97" s="106"/>
      <c r="Y97" s="106"/>
      <c r="Z97" s="106"/>
      <c r="AA97" s="106"/>
      <c r="AB97" s="106"/>
      <c r="AC97" s="106"/>
      <c r="AD97" s="108"/>
      <c r="AE97" s="87"/>
      <c r="AF97" s="107"/>
      <c r="AG97" s="106"/>
      <c r="AH97" s="106"/>
      <c r="AI97" s="106"/>
      <c r="AJ97" s="106"/>
      <c r="AK97" s="106"/>
      <c r="AL97" s="106"/>
      <c r="AM97" s="106"/>
      <c r="AN97" s="108"/>
      <c r="AO97" s="87"/>
      <c r="AP97" s="107"/>
      <c r="AQ97" s="106"/>
      <c r="AR97" s="106"/>
      <c r="AS97" s="106"/>
      <c r="AT97" s="106"/>
      <c r="AU97" s="106"/>
      <c r="AV97" s="106"/>
      <c r="AW97" s="106"/>
      <c r="AX97" s="108"/>
      <c r="AY97" s="87"/>
      <c r="AZ97" s="107"/>
      <c r="BA97" s="106"/>
      <c r="BB97" s="106"/>
      <c r="BC97" s="106"/>
      <c r="BD97" s="106"/>
      <c r="BE97" s="106"/>
      <c r="BF97" s="106"/>
      <c r="BG97" s="106"/>
      <c r="BH97" s="108"/>
      <c r="BI97" s="108"/>
      <c r="BJ97" s="107"/>
      <c r="BK97" s="106"/>
      <c r="BL97" s="106"/>
      <c r="BM97" s="106"/>
      <c r="BN97" s="106"/>
      <c r="BO97" s="106"/>
      <c r="BP97" s="106"/>
      <c r="BQ97" s="106"/>
      <c r="BR97" s="108"/>
      <c r="BS97" s="26"/>
    </row>
    <row r="98" spans="1:71" s="23" customFormat="1" ht="9.75" x14ac:dyDescent="0.25">
      <c r="A98" s="26"/>
      <c r="B98" s="107"/>
      <c r="C98" s="106"/>
      <c r="D98" s="106"/>
      <c r="E98" s="106"/>
      <c r="F98" s="106"/>
      <c r="G98" s="106"/>
      <c r="H98" s="106"/>
      <c r="I98" s="106"/>
      <c r="J98" s="108"/>
      <c r="K98" s="87"/>
      <c r="L98" s="107"/>
      <c r="M98" s="106"/>
      <c r="N98" s="106"/>
      <c r="O98" s="106"/>
      <c r="P98" s="106"/>
      <c r="Q98" s="106"/>
      <c r="R98" s="106"/>
      <c r="S98" s="106"/>
      <c r="T98" s="108"/>
      <c r="U98" s="87"/>
      <c r="V98" s="107"/>
      <c r="W98" s="106"/>
      <c r="X98" s="106"/>
      <c r="Y98" s="106"/>
      <c r="Z98" s="106"/>
      <c r="AA98" s="106"/>
      <c r="AB98" s="106"/>
      <c r="AC98" s="106"/>
      <c r="AD98" s="108"/>
      <c r="AE98" s="87"/>
      <c r="AF98" s="107"/>
      <c r="AG98" s="106"/>
      <c r="AH98" s="106"/>
      <c r="AI98" s="106"/>
      <c r="AJ98" s="106"/>
      <c r="AK98" s="106"/>
      <c r="AL98" s="106"/>
      <c r="AM98" s="106"/>
      <c r="AN98" s="108"/>
      <c r="AO98" s="87"/>
      <c r="AP98" s="107"/>
      <c r="AQ98" s="106"/>
      <c r="AR98" s="106"/>
      <c r="AS98" s="106"/>
      <c r="AT98" s="106"/>
      <c r="AU98" s="106"/>
      <c r="AV98" s="106"/>
      <c r="AW98" s="106"/>
      <c r="AX98" s="108"/>
      <c r="AY98" s="87"/>
      <c r="AZ98" s="107"/>
      <c r="BA98" s="106"/>
      <c r="BB98" s="106"/>
      <c r="BC98" s="106"/>
      <c r="BD98" s="106"/>
      <c r="BE98" s="106"/>
      <c r="BF98" s="106"/>
      <c r="BG98" s="106"/>
      <c r="BH98" s="108"/>
      <c r="BI98" s="108"/>
      <c r="BJ98" s="107"/>
      <c r="BK98" s="106"/>
      <c r="BL98" s="106"/>
      <c r="BM98" s="106"/>
      <c r="BN98" s="106"/>
      <c r="BO98" s="106"/>
      <c r="BP98" s="106"/>
      <c r="BQ98" s="106"/>
      <c r="BR98" s="108"/>
      <c r="BS98" s="26"/>
    </row>
    <row r="99" spans="1:71" s="23" customFormat="1" ht="9.75" x14ac:dyDescent="0.25">
      <c r="A99" s="26"/>
      <c r="B99" s="107"/>
      <c r="C99" s="106"/>
      <c r="D99" s="106"/>
      <c r="E99" s="106"/>
      <c r="F99" s="106"/>
      <c r="G99" s="106"/>
      <c r="H99" s="106"/>
      <c r="I99" s="106"/>
      <c r="J99" s="108"/>
      <c r="K99" s="87"/>
      <c r="L99" s="107"/>
      <c r="M99" s="106"/>
      <c r="N99" s="106"/>
      <c r="O99" s="106"/>
      <c r="P99" s="106"/>
      <c r="Q99" s="106"/>
      <c r="R99" s="106"/>
      <c r="S99" s="106"/>
      <c r="T99" s="108"/>
      <c r="U99" s="87"/>
      <c r="V99" s="107"/>
      <c r="W99" s="106"/>
      <c r="X99" s="106"/>
      <c r="Y99" s="106"/>
      <c r="Z99" s="106"/>
      <c r="AA99" s="106"/>
      <c r="AB99" s="106"/>
      <c r="AC99" s="106"/>
      <c r="AD99" s="108"/>
      <c r="AE99" s="87"/>
      <c r="AF99" s="107"/>
      <c r="AG99" s="106"/>
      <c r="AH99" s="106"/>
      <c r="AI99" s="106"/>
      <c r="AJ99" s="106"/>
      <c r="AK99" s="106"/>
      <c r="AL99" s="106"/>
      <c r="AM99" s="106"/>
      <c r="AN99" s="108"/>
      <c r="AO99" s="87"/>
      <c r="AP99" s="107"/>
      <c r="AQ99" s="106"/>
      <c r="AR99" s="106"/>
      <c r="AS99" s="106"/>
      <c r="AT99" s="106"/>
      <c r="AU99" s="106"/>
      <c r="AV99" s="106"/>
      <c r="AW99" s="106"/>
      <c r="AX99" s="108"/>
      <c r="AY99" s="87"/>
      <c r="AZ99" s="107"/>
      <c r="BA99" s="106"/>
      <c r="BB99" s="106"/>
      <c r="BC99" s="106"/>
      <c r="BD99" s="106"/>
      <c r="BE99" s="106"/>
      <c r="BF99" s="106"/>
      <c r="BG99" s="106"/>
      <c r="BH99" s="108"/>
      <c r="BI99" s="108"/>
      <c r="BJ99" s="107"/>
      <c r="BK99" s="106"/>
      <c r="BL99" s="106"/>
      <c r="BM99" s="106"/>
      <c r="BN99" s="106"/>
      <c r="BO99" s="106"/>
      <c r="BP99" s="106"/>
      <c r="BQ99" s="106"/>
      <c r="BR99" s="108"/>
      <c r="BS99" s="26"/>
    </row>
    <row r="100" spans="1:71" s="23" customFormat="1" ht="9.75" x14ac:dyDescent="0.25">
      <c r="A100" s="26"/>
      <c r="B100" s="107"/>
      <c r="C100" s="106"/>
      <c r="D100" s="106"/>
      <c r="E100" s="106"/>
      <c r="F100" s="106"/>
      <c r="G100" s="106"/>
      <c r="H100" s="106"/>
      <c r="I100" s="106"/>
      <c r="J100" s="108"/>
      <c r="K100" s="87"/>
      <c r="L100" s="107"/>
      <c r="M100" s="106"/>
      <c r="N100" s="106"/>
      <c r="O100" s="106"/>
      <c r="P100" s="106"/>
      <c r="Q100" s="106"/>
      <c r="R100" s="106"/>
      <c r="S100" s="106"/>
      <c r="T100" s="108"/>
      <c r="U100" s="87"/>
      <c r="V100" s="107"/>
      <c r="W100" s="106"/>
      <c r="X100" s="106"/>
      <c r="Y100" s="106"/>
      <c r="Z100" s="106"/>
      <c r="AA100" s="106"/>
      <c r="AB100" s="106"/>
      <c r="AC100" s="106"/>
      <c r="AD100" s="108"/>
      <c r="AE100" s="87"/>
      <c r="AF100" s="107"/>
      <c r="AG100" s="106"/>
      <c r="AH100" s="106"/>
      <c r="AI100" s="106"/>
      <c r="AJ100" s="106"/>
      <c r="AK100" s="106"/>
      <c r="AL100" s="106"/>
      <c r="AM100" s="106"/>
      <c r="AN100" s="108"/>
      <c r="AO100" s="87"/>
      <c r="AP100" s="107"/>
      <c r="AQ100" s="106"/>
      <c r="AR100" s="106"/>
      <c r="AS100" s="106"/>
      <c r="AT100" s="106"/>
      <c r="AU100" s="106"/>
      <c r="AV100" s="106"/>
      <c r="AW100" s="106"/>
      <c r="AX100" s="108"/>
      <c r="AY100" s="87"/>
      <c r="AZ100" s="107"/>
      <c r="BA100" s="106"/>
      <c r="BB100" s="106"/>
      <c r="BC100" s="106"/>
      <c r="BD100" s="106"/>
      <c r="BE100" s="106"/>
      <c r="BF100" s="106"/>
      <c r="BG100" s="106"/>
      <c r="BH100" s="108"/>
      <c r="BI100" s="108"/>
      <c r="BJ100" s="107"/>
      <c r="BK100" s="106"/>
      <c r="BL100" s="106"/>
      <c r="BM100" s="106"/>
      <c r="BN100" s="106"/>
      <c r="BO100" s="106"/>
      <c r="BP100" s="106"/>
      <c r="BQ100" s="106"/>
      <c r="BR100" s="108"/>
      <c r="BS100" s="26"/>
    </row>
    <row r="101" spans="1:71" s="23" customFormat="1" ht="9.75" x14ac:dyDescent="0.25">
      <c r="A101" s="26"/>
      <c r="B101" s="88"/>
      <c r="C101" s="87"/>
      <c r="D101" s="87"/>
      <c r="E101" s="87"/>
      <c r="F101" s="87"/>
      <c r="G101" s="87"/>
      <c r="H101" s="87"/>
      <c r="I101" s="87"/>
      <c r="J101" s="89"/>
      <c r="K101" s="87"/>
      <c r="L101" s="88"/>
      <c r="M101" s="87"/>
      <c r="N101" s="87"/>
      <c r="O101" s="87"/>
      <c r="P101" s="87"/>
      <c r="Q101" s="87"/>
      <c r="R101" s="87"/>
      <c r="S101" s="87"/>
      <c r="T101" s="89"/>
      <c r="U101" s="87"/>
      <c r="V101" s="88"/>
      <c r="W101" s="87"/>
      <c r="X101" s="87"/>
      <c r="Y101" s="87"/>
      <c r="Z101" s="87"/>
      <c r="AA101" s="87"/>
      <c r="AB101" s="87"/>
      <c r="AC101" s="87"/>
      <c r="AD101" s="89"/>
      <c r="AE101" s="87"/>
      <c r="AF101" s="88"/>
      <c r="AG101" s="87"/>
      <c r="AH101" s="87"/>
      <c r="AI101" s="87"/>
      <c r="AJ101" s="87"/>
      <c r="AK101" s="87"/>
      <c r="AL101" s="87"/>
      <c r="AM101" s="87"/>
      <c r="AN101" s="89"/>
      <c r="AO101" s="87"/>
      <c r="AP101" s="88"/>
      <c r="AQ101" s="87"/>
      <c r="AR101" s="87"/>
      <c r="AS101" s="87"/>
      <c r="AT101" s="87"/>
      <c r="AU101" s="87"/>
      <c r="AV101" s="87"/>
      <c r="AW101" s="87"/>
      <c r="AX101" s="89"/>
      <c r="AY101" s="87"/>
      <c r="AZ101" s="88"/>
      <c r="BA101" s="87"/>
      <c r="BB101" s="87"/>
      <c r="BC101" s="87"/>
      <c r="BD101" s="87"/>
      <c r="BE101" s="87"/>
      <c r="BF101" s="87"/>
      <c r="BG101" s="87"/>
      <c r="BH101" s="89"/>
      <c r="BI101" s="89"/>
      <c r="BJ101" s="88"/>
      <c r="BK101" s="87"/>
      <c r="BL101" s="87"/>
      <c r="BM101" s="87"/>
      <c r="BN101" s="87"/>
      <c r="BO101" s="87"/>
      <c r="BP101" s="87"/>
      <c r="BQ101" s="87"/>
      <c r="BR101" s="89"/>
      <c r="BS101" s="26"/>
    </row>
    <row r="102" spans="1:71" s="23" customFormat="1" ht="9.75" x14ac:dyDescent="0.25">
      <c r="A102" s="26"/>
      <c r="B102" s="116"/>
      <c r="C102" s="96"/>
      <c r="D102" s="96"/>
      <c r="E102" s="96"/>
      <c r="F102" s="96"/>
      <c r="G102" s="96"/>
      <c r="H102" s="96"/>
      <c r="I102" s="96"/>
      <c r="J102" s="97"/>
      <c r="K102" s="87"/>
      <c r="L102" s="116"/>
      <c r="M102" s="96"/>
      <c r="N102" s="96"/>
      <c r="O102" s="96"/>
      <c r="P102" s="96"/>
      <c r="Q102" s="96"/>
      <c r="R102" s="96"/>
      <c r="S102" s="96"/>
      <c r="T102" s="97"/>
      <c r="U102" s="87"/>
      <c r="V102" s="116"/>
      <c r="W102" s="96"/>
      <c r="X102" s="96"/>
      <c r="Y102" s="96"/>
      <c r="Z102" s="96"/>
      <c r="AA102" s="96"/>
      <c r="AB102" s="96"/>
      <c r="AC102" s="96"/>
      <c r="AD102" s="97"/>
      <c r="AE102" s="87"/>
      <c r="AF102" s="116"/>
      <c r="AG102" s="96"/>
      <c r="AH102" s="96"/>
      <c r="AI102" s="96"/>
      <c r="AJ102" s="96"/>
      <c r="AK102" s="96"/>
      <c r="AL102" s="96"/>
      <c r="AM102" s="96"/>
      <c r="AN102" s="97"/>
      <c r="AO102" s="87"/>
      <c r="AP102" s="116"/>
      <c r="AQ102" s="96"/>
      <c r="AR102" s="96"/>
      <c r="AS102" s="96"/>
      <c r="AT102" s="96"/>
      <c r="AU102" s="96"/>
      <c r="AV102" s="96"/>
      <c r="AW102" s="96"/>
      <c r="AX102" s="97"/>
      <c r="AY102" s="87"/>
      <c r="AZ102" s="116"/>
      <c r="BA102" s="96"/>
      <c r="BB102" s="96"/>
      <c r="BC102" s="96"/>
      <c r="BD102" s="96"/>
      <c r="BE102" s="96"/>
      <c r="BF102" s="96"/>
      <c r="BG102" s="96"/>
      <c r="BH102" s="97"/>
      <c r="BI102" s="89"/>
      <c r="BJ102" s="116"/>
      <c r="BK102" s="96"/>
      <c r="BL102" s="96"/>
      <c r="BM102" s="96"/>
      <c r="BN102" s="96"/>
      <c r="BO102" s="96"/>
      <c r="BP102" s="96"/>
      <c r="BQ102" s="96"/>
      <c r="BR102" s="97"/>
      <c r="BS102" s="26"/>
    </row>
    <row r="103" spans="1:71" s="23" customFormat="1" ht="9.75" x14ac:dyDescent="0.25">
      <c r="A103" s="26"/>
      <c r="B103" s="555" t="s">
        <v>572</v>
      </c>
      <c r="C103" s="555"/>
      <c r="D103" s="555"/>
      <c r="E103" s="555"/>
      <c r="F103" s="555"/>
      <c r="G103" s="493">
        <f>CEILING(2069*B5,1)</f>
        <v>2897</v>
      </c>
      <c r="H103" s="493"/>
      <c r="I103" s="493"/>
      <c r="J103" s="493"/>
      <c r="K103" s="223"/>
      <c r="L103" s="492" t="s">
        <v>573</v>
      </c>
      <c r="M103" s="492"/>
      <c r="N103" s="492"/>
      <c r="O103" s="492"/>
      <c r="P103" s="492"/>
      <c r="Q103" s="493">
        <f>CEILING(3023*B5,1)</f>
        <v>4233</v>
      </c>
      <c r="R103" s="493"/>
      <c r="S103" s="493"/>
      <c r="T103" s="493"/>
      <c r="U103" s="223"/>
      <c r="V103" s="492" t="s">
        <v>759</v>
      </c>
      <c r="W103" s="492"/>
      <c r="X103" s="492"/>
      <c r="Y103" s="492"/>
      <c r="Z103" s="492"/>
      <c r="AA103" s="493">
        <f>CEILING(4089*B5,1)</f>
        <v>5725</v>
      </c>
      <c r="AB103" s="493"/>
      <c r="AC103" s="493"/>
      <c r="AD103" s="493"/>
      <c r="AE103" s="223"/>
      <c r="AF103" s="492" t="s">
        <v>574</v>
      </c>
      <c r="AG103" s="492"/>
      <c r="AH103" s="492"/>
      <c r="AI103" s="492"/>
      <c r="AJ103" s="492"/>
      <c r="AK103" s="493">
        <f>CEILING(2388*B5,1)</f>
        <v>3344</v>
      </c>
      <c r="AL103" s="493"/>
      <c r="AM103" s="493"/>
      <c r="AN103" s="493"/>
      <c r="AO103" s="223"/>
      <c r="AP103" s="492" t="s">
        <v>575</v>
      </c>
      <c r="AQ103" s="492"/>
      <c r="AR103" s="492"/>
      <c r="AS103" s="492"/>
      <c r="AT103" s="492"/>
      <c r="AU103" s="493">
        <f>CEILING(2967*B5,1)</f>
        <v>4154</v>
      </c>
      <c r="AV103" s="493"/>
      <c r="AW103" s="493"/>
      <c r="AX103" s="493"/>
      <c r="AY103" s="223"/>
      <c r="AZ103" s="492" t="s">
        <v>575</v>
      </c>
      <c r="BA103" s="492"/>
      <c r="BB103" s="492"/>
      <c r="BC103" s="492"/>
      <c r="BD103" s="492"/>
      <c r="BE103" s="493">
        <f>CEILING(3171*B5,1)</f>
        <v>4440</v>
      </c>
      <c r="BF103" s="493"/>
      <c r="BG103" s="493"/>
      <c r="BH103" s="493"/>
      <c r="BI103" s="223"/>
      <c r="BJ103" s="492" t="s">
        <v>575</v>
      </c>
      <c r="BK103" s="492"/>
      <c r="BL103" s="492"/>
      <c r="BM103" s="492"/>
      <c r="BN103" s="492"/>
      <c r="BO103" s="493">
        <f>CEILING(3705*B5,1)</f>
        <v>5187</v>
      </c>
      <c r="BP103" s="493"/>
      <c r="BQ103" s="493"/>
      <c r="BR103" s="493"/>
      <c r="BS103" s="26"/>
    </row>
    <row r="104" spans="1:71" x14ac:dyDescent="0.25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</row>
    <row r="105" spans="1:71" x14ac:dyDescent="0.2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</row>
    <row r="106" spans="1:71" x14ac:dyDescent="0.2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</row>
    <row r="107" spans="1:71" x14ac:dyDescent="0.25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</row>
    <row r="108" spans="1:71" x14ac:dyDescent="0.2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</row>
    <row r="109" spans="1:71" x14ac:dyDescent="0.2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</row>
    <row r="110" spans="1:71" x14ac:dyDescent="0.25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</row>
    <row r="111" spans="1:71" x14ac:dyDescent="0.25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</row>
    <row r="112" spans="1:71" x14ac:dyDescent="0.25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</row>
    <row r="113" spans="1:71" x14ac:dyDescent="0.2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</row>
    <row r="114" spans="1:71" x14ac:dyDescent="0.2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</row>
    <row r="115" spans="1:71" x14ac:dyDescent="0.2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</row>
    <row r="116" spans="1:71" x14ac:dyDescent="0.25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</row>
    <row r="117" spans="1:71" x14ac:dyDescent="0.25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</row>
    <row r="118" spans="1:71" x14ac:dyDescent="0.25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</row>
    <row r="119" spans="1:71" x14ac:dyDescent="0.25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</row>
    <row r="120" spans="1:71" x14ac:dyDescent="0.2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</row>
    <row r="121" spans="1:71" x14ac:dyDescent="0.25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</row>
    <row r="122" spans="1:71" x14ac:dyDescent="0.2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</row>
    <row r="123" spans="1:71" x14ac:dyDescent="0.2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</row>
    <row r="124" spans="1:71" x14ac:dyDescent="0.2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</row>
    <row r="125" spans="1:71" x14ac:dyDescent="0.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</row>
    <row r="126" spans="1:71" x14ac:dyDescent="0.25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</row>
    <row r="127" spans="1:71" x14ac:dyDescent="0.25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</row>
    <row r="128" spans="1:71" x14ac:dyDescent="0.25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</row>
    <row r="129" spans="1:71" x14ac:dyDescent="0.25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</row>
    <row r="130" spans="1:71" x14ac:dyDescent="0.25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</row>
    <row r="131" spans="1:71" x14ac:dyDescent="0.25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</row>
    <row r="132" spans="1:71" x14ac:dyDescent="0.25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</row>
    <row r="133" spans="1:71" x14ac:dyDescent="0.25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</row>
    <row r="134" spans="1:71" x14ac:dyDescent="0.25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</row>
    <row r="135" spans="1:71" x14ac:dyDescent="0.2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</row>
    <row r="136" spans="1:71" x14ac:dyDescent="0.25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</row>
    <row r="137" spans="1:71" x14ac:dyDescent="0.2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</row>
    <row r="138" spans="1:71" x14ac:dyDescent="0.25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</row>
    <row r="139" spans="1:71" x14ac:dyDescent="0.25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</row>
    <row r="140" spans="1:71" x14ac:dyDescent="0.25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</row>
    <row r="141" spans="1:71" x14ac:dyDescent="0.25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</row>
    <row r="142" spans="1:71" x14ac:dyDescent="0.25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</row>
    <row r="143" spans="1:71" x14ac:dyDescent="0.25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</row>
    <row r="144" spans="1:71" x14ac:dyDescent="0.2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</row>
    <row r="145" spans="1:71" x14ac:dyDescent="0.2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</row>
    <row r="146" spans="1:71" x14ac:dyDescent="0.25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</row>
    <row r="147" spans="1:71" x14ac:dyDescent="0.25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</row>
    <row r="148" spans="1:71" x14ac:dyDescent="0.25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</row>
    <row r="149" spans="1:71" x14ac:dyDescent="0.25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</row>
    <row r="150" spans="1:71" x14ac:dyDescent="0.25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</row>
    <row r="151" spans="1:71" x14ac:dyDescent="0.25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</row>
    <row r="152" spans="1:71" x14ac:dyDescent="0.25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</row>
    <row r="153" spans="1:71" x14ac:dyDescent="0.25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</row>
    <row r="154" spans="1:71" x14ac:dyDescent="0.25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</row>
    <row r="155" spans="1:71" x14ac:dyDescent="0.2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</row>
    <row r="156" spans="1:71" x14ac:dyDescent="0.25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</row>
    <row r="157" spans="1:71" x14ac:dyDescent="0.25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</row>
    <row r="158" spans="1:71" x14ac:dyDescent="0.25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</row>
    <row r="159" spans="1:71" x14ac:dyDescent="0.25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</row>
    <row r="160" spans="1:71" x14ac:dyDescent="0.25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</row>
    <row r="161" spans="1:71" x14ac:dyDescent="0.25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</row>
    <row r="162" spans="1:71" x14ac:dyDescent="0.25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</row>
    <row r="163" spans="1:71" x14ac:dyDescent="0.2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</row>
    <row r="164" spans="1:71" x14ac:dyDescent="0.25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</row>
    <row r="165" spans="1:71" x14ac:dyDescent="0.2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</row>
    <row r="166" spans="1:71" x14ac:dyDescent="0.25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</row>
    <row r="167" spans="1:71" x14ac:dyDescent="0.2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</row>
    <row r="168" spans="1:71" x14ac:dyDescent="0.2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</row>
    <row r="169" spans="1:71" x14ac:dyDescent="0.25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</row>
    <row r="170" spans="1:71" x14ac:dyDescent="0.2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</row>
    <row r="171" spans="1:71" x14ac:dyDescent="0.25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</row>
    <row r="172" spans="1:71" x14ac:dyDescent="0.25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</row>
    <row r="173" spans="1:71" x14ac:dyDescent="0.25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</row>
    <row r="174" spans="1:71" x14ac:dyDescent="0.25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</row>
    <row r="175" spans="1:71" x14ac:dyDescent="0.2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</row>
    <row r="176" spans="1:71" x14ac:dyDescent="0.25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</row>
    <row r="177" spans="1:71" x14ac:dyDescent="0.2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</row>
    <row r="178" spans="1:71" x14ac:dyDescent="0.25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</row>
    <row r="179" spans="1:71" x14ac:dyDescent="0.25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</row>
    <row r="180" spans="1:71" x14ac:dyDescent="0.25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</row>
    <row r="181" spans="1:71" x14ac:dyDescent="0.25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</row>
    <row r="182" spans="1:71" x14ac:dyDescent="0.2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</row>
    <row r="183" spans="1:71" x14ac:dyDescent="0.25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</row>
    <row r="184" spans="1:71" x14ac:dyDescent="0.25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</row>
    <row r="185" spans="1:71" x14ac:dyDescent="0.2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</row>
    <row r="186" spans="1:71" x14ac:dyDescent="0.25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</row>
    <row r="187" spans="1:71" x14ac:dyDescent="0.25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</row>
    <row r="188" spans="1:71" x14ac:dyDescent="0.25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</row>
    <row r="189" spans="1:71" x14ac:dyDescent="0.25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</row>
    <row r="190" spans="1:71" x14ac:dyDescent="0.25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</row>
    <row r="191" spans="1:71" x14ac:dyDescent="0.25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</row>
    <row r="192" spans="1:71" x14ac:dyDescent="0.25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</row>
    <row r="193" spans="1:71" x14ac:dyDescent="0.25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</row>
    <row r="194" spans="1:71" x14ac:dyDescent="0.25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</row>
    <row r="195" spans="1:71" x14ac:dyDescent="0.2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</row>
    <row r="196" spans="1:71" x14ac:dyDescent="0.25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</row>
    <row r="197" spans="1:71" x14ac:dyDescent="0.25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</row>
    <row r="198" spans="1:71" x14ac:dyDescent="0.25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</row>
    <row r="199" spans="1:71" x14ac:dyDescent="0.25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</row>
    <row r="200" spans="1:71" x14ac:dyDescent="0.25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</row>
    <row r="201" spans="1:71" x14ac:dyDescent="0.25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</row>
    <row r="202" spans="1:71" x14ac:dyDescent="0.25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</row>
    <row r="203" spans="1:71" x14ac:dyDescent="0.25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</row>
    <row r="204" spans="1:71" x14ac:dyDescent="0.25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</row>
    <row r="205" spans="1:71" x14ac:dyDescent="0.2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</row>
    <row r="206" spans="1:71" x14ac:dyDescent="0.25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</row>
    <row r="207" spans="1:71" x14ac:dyDescent="0.2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</row>
    <row r="208" spans="1:71" x14ac:dyDescent="0.25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</row>
    <row r="209" spans="1:71" x14ac:dyDescent="0.2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</row>
    <row r="210" spans="1:71" x14ac:dyDescent="0.25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</row>
    <row r="211" spans="1:71" x14ac:dyDescent="0.25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</row>
    <row r="212" spans="1:71" x14ac:dyDescent="0.25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</row>
    <row r="213" spans="1:71" x14ac:dyDescent="0.25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</row>
    <row r="214" spans="1:71" x14ac:dyDescent="0.25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</row>
    <row r="215" spans="1:71" x14ac:dyDescent="0.2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</row>
    <row r="216" spans="1:71" x14ac:dyDescent="0.2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</row>
    <row r="217" spans="1:71" x14ac:dyDescent="0.25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</row>
    <row r="218" spans="1:71" x14ac:dyDescent="0.25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</row>
    <row r="219" spans="1:71" x14ac:dyDescent="0.25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</row>
    <row r="220" spans="1:71" x14ac:dyDescent="0.25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</row>
    <row r="221" spans="1:71" x14ac:dyDescent="0.25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</row>
    <row r="222" spans="1:71" x14ac:dyDescent="0.2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</row>
    <row r="223" spans="1:71" x14ac:dyDescent="0.2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</row>
    <row r="224" spans="1:71" x14ac:dyDescent="0.2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</row>
    <row r="225" spans="1:71" x14ac:dyDescent="0.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</row>
    <row r="226" spans="1:71" x14ac:dyDescent="0.25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</row>
    <row r="227" spans="1:71" x14ac:dyDescent="0.2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</row>
    <row r="228" spans="1:71" x14ac:dyDescent="0.2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</row>
    <row r="229" spans="1:71" x14ac:dyDescent="0.2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</row>
    <row r="230" spans="1:71" x14ac:dyDescent="0.2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</row>
    <row r="231" spans="1:71" x14ac:dyDescent="0.2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</row>
    <row r="232" spans="1:71" x14ac:dyDescent="0.25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</row>
    <row r="233" spans="1:71" x14ac:dyDescent="0.2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</row>
    <row r="234" spans="1:71" x14ac:dyDescent="0.2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</row>
    <row r="235" spans="1:71" x14ac:dyDescent="0.2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</row>
    <row r="236" spans="1:71" x14ac:dyDescent="0.2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</row>
    <row r="237" spans="1:71" x14ac:dyDescent="0.2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</row>
    <row r="238" spans="1:71" x14ac:dyDescent="0.25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</row>
    <row r="239" spans="1:71" x14ac:dyDescent="0.2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</row>
    <row r="240" spans="1:71" x14ac:dyDescent="0.2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</row>
    <row r="241" spans="1:71" x14ac:dyDescent="0.25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</row>
    <row r="242" spans="1:71" x14ac:dyDescent="0.2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</row>
    <row r="243" spans="1:71" x14ac:dyDescent="0.2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</row>
    <row r="244" spans="1:71" x14ac:dyDescent="0.25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</row>
    <row r="245" spans="1:71" x14ac:dyDescent="0.2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</row>
    <row r="246" spans="1:71" x14ac:dyDescent="0.25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</row>
    <row r="247" spans="1:71" x14ac:dyDescent="0.25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</row>
    <row r="248" spans="1:71" x14ac:dyDescent="0.25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</row>
    <row r="249" spans="1:71" x14ac:dyDescent="0.25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</row>
    <row r="250" spans="1:71" x14ac:dyDescent="0.25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</row>
    <row r="251" spans="1:71" x14ac:dyDescent="0.25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</row>
    <row r="252" spans="1:71" x14ac:dyDescent="0.25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</row>
    <row r="253" spans="1:71" x14ac:dyDescent="0.25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</row>
    <row r="254" spans="1:71" x14ac:dyDescent="0.25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</row>
    <row r="255" spans="1:71" x14ac:dyDescent="0.2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</row>
    <row r="256" spans="1:71" x14ac:dyDescent="0.25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</row>
    <row r="257" spans="1:71" x14ac:dyDescent="0.25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</row>
    <row r="258" spans="1:71" x14ac:dyDescent="0.25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</row>
    <row r="259" spans="1:71" x14ac:dyDescent="0.25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</row>
    <row r="260" spans="1:71" x14ac:dyDescent="0.25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</row>
    <row r="261" spans="1:71" x14ac:dyDescent="0.25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</row>
    <row r="262" spans="1:71" x14ac:dyDescent="0.25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</row>
    <row r="263" spans="1:71" x14ac:dyDescent="0.25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</row>
    <row r="264" spans="1:71" x14ac:dyDescent="0.25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</row>
    <row r="265" spans="1:71" x14ac:dyDescent="0.2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</row>
    <row r="266" spans="1:71" x14ac:dyDescent="0.25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</row>
    <row r="267" spans="1:71" x14ac:dyDescent="0.25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</row>
    <row r="268" spans="1:71" x14ac:dyDescent="0.25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</row>
    <row r="269" spans="1:71" x14ac:dyDescent="0.25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</row>
    <row r="270" spans="1:71" x14ac:dyDescent="0.2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</row>
    <row r="271" spans="1:71" x14ac:dyDescent="0.2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</row>
    <row r="272" spans="1:71" x14ac:dyDescent="0.2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</row>
    <row r="273" spans="1:71" x14ac:dyDescent="0.2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</row>
    <row r="274" spans="1:71" x14ac:dyDescent="0.25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</row>
    <row r="275" spans="1:71" x14ac:dyDescent="0.2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</row>
    <row r="276" spans="1:71" x14ac:dyDescent="0.2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</row>
    <row r="277" spans="1:71" x14ac:dyDescent="0.25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</row>
    <row r="278" spans="1:71" x14ac:dyDescent="0.2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</row>
    <row r="279" spans="1:71" x14ac:dyDescent="0.2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</row>
    <row r="280" spans="1:71" x14ac:dyDescent="0.25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</row>
    <row r="281" spans="1:71" x14ac:dyDescent="0.2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</row>
    <row r="282" spans="1:71" x14ac:dyDescent="0.2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</row>
    <row r="283" spans="1:71" x14ac:dyDescent="0.25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</row>
    <row r="284" spans="1:71" x14ac:dyDescent="0.25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</row>
    <row r="285" spans="1:71" x14ac:dyDescent="0.2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</row>
    <row r="286" spans="1:71" x14ac:dyDescent="0.25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</row>
    <row r="287" spans="1:71" x14ac:dyDescent="0.25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</row>
    <row r="288" spans="1:71" x14ac:dyDescent="0.2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</row>
    <row r="289" spans="1:71" x14ac:dyDescent="0.25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</row>
    <row r="290" spans="1:71" x14ac:dyDescent="0.2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</row>
    <row r="291" spans="1:71" x14ac:dyDescent="0.2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</row>
    <row r="292" spans="1:71" x14ac:dyDescent="0.25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</row>
    <row r="293" spans="1:71" x14ac:dyDescent="0.25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</row>
    <row r="294" spans="1:71" x14ac:dyDescent="0.25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</row>
    <row r="295" spans="1:71" x14ac:dyDescent="0.2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</row>
    <row r="296" spans="1:71" x14ac:dyDescent="0.25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</row>
    <row r="297" spans="1:71" x14ac:dyDescent="0.2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</row>
    <row r="298" spans="1:71" x14ac:dyDescent="0.2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</row>
    <row r="299" spans="1:71" x14ac:dyDescent="0.25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</row>
    <row r="300" spans="1:71" x14ac:dyDescent="0.25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</row>
    <row r="301" spans="1:71" x14ac:dyDescent="0.25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</row>
    <row r="302" spans="1:71" x14ac:dyDescent="0.25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</row>
    <row r="303" spans="1:71" x14ac:dyDescent="0.25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</row>
    <row r="304" spans="1:71" x14ac:dyDescent="0.25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</row>
    <row r="305" spans="1:71" x14ac:dyDescent="0.2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</row>
    <row r="306" spans="1:71" x14ac:dyDescent="0.25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</row>
    <row r="307" spans="1:71" x14ac:dyDescent="0.25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</row>
    <row r="308" spans="1:71" x14ac:dyDescent="0.25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</row>
    <row r="309" spans="1:71" x14ac:dyDescent="0.25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</row>
    <row r="310" spans="1:71" x14ac:dyDescent="0.25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</row>
    <row r="311" spans="1:71" x14ac:dyDescent="0.25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</row>
    <row r="312" spans="1:71" x14ac:dyDescent="0.25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</row>
    <row r="313" spans="1:71" x14ac:dyDescent="0.25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</row>
    <row r="314" spans="1:71" x14ac:dyDescent="0.25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</row>
    <row r="315" spans="1:71" x14ac:dyDescent="0.2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</row>
    <row r="316" spans="1:71" x14ac:dyDescent="0.25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</row>
    <row r="317" spans="1:71" x14ac:dyDescent="0.2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</row>
    <row r="318" spans="1:71" x14ac:dyDescent="0.25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</row>
    <row r="319" spans="1:71" x14ac:dyDescent="0.25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</row>
    <row r="320" spans="1:71" x14ac:dyDescent="0.25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</row>
    <row r="321" spans="1:71" x14ac:dyDescent="0.2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</row>
    <row r="322" spans="1:71" x14ac:dyDescent="0.2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</row>
    <row r="323" spans="1:71" x14ac:dyDescent="0.25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</row>
    <row r="324" spans="1:71" x14ac:dyDescent="0.25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</row>
    <row r="325" spans="1:71" x14ac:dyDescent="0.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</row>
    <row r="326" spans="1:71" x14ac:dyDescent="0.2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</row>
    <row r="327" spans="1:71" x14ac:dyDescent="0.2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</row>
    <row r="328" spans="1:71" x14ac:dyDescent="0.2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</row>
    <row r="329" spans="1:71" x14ac:dyDescent="0.2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</row>
    <row r="330" spans="1:71" x14ac:dyDescent="0.2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</row>
    <row r="331" spans="1:71" x14ac:dyDescent="0.2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</row>
    <row r="332" spans="1:71" x14ac:dyDescent="0.2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</row>
    <row r="333" spans="1:71" x14ac:dyDescent="0.2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</row>
    <row r="334" spans="1:71" x14ac:dyDescent="0.2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</row>
    <row r="335" spans="1:71" x14ac:dyDescent="0.2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</row>
    <row r="336" spans="1:71" x14ac:dyDescent="0.2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</row>
    <row r="337" spans="1:71" x14ac:dyDescent="0.2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</row>
    <row r="338" spans="1:71" x14ac:dyDescent="0.2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</row>
    <row r="339" spans="1:71" x14ac:dyDescent="0.2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</row>
    <row r="340" spans="1:71" x14ac:dyDescent="0.2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</row>
    <row r="341" spans="1:71" x14ac:dyDescent="0.2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</row>
    <row r="342" spans="1:71" x14ac:dyDescent="0.2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</row>
  </sheetData>
  <mergeCells count="256">
    <mergeCell ref="L5:BR5"/>
    <mergeCell ref="B5:J5"/>
    <mergeCell ref="V92:AD92"/>
    <mergeCell ref="B36:J36"/>
    <mergeCell ref="V36:AD36"/>
    <mergeCell ref="AF37:AN37"/>
    <mergeCell ref="AP37:AX37"/>
    <mergeCell ref="AZ37:BH37"/>
    <mergeCell ref="BJ37:BR37"/>
    <mergeCell ref="AP50:AX50"/>
    <mergeCell ref="AZ50:BH50"/>
    <mergeCell ref="B64:J64"/>
    <mergeCell ref="L64:T64"/>
    <mergeCell ref="V64:AD64"/>
    <mergeCell ref="AF64:AN64"/>
    <mergeCell ref="AP64:AX64"/>
    <mergeCell ref="AZ64:BH64"/>
    <mergeCell ref="BJ64:BR64"/>
    <mergeCell ref="L47:P47"/>
    <mergeCell ref="Q47:T47"/>
    <mergeCell ref="V47:Z47"/>
    <mergeCell ref="AA47:AD47"/>
    <mergeCell ref="BJ46:BR46"/>
    <mergeCell ref="AP49:AR49"/>
    <mergeCell ref="V19:Z19"/>
    <mergeCell ref="AA19:AD19"/>
    <mergeCell ref="AF19:AJ19"/>
    <mergeCell ref="B21:D21"/>
    <mergeCell ref="E21:J21"/>
    <mergeCell ref="L21:N21"/>
    <mergeCell ref="O21:T21"/>
    <mergeCell ref="V21:X21"/>
    <mergeCell ref="Y21:AD21"/>
    <mergeCell ref="BC7:BH7"/>
    <mergeCell ref="BJ7:BL7"/>
    <mergeCell ref="BM7:BR7"/>
    <mergeCell ref="AP7:AR7"/>
    <mergeCell ref="AS7:AX7"/>
    <mergeCell ref="AZ7:BB7"/>
    <mergeCell ref="Y7:AD7"/>
    <mergeCell ref="AF7:AH7"/>
    <mergeCell ref="AI7:AN7"/>
    <mergeCell ref="B35:D35"/>
    <mergeCell ref="E35:J35"/>
    <mergeCell ref="L35:N35"/>
    <mergeCell ref="O35:T35"/>
    <mergeCell ref="V35:X35"/>
    <mergeCell ref="Y35:AD35"/>
    <mergeCell ref="AP33:AT33"/>
    <mergeCell ref="B7:D7"/>
    <mergeCell ref="E7:J7"/>
    <mergeCell ref="L7:N7"/>
    <mergeCell ref="O7:T7"/>
    <mergeCell ref="V7:X7"/>
    <mergeCell ref="B22:J22"/>
    <mergeCell ref="B23:J23"/>
    <mergeCell ref="L22:T22"/>
    <mergeCell ref="B9:J9"/>
    <mergeCell ref="L9:T9"/>
    <mergeCell ref="V9:AD9"/>
    <mergeCell ref="AF9:AN9"/>
    <mergeCell ref="AP9:AX9"/>
    <mergeCell ref="B19:F19"/>
    <mergeCell ref="G19:J19"/>
    <mergeCell ref="L19:P19"/>
    <mergeCell ref="Q19:T19"/>
    <mergeCell ref="B33:F33"/>
    <mergeCell ref="G33:J33"/>
    <mergeCell ref="L33:P33"/>
    <mergeCell ref="Q33:T33"/>
    <mergeCell ref="V33:Z33"/>
    <mergeCell ref="AA33:AD33"/>
    <mergeCell ref="AF33:AJ33"/>
    <mergeCell ref="AK33:AN33"/>
    <mergeCell ref="AI21:AN21"/>
    <mergeCell ref="AF21:AH21"/>
    <mergeCell ref="BJ35:BL35"/>
    <mergeCell ref="BM35:BR35"/>
    <mergeCell ref="AF35:AH35"/>
    <mergeCell ref="AI35:AN35"/>
    <mergeCell ref="AP35:AR35"/>
    <mergeCell ref="AS35:AX35"/>
    <mergeCell ref="AZ35:BB35"/>
    <mergeCell ref="BC35:BH35"/>
    <mergeCell ref="AF36:AN36"/>
    <mergeCell ref="AP36:AX36"/>
    <mergeCell ref="AZ36:BH36"/>
    <mergeCell ref="BJ36:BR36"/>
    <mergeCell ref="BC49:BH49"/>
    <mergeCell ref="BJ49:BL49"/>
    <mergeCell ref="BM49:BR49"/>
    <mergeCell ref="BJ47:BN47"/>
    <mergeCell ref="BO47:BR47"/>
    <mergeCell ref="B49:D49"/>
    <mergeCell ref="E49:J49"/>
    <mergeCell ref="L49:N49"/>
    <mergeCell ref="O49:T49"/>
    <mergeCell ref="V49:X49"/>
    <mergeCell ref="Y49:AD49"/>
    <mergeCell ref="AF49:AH49"/>
    <mergeCell ref="AI49:AN49"/>
    <mergeCell ref="AF47:AJ47"/>
    <mergeCell ref="AK47:AN47"/>
    <mergeCell ref="AP47:AT47"/>
    <mergeCell ref="AU47:AX47"/>
    <mergeCell ref="AZ47:BD47"/>
    <mergeCell ref="BE47:BH47"/>
    <mergeCell ref="B47:F47"/>
    <mergeCell ref="G47:J47"/>
    <mergeCell ref="AS49:AX49"/>
    <mergeCell ref="AZ49:BB49"/>
    <mergeCell ref="AP61:AT61"/>
    <mergeCell ref="AU61:AX61"/>
    <mergeCell ref="AZ61:BD61"/>
    <mergeCell ref="BE61:BH61"/>
    <mergeCell ref="BJ61:BN61"/>
    <mergeCell ref="BO61:BR61"/>
    <mergeCell ref="BJ50:BR50"/>
    <mergeCell ref="B61:F61"/>
    <mergeCell ref="G61:J61"/>
    <mergeCell ref="L61:P61"/>
    <mergeCell ref="Q61:T61"/>
    <mergeCell ref="V61:Z61"/>
    <mergeCell ref="AA61:AD61"/>
    <mergeCell ref="AF61:AJ61"/>
    <mergeCell ref="AK61:AN61"/>
    <mergeCell ref="BJ63:BL63"/>
    <mergeCell ref="BM63:BR63"/>
    <mergeCell ref="AF63:AH63"/>
    <mergeCell ref="AI63:AN63"/>
    <mergeCell ref="AP63:AR63"/>
    <mergeCell ref="AS63:AX63"/>
    <mergeCell ref="AZ63:BB63"/>
    <mergeCell ref="BC63:BH63"/>
    <mergeCell ref="B63:D63"/>
    <mergeCell ref="E63:J63"/>
    <mergeCell ref="L63:N63"/>
    <mergeCell ref="O63:T63"/>
    <mergeCell ref="V63:X63"/>
    <mergeCell ref="Y63:AD63"/>
    <mergeCell ref="BJ75:BN75"/>
    <mergeCell ref="BO75:BR75"/>
    <mergeCell ref="B75:F75"/>
    <mergeCell ref="G75:J75"/>
    <mergeCell ref="L75:P75"/>
    <mergeCell ref="Q75:T75"/>
    <mergeCell ref="V75:Z75"/>
    <mergeCell ref="AA75:AD75"/>
    <mergeCell ref="AF75:AJ75"/>
    <mergeCell ref="AK75:AN75"/>
    <mergeCell ref="BT77:BV77"/>
    <mergeCell ref="BW77:CB77"/>
    <mergeCell ref="AF77:AH77"/>
    <mergeCell ref="AI77:AN77"/>
    <mergeCell ref="AP77:AR77"/>
    <mergeCell ref="AS77:AX77"/>
    <mergeCell ref="AZ77:BB77"/>
    <mergeCell ref="BC77:BH77"/>
    <mergeCell ref="B77:D77"/>
    <mergeCell ref="E77:J77"/>
    <mergeCell ref="L77:N77"/>
    <mergeCell ref="O77:T77"/>
    <mergeCell ref="V77:X77"/>
    <mergeCell ref="Y77:AD77"/>
    <mergeCell ref="BT89:BX89"/>
    <mergeCell ref="BY89:CB89"/>
    <mergeCell ref="B8:J8"/>
    <mergeCell ref="L8:T8"/>
    <mergeCell ref="V8:AD8"/>
    <mergeCell ref="AF8:AN8"/>
    <mergeCell ref="AP8:AX8"/>
    <mergeCell ref="AZ8:BH8"/>
    <mergeCell ref="AP89:AT89"/>
    <mergeCell ref="AU89:AX89"/>
    <mergeCell ref="AZ89:BD89"/>
    <mergeCell ref="BE89:BH89"/>
    <mergeCell ref="BJ89:BN89"/>
    <mergeCell ref="BO89:BR89"/>
    <mergeCell ref="B89:F89"/>
    <mergeCell ref="G89:J89"/>
    <mergeCell ref="L89:P89"/>
    <mergeCell ref="Q89:T89"/>
    <mergeCell ref="V89:Z89"/>
    <mergeCell ref="AA89:AD89"/>
    <mergeCell ref="AF89:AJ89"/>
    <mergeCell ref="AK89:AN89"/>
    <mergeCell ref="BJ77:BL77"/>
    <mergeCell ref="BM77:BR77"/>
    <mergeCell ref="BJ8:BR8"/>
    <mergeCell ref="AF22:AN22"/>
    <mergeCell ref="AP22:AX22"/>
    <mergeCell ref="BJ22:BR22"/>
    <mergeCell ref="BE33:BH33"/>
    <mergeCell ref="BJ33:BN33"/>
    <mergeCell ref="BO33:BR33"/>
    <mergeCell ref="AS21:AX21"/>
    <mergeCell ref="AZ21:BB21"/>
    <mergeCell ref="BC21:BH21"/>
    <mergeCell ref="BJ21:BL21"/>
    <mergeCell ref="BM21:BR21"/>
    <mergeCell ref="BO19:BR19"/>
    <mergeCell ref="AK19:AN19"/>
    <mergeCell ref="AP19:AT19"/>
    <mergeCell ref="AU19:AX19"/>
    <mergeCell ref="AZ19:BD19"/>
    <mergeCell ref="BE19:BH19"/>
    <mergeCell ref="BJ19:BN19"/>
    <mergeCell ref="AZ9:BH9"/>
    <mergeCell ref="BJ9:BR9"/>
    <mergeCell ref="AU33:AX33"/>
    <mergeCell ref="AZ33:BD33"/>
    <mergeCell ref="AP21:AR21"/>
    <mergeCell ref="AF91:AH91"/>
    <mergeCell ref="AI91:AN91"/>
    <mergeCell ref="AP91:AR91"/>
    <mergeCell ref="AS91:AX91"/>
    <mergeCell ref="AZ91:BB91"/>
    <mergeCell ref="BC91:BH91"/>
    <mergeCell ref="B74:J74"/>
    <mergeCell ref="L74:T74"/>
    <mergeCell ref="V74:AD74"/>
    <mergeCell ref="B91:D91"/>
    <mergeCell ref="E91:J91"/>
    <mergeCell ref="L91:N91"/>
    <mergeCell ref="O91:T91"/>
    <mergeCell ref="V91:X91"/>
    <mergeCell ref="Y91:AD91"/>
    <mergeCell ref="AP75:AT75"/>
    <mergeCell ref="AU75:AX75"/>
    <mergeCell ref="AZ75:BD75"/>
    <mergeCell ref="BE75:BH75"/>
    <mergeCell ref="AZ78:BH78"/>
    <mergeCell ref="A1:BR4"/>
    <mergeCell ref="BJ78:BR78"/>
    <mergeCell ref="B92:J92"/>
    <mergeCell ref="L92:T92"/>
    <mergeCell ref="AF92:AN92"/>
    <mergeCell ref="AP92:AX92"/>
    <mergeCell ref="AZ92:BH92"/>
    <mergeCell ref="BJ92:BR92"/>
    <mergeCell ref="AP103:AT103"/>
    <mergeCell ref="AU103:AX103"/>
    <mergeCell ref="AZ103:BD103"/>
    <mergeCell ref="BE103:BH103"/>
    <mergeCell ref="BJ103:BN103"/>
    <mergeCell ref="BO103:BR103"/>
    <mergeCell ref="BJ91:BL91"/>
    <mergeCell ref="BM91:BR91"/>
    <mergeCell ref="B103:F103"/>
    <mergeCell ref="G103:J103"/>
    <mergeCell ref="L103:P103"/>
    <mergeCell ref="Q103:T103"/>
    <mergeCell ref="V103:Z103"/>
    <mergeCell ref="AA103:AD103"/>
    <mergeCell ref="AF103:AJ103"/>
    <mergeCell ref="AK103:AN103"/>
  </mergeCells>
  <printOptions horizontalCentered="1" verticalCentered="1"/>
  <pageMargins left="0.23622047244094491" right="0.23622047244094491" top="0.23622047244094491" bottom="0.23622047244094491" header="0.23622047244094491" footer="0.23622047244094491"/>
  <pageSetup paperSize="9" scale="89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A325"/>
  <sheetViews>
    <sheetView showGridLines="0" view="pageBreakPreview" zoomScaleNormal="115" zoomScaleSheetLayoutView="100" workbookViewId="0">
      <selection sqref="A1:BQ4"/>
    </sheetView>
  </sheetViews>
  <sheetFormatPr defaultRowHeight="8.25" x14ac:dyDescent="0.25"/>
  <cols>
    <col min="1" max="9" width="1.7109375" style="118" customWidth="1"/>
    <col min="10" max="10" width="0.42578125" style="118" customWidth="1"/>
    <col min="11" max="19" width="1.7109375" style="118" customWidth="1"/>
    <col min="20" max="20" width="0.28515625" style="118" customWidth="1"/>
    <col min="21" max="21" width="1.7109375" style="118" customWidth="1"/>
    <col min="22" max="22" width="2.28515625" style="118" customWidth="1"/>
    <col min="23" max="29" width="1.7109375" style="118" customWidth="1"/>
    <col min="30" max="30" width="0.28515625" style="118" customWidth="1"/>
    <col min="31" max="39" width="1.7109375" style="118" customWidth="1"/>
    <col min="40" max="40" width="0.28515625" style="118" customWidth="1"/>
    <col min="41" max="42" width="1.7109375" style="118" customWidth="1"/>
    <col min="43" max="44" width="1.42578125" style="118" customWidth="1"/>
    <col min="45" max="49" width="1.7109375" style="118" customWidth="1"/>
    <col min="50" max="50" width="0.28515625" style="118" customWidth="1"/>
    <col min="51" max="59" width="1.7109375" style="118" customWidth="1"/>
    <col min="60" max="60" width="1" style="118" customWidth="1"/>
    <col min="61" max="69" width="1.7109375" style="118" customWidth="1"/>
    <col min="70" max="70" width="0.28515625" style="118" customWidth="1"/>
    <col min="71" max="79" width="1.7109375" style="118" customWidth="1"/>
    <col min="80" max="255" width="9.140625" style="118"/>
    <col min="256" max="256" width="0.28515625" style="118" customWidth="1"/>
    <col min="257" max="265" width="1.7109375" style="118" customWidth="1"/>
    <col min="266" max="266" width="0.28515625" style="118" customWidth="1"/>
    <col min="267" max="275" width="1.7109375" style="118" customWidth="1"/>
    <col min="276" max="276" width="0.28515625" style="118" customWidth="1"/>
    <col min="277" max="285" width="1.7109375" style="118" customWidth="1"/>
    <col min="286" max="286" width="0.28515625" style="118" customWidth="1"/>
    <col min="287" max="295" width="1.7109375" style="118" customWidth="1"/>
    <col min="296" max="296" width="0.28515625" style="118" customWidth="1"/>
    <col min="297" max="305" width="1.7109375" style="118" customWidth="1"/>
    <col min="306" max="306" width="0.28515625" style="118" customWidth="1"/>
    <col min="307" max="315" width="1.7109375" style="118" customWidth="1"/>
    <col min="316" max="316" width="0.28515625" style="118" customWidth="1"/>
    <col min="317" max="325" width="1.7109375" style="118" customWidth="1"/>
    <col min="326" max="326" width="0.28515625" style="118" customWidth="1"/>
    <col min="327" max="335" width="1.7109375" style="118" customWidth="1"/>
    <col min="336" max="511" width="9.140625" style="118"/>
    <col min="512" max="512" width="0.28515625" style="118" customWidth="1"/>
    <col min="513" max="521" width="1.7109375" style="118" customWidth="1"/>
    <col min="522" max="522" width="0.28515625" style="118" customWidth="1"/>
    <col min="523" max="531" width="1.7109375" style="118" customWidth="1"/>
    <col min="532" max="532" width="0.28515625" style="118" customWidth="1"/>
    <col min="533" max="541" width="1.7109375" style="118" customWidth="1"/>
    <col min="542" max="542" width="0.28515625" style="118" customWidth="1"/>
    <col min="543" max="551" width="1.7109375" style="118" customWidth="1"/>
    <col min="552" max="552" width="0.28515625" style="118" customWidth="1"/>
    <col min="553" max="561" width="1.7109375" style="118" customWidth="1"/>
    <col min="562" max="562" width="0.28515625" style="118" customWidth="1"/>
    <col min="563" max="571" width="1.7109375" style="118" customWidth="1"/>
    <col min="572" max="572" width="0.28515625" style="118" customWidth="1"/>
    <col min="573" max="581" width="1.7109375" style="118" customWidth="1"/>
    <col min="582" max="582" width="0.28515625" style="118" customWidth="1"/>
    <col min="583" max="591" width="1.7109375" style="118" customWidth="1"/>
    <col min="592" max="767" width="9.140625" style="118"/>
    <col min="768" max="768" width="0.28515625" style="118" customWidth="1"/>
    <col min="769" max="777" width="1.7109375" style="118" customWidth="1"/>
    <col min="778" max="778" width="0.28515625" style="118" customWidth="1"/>
    <col min="779" max="787" width="1.7109375" style="118" customWidth="1"/>
    <col min="788" max="788" width="0.28515625" style="118" customWidth="1"/>
    <col min="789" max="797" width="1.7109375" style="118" customWidth="1"/>
    <col min="798" max="798" width="0.28515625" style="118" customWidth="1"/>
    <col min="799" max="807" width="1.7109375" style="118" customWidth="1"/>
    <col min="808" max="808" width="0.28515625" style="118" customWidth="1"/>
    <col min="809" max="817" width="1.7109375" style="118" customWidth="1"/>
    <col min="818" max="818" width="0.28515625" style="118" customWidth="1"/>
    <col min="819" max="827" width="1.7109375" style="118" customWidth="1"/>
    <col min="828" max="828" width="0.28515625" style="118" customWidth="1"/>
    <col min="829" max="837" width="1.7109375" style="118" customWidth="1"/>
    <col min="838" max="838" width="0.28515625" style="118" customWidth="1"/>
    <col min="839" max="847" width="1.7109375" style="118" customWidth="1"/>
    <col min="848" max="1023" width="9.140625" style="118"/>
    <col min="1024" max="1024" width="0.28515625" style="118" customWidth="1"/>
    <col min="1025" max="1033" width="1.7109375" style="118" customWidth="1"/>
    <col min="1034" max="1034" width="0.28515625" style="118" customWidth="1"/>
    <col min="1035" max="1043" width="1.7109375" style="118" customWidth="1"/>
    <col min="1044" max="1044" width="0.28515625" style="118" customWidth="1"/>
    <col min="1045" max="1053" width="1.7109375" style="118" customWidth="1"/>
    <col min="1054" max="1054" width="0.28515625" style="118" customWidth="1"/>
    <col min="1055" max="1063" width="1.7109375" style="118" customWidth="1"/>
    <col min="1064" max="1064" width="0.28515625" style="118" customWidth="1"/>
    <col min="1065" max="1073" width="1.7109375" style="118" customWidth="1"/>
    <col min="1074" max="1074" width="0.28515625" style="118" customWidth="1"/>
    <col min="1075" max="1083" width="1.7109375" style="118" customWidth="1"/>
    <col min="1084" max="1084" width="0.28515625" style="118" customWidth="1"/>
    <col min="1085" max="1093" width="1.7109375" style="118" customWidth="1"/>
    <col min="1094" max="1094" width="0.28515625" style="118" customWidth="1"/>
    <col min="1095" max="1103" width="1.7109375" style="118" customWidth="1"/>
    <col min="1104" max="1279" width="9.140625" style="118"/>
    <col min="1280" max="1280" width="0.28515625" style="118" customWidth="1"/>
    <col min="1281" max="1289" width="1.7109375" style="118" customWidth="1"/>
    <col min="1290" max="1290" width="0.28515625" style="118" customWidth="1"/>
    <col min="1291" max="1299" width="1.7109375" style="118" customWidth="1"/>
    <col min="1300" max="1300" width="0.28515625" style="118" customWidth="1"/>
    <col min="1301" max="1309" width="1.7109375" style="118" customWidth="1"/>
    <col min="1310" max="1310" width="0.28515625" style="118" customWidth="1"/>
    <col min="1311" max="1319" width="1.7109375" style="118" customWidth="1"/>
    <col min="1320" max="1320" width="0.28515625" style="118" customWidth="1"/>
    <col min="1321" max="1329" width="1.7109375" style="118" customWidth="1"/>
    <col min="1330" max="1330" width="0.28515625" style="118" customWidth="1"/>
    <col min="1331" max="1339" width="1.7109375" style="118" customWidth="1"/>
    <col min="1340" max="1340" width="0.28515625" style="118" customWidth="1"/>
    <col min="1341" max="1349" width="1.7109375" style="118" customWidth="1"/>
    <col min="1350" max="1350" width="0.28515625" style="118" customWidth="1"/>
    <col min="1351" max="1359" width="1.7109375" style="118" customWidth="1"/>
    <col min="1360" max="1535" width="9.140625" style="118"/>
    <col min="1536" max="1536" width="0.28515625" style="118" customWidth="1"/>
    <col min="1537" max="1545" width="1.7109375" style="118" customWidth="1"/>
    <col min="1546" max="1546" width="0.28515625" style="118" customWidth="1"/>
    <col min="1547" max="1555" width="1.7109375" style="118" customWidth="1"/>
    <col min="1556" max="1556" width="0.28515625" style="118" customWidth="1"/>
    <col min="1557" max="1565" width="1.7109375" style="118" customWidth="1"/>
    <col min="1566" max="1566" width="0.28515625" style="118" customWidth="1"/>
    <col min="1567" max="1575" width="1.7109375" style="118" customWidth="1"/>
    <col min="1576" max="1576" width="0.28515625" style="118" customWidth="1"/>
    <col min="1577" max="1585" width="1.7109375" style="118" customWidth="1"/>
    <col min="1586" max="1586" width="0.28515625" style="118" customWidth="1"/>
    <col min="1587" max="1595" width="1.7109375" style="118" customWidth="1"/>
    <col min="1596" max="1596" width="0.28515625" style="118" customWidth="1"/>
    <col min="1597" max="1605" width="1.7109375" style="118" customWidth="1"/>
    <col min="1606" max="1606" width="0.28515625" style="118" customWidth="1"/>
    <col min="1607" max="1615" width="1.7109375" style="118" customWidth="1"/>
    <col min="1616" max="1791" width="9.140625" style="118"/>
    <col min="1792" max="1792" width="0.28515625" style="118" customWidth="1"/>
    <col min="1793" max="1801" width="1.7109375" style="118" customWidth="1"/>
    <col min="1802" max="1802" width="0.28515625" style="118" customWidth="1"/>
    <col min="1803" max="1811" width="1.7109375" style="118" customWidth="1"/>
    <col min="1812" max="1812" width="0.28515625" style="118" customWidth="1"/>
    <col min="1813" max="1821" width="1.7109375" style="118" customWidth="1"/>
    <col min="1822" max="1822" width="0.28515625" style="118" customWidth="1"/>
    <col min="1823" max="1831" width="1.7109375" style="118" customWidth="1"/>
    <col min="1832" max="1832" width="0.28515625" style="118" customWidth="1"/>
    <col min="1833" max="1841" width="1.7109375" style="118" customWidth="1"/>
    <col min="1842" max="1842" width="0.28515625" style="118" customWidth="1"/>
    <col min="1843" max="1851" width="1.7109375" style="118" customWidth="1"/>
    <col min="1852" max="1852" width="0.28515625" style="118" customWidth="1"/>
    <col min="1853" max="1861" width="1.7109375" style="118" customWidth="1"/>
    <col min="1862" max="1862" width="0.28515625" style="118" customWidth="1"/>
    <col min="1863" max="1871" width="1.7109375" style="118" customWidth="1"/>
    <col min="1872" max="2047" width="9.140625" style="118"/>
    <col min="2048" max="2048" width="0.28515625" style="118" customWidth="1"/>
    <col min="2049" max="2057" width="1.7109375" style="118" customWidth="1"/>
    <col min="2058" max="2058" width="0.28515625" style="118" customWidth="1"/>
    <col min="2059" max="2067" width="1.7109375" style="118" customWidth="1"/>
    <col min="2068" max="2068" width="0.28515625" style="118" customWidth="1"/>
    <col min="2069" max="2077" width="1.7109375" style="118" customWidth="1"/>
    <col min="2078" max="2078" width="0.28515625" style="118" customWidth="1"/>
    <col min="2079" max="2087" width="1.7109375" style="118" customWidth="1"/>
    <col min="2088" max="2088" width="0.28515625" style="118" customWidth="1"/>
    <col min="2089" max="2097" width="1.7109375" style="118" customWidth="1"/>
    <col min="2098" max="2098" width="0.28515625" style="118" customWidth="1"/>
    <col min="2099" max="2107" width="1.7109375" style="118" customWidth="1"/>
    <col min="2108" max="2108" width="0.28515625" style="118" customWidth="1"/>
    <col min="2109" max="2117" width="1.7109375" style="118" customWidth="1"/>
    <col min="2118" max="2118" width="0.28515625" style="118" customWidth="1"/>
    <col min="2119" max="2127" width="1.7109375" style="118" customWidth="1"/>
    <col min="2128" max="2303" width="9.140625" style="118"/>
    <col min="2304" max="2304" width="0.28515625" style="118" customWidth="1"/>
    <col min="2305" max="2313" width="1.7109375" style="118" customWidth="1"/>
    <col min="2314" max="2314" width="0.28515625" style="118" customWidth="1"/>
    <col min="2315" max="2323" width="1.7109375" style="118" customWidth="1"/>
    <col min="2324" max="2324" width="0.28515625" style="118" customWidth="1"/>
    <col min="2325" max="2333" width="1.7109375" style="118" customWidth="1"/>
    <col min="2334" max="2334" width="0.28515625" style="118" customWidth="1"/>
    <col min="2335" max="2343" width="1.7109375" style="118" customWidth="1"/>
    <col min="2344" max="2344" width="0.28515625" style="118" customWidth="1"/>
    <col min="2345" max="2353" width="1.7109375" style="118" customWidth="1"/>
    <col min="2354" max="2354" width="0.28515625" style="118" customWidth="1"/>
    <col min="2355" max="2363" width="1.7109375" style="118" customWidth="1"/>
    <col min="2364" max="2364" width="0.28515625" style="118" customWidth="1"/>
    <col min="2365" max="2373" width="1.7109375" style="118" customWidth="1"/>
    <col min="2374" max="2374" width="0.28515625" style="118" customWidth="1"/>
    <col min="2375" max="2383" width="1.7109375" style="118" customWidth="1"/>
    <col min="2384" max="2559" width="9.140625" style="118"/>
    <col min="2560" max="2560" width="0.28515625" style="118" customWidth="1"/>
    <col min="2561" max="2569" width="1.7109375" style="118" customWidth="1"/>
    <col min="2570" max="2570" width="0.28515625" style="118" customWidth="1"/>
    <col min="2571" max="2579" width="1.7109375" style="118" customWidth="1"/>
    <col min="2580" max="2580" width="0.28515625" style="118" customWidth="1"/>
    <col min="2581" max="2589" width="1.7109375" style="118" customWidth="1"/>
    <col min="2590" max="2590" width="0.28515625" style="118" customWidth="1"/>
    <col min="2591" max="2599" width="1.7109375" style="118" customWidth="1"/>
    <col min="2600" max="2600" width="0.28515625" style="118" customWidth="1"/>
    <col min="2601" max="2609" width="1.7109375" style="118" customWidth="1"/>
    <col min="2610" max="2610" width="0.28515625" style="118" customWidth="1"/>
    <col min="2611" max="2619" width="1.7109375" style="118" customWidth="1"/>
    <col min="2620" max="2620" width="0.28515625" style="118" customWidth="1"/>
    <col min="2621" max="2629" width="1.7109375" style="118" customWidth="1"/>
    <col min="2630" max="2630" width="0.28515625" style="118" customWidth="1"/>
    <col min="2631" max="2639" width="1.7109375" style="118" customWidth="1"/>
    <col min="2640" max="2815" width="9.140625" style="118"/>
    <col min="2816" max="2816" width="0.28515625" style="118" customWidth="1"/>
    <col min="2817" max="2825" width="1.7109375" style="118" customWidth="1"/>
    <col min="2826" max="2826" width="0.28515625" style="118" customWidth="1"/>
    <col min="2827" max="2835" width="1.7109375" style="118" customWidth="1"/>
    <col min="2836" max="2836" width="0.28515625" style="118" customWidth="1"/>
    <col min="2837" max="2845" width="1.7109375" style="118" customWidth="1"/>
    <col min="2846" max="2846" width="0.28515625" style="118" customWidth="1"/>
    <col min="2847" max="2855" width="1.7109375" style="118" customWidth="1"/>
    <col min="2856" max="2856" width="0.28515625" style="118" customWidth="1"/>
    <col min="2857" max="2865" width="1.7109375" style="118" customWidth="1"/>
    <col min="2866" max="2866" width="0.28515625" style="118" customWidth="1"/>
    <col min="2867" max="2875" width="1.7109375" style="118" customWidth="1"/>
    <col min="2876" max="2876" width="0.28515625" style="118" customWidth="1"/>
    <col min="2877" max="2885" width="1.7109375" style="118" customWidth="1"/>
    <col min="2886" max="2886" width="0.28515625" style="118" customWidth="1"/>
    <col min="2887" max="2895" width="1.7109375" style="118" customWidth="1"/>
    <col min="2896" max="3071" width="9.140625" style="118"/>
    <col min="3072" max="3072" width="0.28515625" style="118" customWidth="1"/>
    <col min="3073" max="3081" width="1.7109375" style="118" customWidth="1"/>
    <col min="3082" max="3082" width="0.28515625" style="118" customWidth="1"/>
    <col min="3083" max="3091" width="1.7109375" style="118" customWidth="1"/>
    <col min="3092" max="3092" width="0.28515625" style="118" customWidth="1"/>
    <col min="3093" max="3101" width="1.7109375" style="118" customWidth="1"/>
    <col min="3102" max="3102" width="0.28515625" style="118" customWidth="1"/>
    <col min="3103" max="3111" width="1.7109375" style="118" customWidth="1"/>
    <col min="3112" max="3112" width="0.28515625" style="118" customWidth="1"/>
    <col min="3113" max="3121" width="1.7109375" style="118" customWidth="1"/>
    <col min="3122" max="3122" width="0.28515625" style="118" customWidth="1"/>
    <col min="3123" max="3131" width="1.7109375" style="118" customWidth="1"/>
    <col min="3132" max="3132" width="0.28515625" style="118" customWidth="1"/>
    <col min="3133" max="3141" width="1.7109375" style="118" customWidth="1"/>
    <col min="3142" max="3142" width="0.28515625" style="118" customWidth="1"/>
    <col min="3143" max="3151" width="1.7109375" style="118" customWidth="1"/>
    <col min="3152" max="3327" width="9.140625" style="118"/>
    <col min="3328" max="3328" width="0.28515625" style="118" customWidth="1"/>
    <col min="3329" max="3337" width="1.7109375" style="118" customWidth="1"/>
    <col min="3338" max="3338" width="0.28515625" style="118" customWidth="1"/>
    <col min="3339" max="3347" width="1.7109375" style="118" customWidth="1"/>
    <col min="3348" max="3348" width="0.28515625" style="118" customWidth="1"/>
    <col min="3349" max="3357" width="1.7109375" style="118" customWidth="1"/>
    <col min="3358" max="3358" width="0.28515625" style="118" customWidth="1"/>
    <col min="3359" max="3367" width="1.7109375" style="118" customWidth="1"/>
    <col min="3368" max="3368" width="0.28515625" style="118" customWidth="1"/>
    <col min="3369" max="3377" width="1.7109375" style="118" customWidth="1"/>
    <col min="3378" max="3378" width="0.28515625" style="118" customWidth="1"/>
    <col min="3379" max="3387" width="1.7109375" style="118" customWidth="1"/>
    <col min="3388" max="3388" width="0.28515625" style="118" customWidth="1"/>
    <col min="3389" max="3397" width="1.7109375" style="118" customWidth="1"/>
    <col min="3398" max="3398" width="0.28515625" style="118" customWidth="1"/>
    <col min="3399" max="3407" width="1.7109375" style="118" customWidth="1"/>
    <col min="3408" max="3583" width="9.140625" style="118"/>
    <col min="3584" max="3584" width="0.28515625" style="118" customWidth="1"/>
    <col min="3585" max="3593" width="1.7109375" style="118" customWidth="1"/>
    <col min="3594" max="3594" width="0.28515625" style="118" customWidth="1"/>
    <col min="3595" max="3603" width="1.7109375" style="118" customWidth="1"/>
    <col min="3604" max="3604" width="0.28515625" style="118" customWidth="1"/>
    <col min="3605" max="3613" width="1.7109375" style="118" customWidth="1"/>
    <col min="3614" max="3614" width="0.28515625" style="118" customWidth="1"/>
    <col min="3615" max="3623" width="1.7109375" style="118" customWidth="1"/>
    <col min="3624" max="3624" width="0.28515625" style="118" customWidth="1"/>
    <col min="3625" max="3633" width="1.7109375" style="118" customWidth="1"/>
    <col min="3634" max="3634" width="0.28515625" style="118" customWidth="1"/>
    <col min="3635" max="3643" width="1.7109375" style="118" customWidth="1"/>
    <col min="3644" max="3644" width="0.28515625" style="118" customWidth="1"/>
    <col min="3645" max="3653" width="1.7109375" style="118" customWidth="1"/>
    <col min="3654" max="3654" width="0.28515625" style="118" customWidth="1"/>
    <col min="3655" max="3663" width="1.7109375" style="118" customWidth="1"/>
    <col min="3664" max="3839" width="9.140625" style="118"/>
    <col min="3840" max="3840" width="0.28515625" style="118" customWidth="1"/>
    <col min="3841" max="3849" width="1.7109375" style="118" customWidth="1"/>
    <col min="3850" max="3850" width="0.28515625" style="118" customWidth="1"/>
    <col min="3851" max="3859" width="1.7109375" style="118" customWidth="1"/>
    <col min="3860" max="3860" width="0.28515625" style="118" customWidth="1"/>
    <col min="3861" max="3869" width="1.7109375" style="118" customWidth="1"/>
    <col min="3870" max="3870" width="0.28515625" style="118" customWidth="1"/>
    <col min="3871" max="3879" width="1.7109375" style="118" customWidth="1"/>
    <col min="3880" max="3880" width="0.28515625" style="118" customWidth="1"/>
    <col min="3881" max="3889" width="1.7109375" style="118" customWidth="1"/>
    <col min="3890" max="3890" width="0.28515625" style="118" customWidth="1"/>
    <col min="3891" max="3899" width="1.7109375" style="118" customWidth="1"/>
    <col min="3900" max="3900" width="0.28515625" style="118" customWidth="1"/>
    <col min="3901" max="3909" width="1.7109375" style="118" customWidth="1"/>
    <col min="3910" max="3910" width="0.28515625" style="118" customWidth="1"/>
    <col min="3911" max="3919" width="1.7109375" style="118" customWidth="1"/>
    <col min="3920" max="4095" width="9.140625" style="118"/>
    <col min="4096" max="4096" width="0.28515625" style="118" customWidth="1"/>
    <col min="4097" max="4105" width="1.7109375" style="118" customWidth="1"/>
    <col min="4106" max="4106" width="0.28515625" style="118" customWidth="1"/>
    <col min="4107" max="4115" width="1.7109375" style="118" customWidth="1"/>
    <col min="4116" max="4116" width="0.28515625" style="118" customWidth="1"/>
    <col min="4117" max="4125" width="1.7109375" style="118" customWidth="1"/>
    <col min="4126" max="4126" width="0.28515625" style="118" customWidth="1"/>
    <col min="4127" max="4135" width="1.7109375" style="118" customWidth="1"/>
    <col min="4136" max="4136" width="0.28515625" style="118" customWidth="1"/>
    <col min="4137" max="4145" width="1.7109375" style="118" customWidth="1"/>
    <col min="4146" max="4146" width="0.28515625" style="118" customWidth="1"/>
    <col min="4147" max="4155" width="1.7109375" style="118" customWidth="1"/>
    <col min="4156" max="4156" width="0.28515625" style="118" customWidth="1"/>
    <col min="4157" max="4165" width="1.7109375" style="118" customWidth="1"/>
    <col min="4166" max="4166" width="0.28515625" style="118" customWidth="1"/>
    <col min="4167" max="4175" width="1.7109375" style="118" customWidth="1"/>
    <col min="4176" max="4351" width="9.140625" style="118"/>
    <col min="4352" max="4352" width="0.28515625" style="118" customWidth="1"/>
    <col min="4353" max="4361" width="1.7109375" style="118" customWidth="1"/>
    <col min="4362" max="4362" width="0.28515625" style="118" customWidth="1"/>
    <col min="4363" max="4371" width="1.7109375" style="118" customWidth="1"/>
    <col min="4372" max="4372" width="0.28515625" style="118" customWidth="1"/>
    <col min="4373" max="4381" width="1.7109375" style="118" customWidth="1"/>
    <col min="4382" max="4382" width="0.28515625" style="118" customWidth="1"/>
    <col min="4383" max="4391" width="1.7109375" style="118" customWidth="1"/>
    <col min="4392" max="4392" width="0.28515625" style="118" customWidth="1"/>
    <col min="4393" max="4401" width="1.7109375" style="118" customWidth="1"/>
    <col min="4402" max="4402" width="0.28515625" style="118" customWidth="1"/>
    <col min="4403" max="4411" width="1.7109375" style="118" customWidth="1"/>
    <col min="4412" max="4412" width="0.28515625" style="118" customWidth="1"/>
    <col min="4413" max="4421" width="1.7109375" style="118" customWidth="1"/>
    <col min="4422" max="4422" width="0.28515625" style="118" customWidth="1"/>
    <col min="4423" max="4431" width="1.7109375" style="118" customWidth="1"/>
    <col min="4432" max="4607" width="9.140625" style="118"/>
    <col min="4608" max="4608" width="0.28515625" style="118" customWidth="1"/>
    <col min="4609" max="4617" width="1.7109375" style="118" customWidth="1"/>
    <col min="4618" max="4618" width="0.28515625" style="118" customWidth="1"/>
    <col min="4619" max="4627" width="1.7109375" style="118" customWidth="1"/>
    <col min="4628" max="4628" width="0.28515625" style="118" customWidth="1"/>
    <col min="4629" max="4637" width="1.7109375" style="118" customWidth="1"/>
    <col min="4638" max="4638" width="0.28515625" style="118" customWidth="1"/>
    <col min="4639" max="4647" width="1.7109375" style="118" customWidth="1"/>
    <col min="4648" max="4648" width="0.28515625" style="118" customWidth="1"/>
    <col min="4649" max="4657" width="1.7109375" style="118" customWidth="1"/>
    <col min="4658" max="4658" width="0.28515625" style="118" customWidth="1"/>
    <col min="4659" max="4667" width="1.7109375" style="118" customWidth="1"/>
    <col min="4668" max="4668" width="0.28515625" style="118" customWidth="1"/>
    <col min="4669" max="4677" width="1.7109375" style="118" customWidth="1"/>
    <col min="4678" max="4678" width="0.28515625" style="118" customWidth="1"/>
    <col min="4679" max="4687" width="1.7109375" style="118" customWidth="1"/>
    <col min="4688" max="4863" width="9.140625" style="118"/>
    <col min="4864" max="4864" width="0.28515625" style="118" customWidth="1"/>
    <col min="4865" max="4873" width="1.7109375" style="118" customWidth="1"/>
    <col min="4874" max="4874" width="0.28515625" style="118" customWidth="1"/>
    <col min="4875" max="4883" width="1.7109375" style="118" customWidth="1"/>
    <col min="4884" max="4884" width="0.28515625" style="118" customWidth="1"/>
    <col min="4885" max="4893" width="1.7109375" style="118" customWidth="1"/>
    <col min="4894" max="4894" width="0.28515625" style="118" customWidth="1"/>
    <col min="4895" max="4903" width="1.7109375" style="118" customWidth="1"/>
    <col min="4904" max="4904" width="0.28515625" style="118" customWidth="1"/>
    <col min="4905" max="4913" width="1.7109375" style="118" customWidth="1"/>
    <col min="4914" max="4914" width="0.28515625" style="118" customWidth="1"/>
    <col min="4915" max="4923" width="1.7109375" style="118" customWidth="1"/>
    <col min="4924" max="4924" width="0.28515625" style="118" customWidth="1"/>
    <col min="4925" max="4933" width="1.7109375" style="118" customWidth="1"/>
    <col min="4934" max="4934" width="0.28515625" style="118" customWidth="1"/>
    <col min="4935" max="4943" width="1.7109375" style="118" customWidth="1"/>
    <col min="4944" max="5119" width="9.140625" style="118"/>
    <col min="5120" max="5120" width="0.28515625" style="118" customWidth="1"/>
    <col min="5121" max="5129" width="1.7109375" style="118" customWidth="1"/>
    <col min="5130" max="5130" width="0.28515625" style="118" customWidth="1"/>
    <col min="5131" max="5139" width="1.7109375" style="118" customWidth="1"/>
    <col min="5140" max="5140" width="0.28515625" style="118" customWidth="1"/>
    <col min="5141" max="5149" width="1.7109375" style="118" customWidth="1"/>
    <col min="5150" max="5150" width="0.28515625" style="118" customWidth="1"/>
    <col min="5151" max="5159" width="1.7109375" style="118" customWidth="1"/>
    <col min="5160" max="5160" width="0.28515625" style="118" customWidth="1"/>
    <col min="5161" max="5169" width="1.7109375" style="118" customWidth="1"/>
    <col min="5170" max="5170" width="0.28515625" style="118" customWidth="1"/>
    <col min="5171" max="5179" width="1.7109375" style="118" customWidth="1"/>
    <col min="5180" max="5180" width="0.28515625" style="118" customWidth="1"/>
    <col min="5181" max="5189" width="1.7109375" style="118" customWidth="1"/>
    <col min="5190" max="5190" width="0.28515625" style="118" customWidth="1"/>
    <col min="5191" max="5199" width="1.7109375" style="118" customWidth="1"/>
    <col min="5200" max="5375" width="9.140625" style="118"/>
    <col min="5376" max="5376" width="0.28515625" style="118" customWidth="1"/>
    <col min="5377" max="5385" width="1.7109375" style="118" customWidth="1"/>
    <col min="5386" max="5386" width="0.28515625" style="118" customWidth="1"/>
    <col min="5387" max="5395" width="1.7109375" style="118" customWidth="1"/>
    <col min="5396" max="5396" width="0.28515625" style="118" customWidth="1"/>
    <col min="5397" max="5405" width="1.7109375" style="118" customWidth="1"/>
    <col min="5406" max="5406" width="0.28515625" style="118" customWidth="1"/>
    <col min="5407" max="5415" width="1.7109375" style="118" customWidth="1"/>
    <col min="5416" max="5416" width="0.28515625" style="118" customWidth="1"/>
    <col min="5417" max="5425" width="1.7109375" style="118" customWidth="1"/>
    <col min="5426" max="5426" width="0.28515625" style="118" customWidth="1"/>
    <col min="5427" max="5435" width="1.7109375" style="118" customWidth="1"/>
    <col min="5436" max="5436" width="0.28515625" style="118" customWidth="1"/>
    <col min="5437" max="5445" width="1.7109375" style="118" customWidth="1"/>
    <col min="5446" max="5446" width="0.28515625" style="118" customWidth="1"/>
    <col min="5447" max="5455" width="1.7109375" style="118" customWidth="1"/>
    <col min="5456" max="5631" width="9.140625" style="118"/>
    <col min="5632" max="5632" width="0.28515625" style="118" customWidth="1"/>
    <col min="5633" max="5641" width="1.7109375" style="118" customWidth="1"/>
    <col min="5642" max="5642" width="0.28515625" style="118" customWidth="1"/>
    <col min="5643" max="5651" width="1.7109375" style="118" customWidth="1"/>
    <col min="5652" max="5652" width="0.28515625" style="118" customWidth="1"/>
    <col min="5653" max="5661" width="1.7109375" style="118" customWidth="1"/>
    <col min="5662" max="5662" width="0.28515625" style="118" customWidth="1"/>
    <col min="5663" max="5671" width="1.7109375" style="118" customWidth="1"/>
    <col min="5672" max="5672" width="0.28515625" style="118" customWidth="1"/>
    <col min="5673" max="5681" width="1.7109375" style="118" customWidth="1"/>
    <col min="5682" max="5682" width="0.28515625" style="118" customWidth="1"/>
    <col min="5683" max="5691" width="1.7109375" style="118" customWidth="1"/>
    <col min="5692" max="5692" width="0.28515625" style="118" customWidth="1"/>
    <col min="5693" max="5701" width="1.7109375" style="118" customWidth="1"/>
    <col min="5702" max="5702" width="0.28515625" style="118" customWidth="1"/>
    <col min="5703" max="5711" width="1.7109375" style="118" customWidth="1"/>
    <col min="5712" max="5887" width="9.140625" style="118"/>
    <col min="5888" max="5888" width="0.28515625" style="118" customWidth="1"/>
    <col min="5889" max="5897" width="1.7109375" style="118" customWidth="1"/>
    <col min="5898" max="5898" width="0.28515625" style="118" customWidth="1"/>
    <col min="5899" max="5907" width="1.7109375" style="118" customWidth="1"/>
    <col min="5908" max="5908" width="0.28515625" style="118" customWidth="1"/>
    <col min="5909" max="5917" width="1.7109375" style="118" customWidth="1"/>
    <col min="5918" max="5918" width="0.28515625" style="118" customWidth="1"/>
    <col min="5919" max="5927" width="1.7109375" style="118" customWidth="1"/>
    <col min="5928" max="5928" width="0.28515625" style="118" customWidth="1"/>
    <col min="5929" max="5937" width="1.7109375" style="118" customWidth="1"/>
    <col min="5938" max="5938" width="0.28515625" style="118" customWidth="1"/>
    <col min="5939" max="5947" width="1.7109375" style="118" customWidth="1"/>
    <col min="5948" max="5948" width="0.28515625" style="118" customWidth="1"/>
    <col min="5949" max="5957" width="1.7109375" style="118" customWidth="1"/>
    <col min="5958" max="5958" width="0.28515625" style="118" customWidth="1"/>
    <col min="5959" max="5967" width="1.7109375" style="118" customWidth="1"/>
    <col min="5968" max="6143" width="9.140625" style="118"/>
    <col min="6144" max="6144" width="0.28515625" style="118" customWidth="1"/>
    <col min="6145" max="6153" width="1.7109375" style="118" customWidth="1"/>
    <col min="6154" max="6154" width="0.28515625" style="118" customWidth="1"/>
    <col min="6155" max="6163" width="1.7109375" style="118" customWidth="1"/>
    <col min="6164" max="6164" width="0.28515625" style="118" customWidth="1"/>
    <col min="6165" max="6173" width="1.7109375" style="118" customWidth="1"/>
    <col min="6174" max="6174" width="0.28515625" style="118" customWidth="1"/>
    <col min="6175" max="6183" width="1.7109375" style="118" customWidth="1"/>
    <col min="6184" max="6184" width="0.28515625" style="118" customWidth="1"/>
    <col min="6185" max="6193" width="1.7109375" style="118" customWidth="1"/>
    <col min="6194" max="6194" width="0.28515625" style="118" customWidth="1"/>
    <col min="6195" max="6203" width="1.7109375" style="118" customWidth="1"/>
    <col min="6204" max="6204" width="0.28515625" style="118" customWidth="1"/>
    <col min="6205" max="6213" width="1.7109375" style="118" customWidth="1"/>
    <col min="6214" max="6214" width="0.28515625" style="118" customWidth="1"/>
    <col min="6215" max="6223" width="1.7109375" style="118" customWidth="1"/>
    <col min="6224" max="6399" width="9.140625" style="118"/>
    <col min="6400" max="6400" width="0.28515625" style="118" customWidth="1"/>
    <col min="6401" max="6409" width="1.7109375" style="118" customWidth="1"/>
    <col min="6410" max="6410" width="0.28515625" style="118" customWidth="1"/>
    <col min="6411" max="6419" width="1.7109375" style="118" customWidth="1"/>
    <col min="6420" max="6420" width="0.28515625" style="118" customWidth="1"/>
    <col min="6421" max="6429" width="1.7109375" style="118" customWidth="1"/>
    <col min="6430" max="6430" width="0.28515625" style="118" customWidth="1"/>
    <col min="6431" max="6439" width="1.7109375" style="118" customWidth="1"/>
    <col min="6440" max="6440" width="0.28515625" style="118" customWidth="1"/>
    <col min="6441" max="6449" width="1.7109375" style="118" customWidth="1"/>
    <col min="6450" max="6450" width="0.28515625" style="118" customWidth="1"/>
    <col min="6451" max="6459" width="1.7109375" style="118" customWidth="1"/>
    <col min="6460" max="6460" width="0.28515625" style="118" customWidth="1"/>
    <col min="6461" max="6469" width="1.7109375" style="118" customWidth="1"/>
    <col min="6470" max="6470" width="0.28515625" style="118" customWidth="1"/>
    <col min="6471" max="6479" width="1.7109375" style="118" customWidth="1"/>
    <col min="6480" max="6655" width="9.140625" style="118"/>
    <col min="6656" max="6656" width="0.28515625" style="118" customWidth="1"/>
    <col min="6657" max="6665" width="1.7109375" style="118" customWidth="1"/>
    <col min="6666" max="6666" width="0.28515625" style="118" customWidth="1"/>
    <col min="6667" max="6675" width="1.7109375" style="118" customWidth="1"/>
    <col min="6676" max="6676" width="0.28515625" style="118" customWidth="1"/>
    <col min="6677" max="6685" width="1.7109375" style="118" customWidth="1"/>
    <col min="6686" max="6686" width="0.28515625" style="118" customWidth="1"/>
    <col min="6687" max="6695" width="1.7109375" style="118" customWidth="1"/>
    <col min="6696" max="6696" width="0.28515625" style="118" customWidth="1"/>
    <col min="6697" max="6705" width="1.7109375" style="118" customWidth="1"/>
    <col min="6706" max="6706" width="0.28515625" style="118" customWidth="1"/>
    <col min="6707" max="6715" width="1.7109375" style="118" customWidth="1"/>
    <col min="6716" max="6716" width="0.28515625" style="118" customWidth="1"/>
    <col min="6717" max="6725" width="1.7109375" style="118" customWidth="1"/>
    <col min="6726" max="6726" width="0.28515625" style="118" customWidth="1"/>
    <col min="6727" max="6735" width="1.7109375" style="118" customWidth="1"/>
    <col min="6736" max="6911" width="9.140625" style="118"/>
    <col min="6912" max="6912" width="0.28515625" style="118" customWidth="1"/>
    <col min="6913" max="6921" width="1.7109375" style="118" customWidth="1"/>
    <col min="6922" max="6922" width="0.28515625" style="118" customWidth="1"/>
    <col min="6923" max="6931" width="1.7109375" style="118" customWidth="1"/>
    <col min="6932" max="6932" width="0.28515625" style="118" customWidth="1"/>
    <col min="6933" max="6941" width="1.7109375" style="118" customWidth="1"/>
    <col min="6942" max="6942" width="0.28515625" style="118" customWidth="1"/>
    <col min="6943" max="6951" width="1.7109375" style="118" customWidth="1"/>
    <col min="6952" max="6952" width="0.28515625" style="118" customWidth="1"/>
    <col min="6953" max="6961" width="1.7109375" style="118" customWidth="1"/>
    <col min="6962" max="6962" width="0.28515625" style="118" customWidth="1"/>
    <col min="6963" max="6971" width="1.7109375" style="118" customWidth="1"/>
    <col min="6972" max="6972" width="0.28515625" style="118" customWidth="1"/>
    <col min="6973" max="6981" width="1.7109375" style="118" customWidth="1"/>
    <col min="6982" max="6982" width="0.28515625" style="118" customWidth="1"/>
    <col min="6983" max="6991" width="1.7109375" style="118" customWidth="1"/>
    <col min="6992" max="7167" width="9.140625" style="118"/>
    <col min="7168" max="7168" width="0.28515625" style="118" customWidth="1"/>
    <col min="7169" max="7177" width="1.7109375" style="118" customWidth="1"/>
    <col min="7178" max="7178" width="0.28515625" style="118" customWidth="1"/>
    <col min="7179" max="7187" width="1.7109375" style="118" customWidth="1"/>
    <col min="7188" max="7188" width="0.28515625" style="118" customWidth="1"/>
    <col min="7189" max="7197" width="1.7109375" style="118" customWidth="1"/>
    <col min="7198" max="7198" width="0.28515625" style="118" customWidth="1"/>
    <col min="7199" max="7207" width="1.7109375" style="118" customWidth="1"/>
    <col min="7208" max="7208" width="0.28515625" style="118" customWidth="1"/>
    <col min="7209" max="7217" width="1.7109375" style="118" customWidth="1"/>
    <col min="7218" max="7218" width="0.28515625" style="118" customWidth="1"/>
    <col min="7219" max="7227" width="1.7109375" style="118" customWidth="1"/>
    <col min="7228" max="7228" width="0.28515625" style="118" customWidth="1"/>
    <col min="7229" max="7237" width="1.7109375" style="118" customWidth="1"/>
    <col min="7238" max="7238" width="0.28515625" style="118" customWidth="1"/>
    <col min="7239" max="7247" width="1.7109375" style="118" customWidth="1"/>
    <col min="7248" max="7423" width="9.140625" style="118"/>
    <col min="7424" max="7424" width="0.28515625" style="118" customWidth="1"/>
    <col min="7425" max="7433" width="1.7109375" style="118" customWidth="1"/>
    <col min="7434" max="7434" width="0.28515625" style="118" customWidth="1"/>
    <col min="7435" max="7443" width="1.7109375" style="118" customWidth="1"/>
    <col min="7444" max="7444" width="0.28515625" style="118" customWidth="1"/>
    <col min="7445" max="7453" width="1.7109375" style="118" customWidth="1"/>
    <col min="7454" max="7454" width="0.28515625" style="118" customWidth="1"/>
    <col min="7455" max="7463" width="1.7109375" style="118" customWidth="1"/>
    <col min="7464" max="7464" width="0.28515625" style="118" customWidth="1"/>
    <col min="7465" max="7473" width="1.7109375" style="118" customWidth="1"/>
    <col min="7474" max="7474" width="0.28515625" style="118" customWidth="1"/>
    <col min="7475" max="7483" width="1.7109375" style="118" customWidth="1"/>
    <col min="7484" max="7484" width="0.28515625" style="118" customWidth="1"/>
    <col min="7485" max="7493" width="1.7109375" style="118" customWidth="1"/>
    <col min="7494" max="7494" width="0.28515625" style="118" customWidth="1"/>
    <col min="7495" max="7503" width="1.7109375" style="118" customWidth="1"/>
    <col min="7504" max="7679" width="9.140625" style="118"/>
    <col min="7680" max="7680" width="0.28515625" style="118" customWidth="1"/>
    <col min="7681" max="7689" width="1.7109375" style="118" customWidth="1"/>
    <col min="7690" max="7690" width="0.28515625" style="118" customWidth="1"/>
    <col min="7691" max="7699" width="1.7109375" style="118" customWidth="1"/>
    <col min="7700" max="7700" width="0.28515625" style="118" customWidth="1"/>
    <col min="7701" max="7709" width="1.7109375" style="118" customWidth="1"/>
    <col min="7710" max="7710" width="0.28515625" style="118" customWidth="1"/>
    <col min="7711" max="7719" width="1.7109375" style="118" customWidth="1"/>
    <col min="7720" max="7720" width="0.28515625" style="118" customWidth="1"/>
    <col min="7721" max="7729" width="1.7109375" style="118" customWidth="1"/>
    <col min="7730" max="7730" width="0.28515625" style="118" customWidth="1"/>
    <col min="7731" max="7739" width="1.7109375" style="118" customWidth="1"/>
    <col min="7740" max="7740" width="0.28515625" style="118" customWidth="1"/>
    <col min="7741" max="7749" width="1.7109375" style="118" customWidth="1"/>
    <col min="7750" max="7750" width="0.28515625" style="118" customWidth="1"/>
    <col min="7751" max="7759" width="1.7109375" style="118" customWidth="1"/>
    <col min="7760" max="7935" width="9.140625" style="118"/>
    <col min="7936" max="7936" width="0.28515625" style="118" customWidth="1"/>
    <col min="7937" max="7945" width="1.7109375" style="118" customWidth="1"/>
    <col min="7946" max="7946" width="0.28515625" style="118" customWidth="1"/>
    <col min="7947" max="7955" width="1.7109375" style="118" customWidth="1"/>
    <col min="7956" max="7956" width="0.28515625" style="118" customWidth="1"/>
    <col min="7957" max="7965" width="1.7109375" style="118" customWidth="1"/>
    <col min="7966" max="7966" width="0.28515625" style="118" customWidth="1"/>
    <col min="7967" max="7975" width="1.7109375" style="118" customWidth="1"/>
    <col min="7976" max="7976" width="0.28515625" style="118" customWidth="1"/>
    <col min="7977" max="7985" width="1.7109375" style="118" customWidth="1"/>
    <col min="7986" max="7986" width="0.28515625" style="118" customWidth="1"/>
    <col min="7987" max="7995" width="1.7109375" style="118" customWidth="1"/>
    <col min="7996" max="7996" width="0.28515625" style="118" customWidth="1"/>
    <col min="7997" max="8005" width="1.7109375" style="118" customWidth="1"/>
    <col min="8006" max="8006" width="0.28515625" style="118" customWidth="1"/>
    <col min="8007" max="8015" width="1.7109375" style="118" customWidth="1"/>
    <col min="8016" max="8191" width="9.140625" style="118"/>
    <col min="8192" max="8192" width="0.28515625" style="118" customWidth="1"/>
    <col min="8193" max="8201" width="1.7109375" style="118" customWidth="1"/>
    <col min="8202" max="8202" width="0.28515625" style="118" customWidth="1"/>
    <col min="8203" max="8211" width="1.7109375" style="118" customWidth="1"/>
    <col min="8212" max="8212" width="0.28515625" style="118" customWidth="1"/>
    <col min="8213" max="8221" width="1.7109375" style="118" customWidth="1"/>
    <col min="8222" max="8222" width="0.28515625" style="118" customWidth="1"/>
    <col min="8223" max="8231" width="1.7109375" style="118" customWidth="1"/>
    <col min="8232" max="8232" width="0.28515625" style="118" customWidth="1"/>
    <col min="8233" max="8241" width="1.7109375" style="118" customWidth="1"/>
    <col min="8242" max="8242" width="0.28515625" style="118" customWidth="1"/>
    <col min="8243" max="8251" width="1.7109375" style="118" customWidth="1"/>
    <col min="8252" max="8252" width="0.28515625" style="118" customWidth="1"/>
    <col min="8253" max="8261" width="1.7109375" style="118" customWidth="1"/>
    <col min="8262" max="8262" width="0.28515625" style="118" customWidth="1"/>
    <col min="8263" max="8271" width="1.7109375" style="118" customWidth="1"/>
    <col min="8272" max="8447" width="9.140625" style="118"/>
    <col min="8448" max="8448" width="0.28515625" style="118" customWidth="1"/>
    <col min="8449" max="8457" width="1.7109375" style="118" customWidth="1"/>
    <col min="8458" max="8458" width="0.28515625" style="118" customWidth="1"/>
    <col min="8459" max="8467" width="1.7109375" style="118" customWidth="1"/>
    <col min="8468" max="8468" width="0.28515625" style="118" customWidth="1"/>
    <col min="8469" max="8477" width="1.7109375" style="118" customWidth="1"/>
    <col min="8478" max="8478" width="0.28515625" style="118" customWidth="1"/>
    <col min="8479" max="8487" width="1.7109375" style="118" customWidth="1"/>
    <col min="8488" max="8488" width="0.28515625" style="118" customWidth="1"/>
    <col min="8489" max="8497" width="1.7109375" style="118" customWidth="1"/>
    <col min="8498" max="8498" width="0.28515625" style="118" customWidth="1"/>
    <col min="8499" max="8507" width="1.7109375" style="118" customWidth="1"/>
    <col min="8508" max="8508" width="0.28515625" style="118" customWidth="1"/>
    <col min="8509" max="8517" width="1.7109375" style="118" customWidth="1"/>
    <col min="8518" max="8518" width="0.28515625" style="118" customWidth="1"/>
    <col min="8519" max="8527" width="1.7109375" style="118" customWidth="1"/>
    <col min="8528" max="8703" width="9.140625" style="118"/>
    <col min="8704" max="8704" width="0.28515625" style="118" customWidth="1"/>
    <col min="8705" max="8713" width="1.7109375" style="118" customWidth="1"/>
    <col min="8714" max="8714" width="0.28515625" style="118" customWidth="1"/>
    <col min="8715" max="8723" width="1.7109375" style="118" customWidth="1"/>
    <col min="8724" max="8724" width="0.28515625" style="118" customWidth="1"/>
    <col min="8725" max="8733" width="1.7109375" style="118" customWidth="1"/>
    <col min="8734" max="8734" width="0.28515625" style="118" customWidth="1"/>
    <col min="8735" max="8743" width="1.7109375" style="118" customWidth="1"/>
    <col min="8744" max="8744" width="0.28515625" style="118" customWidth="1"/>
    <col min="8745" max="8753" width="1.7109375" style="118" customWidth="1"/>
    <col min="8754" max="8754" width="0.28515625" style="118" customWidth="1"/>
    <col min="8755" max="8763" width="1.7109375" style="118" customWidth="1"/>
    <col min="8764" max="8764" width="0.28515625" style="118" customWidth="1"/>
    <col min="8765" max="8773" width="1.7109375" style="118" customWidth="1"/>
    <col min="8774" max="8774" width="0.28515625" style="118" customWidth="1"/>
    <col min="8775" max="8783" width="1.7109375" style="118" customWidth="1"/>
    <col min="8784" max="8959" width="9.140625" style="118"/>
    <col min="8960" max="8960" width="0.28515625" style="118" customWidth="1"/>
    <col min="8961" max="8969" width="1.7109375" style="118" customWidth="1"/>
    <col min="8970" max="8970" width="0.28515625" style="118" customWidth="1"/>
    <col min="8971" max="8979" width="1.7109375" style="118" customWidth="1"/>
    <col min="8980" max="8980" width="0.28515625" style="118" customWidth="1"/>
    <col min="8981" max="8989" width="1.7109375" style="118" customWidth="1"/>
    <col min="8990" max="8990" width="0.28515625" style="118" customWidth="1"/>
    <col min="8991" max="8999" width="1.7109375" style="118" customWidth="1"/>
    <col min="9000" max="9000" width="0.28515625" style="118" customWidth="1"/>
    <col min="9001" max="9009" width="1.7109375" style="118" customWidth="1"/>
    <col min="9010" max="9010" width="0.28515625" style="118" customWidth="1"/>
    <col min="9011" max="9019" width="1.7109375" style="118" customWidth="1"/>
    <col min="9020" max="9020" width="0.28515625" style="118" customWidth="1"/>
    <col min="9021" max="9029" width="1.7109375" style="118" customWidth="1"/>
    <col min="9030" max="9030" width="0.28515625" style="118" customWidth="1"/>
    <col min="9031" max="9039" width="1.7109375" style="118" customWidth="1"/>
    <col min="9040" max="9215" width="9.140625" style="118"/>
    <col min="9216" max="9216" width="0.28515625" style="118" customWidth="1"/>
    <col min="9217" max="9225" width="1.7109375" style="118" customWidth="1"/>
    <col min="9226" max="9226" width="0.28515625" style="118" customWidth="1"/>
    <col min="9227" max="9235" width="1.7109375" style="118" customWidth="1"/>
    <col min="9236" max="9236" width="0.28515625" style="118" customWidth="1"/>
    <col min="9237" max="9245" width="1.7109375" style="118" customWidth="1"/>
    <col min="9246" max="9246" width="0.28515625" style="118" customWidth="1"/>
    <col min="9247" max="9255" width="1.7109375" style="118" customWidth="1"/>
    <col min="9256" max="9256" width="0.28515625" style="118" customWidth="1"/>
    <col min="9257" max="9265" width="1.7109375" style="118" customWidth="1"/>
    <col min="9266" max="9266" width="0.28515625" style="118" customWidth="1"/>
    <col min="9267" max="9275" width="1.7109375" style="118" customWidth="1"/>
    <col min="9276" max="9276" width="0.28515625" style="118" customWidth="1"/>
    <col min="9277" max="9285" width="1.7109375" style="118" customWidth="1"/>
    <col min="9286" max="9286" width="0.28515625" style="118" customWidth="1"/>
    <col min="9287" max="9295" width="1.7109375" style="118" customWidth="1"/>
    <col min="9296" max="9471" width="9.140625" style="118"/>
    <col min="9472" max="9472" width="0.28515625" style="118" customWidth="1"/>
    <col min="9473" max="9481" width="1.7109375" style="118" customWidth="1"/>
    <col min="9482" max="9482" width="0.28515625" style="118" customWidth="1"/>
    <col min="9483" max="9491" width="1.7109375" style="118" customWidth="1"/>
    <col min="9492" max="9492" width="0.28515625" style="118" customWidth="1"/>
    <col min="9493" max="9501" width="1.7109375" style="118" customWidth="1"/>
    <col min="9502" max="9502" width="0.28515625" style="118" customWidth="1"/>
    <col min="9503" max="9511" width="1.7109375" style="118" customWidth="1"/>
    <col min="9512" max="9512" width="0.28515625" style="118" customWidth="1"/>
    <col min="9513" max="9521" width="1.7109375" style="118" customWidth="1"/>
    <col min="9522" max="9522" width="0.28515625" style="118" customWidth="1"/>
    <col min="9523" max="9531" width="1.7109375" style="118" customWidth="1"/>
    <col min="9532" max="9532" width="0.28515625" style="118" customWidth="1"/>
    <col min="9533" max="9541" width="1.7109375" style="118" customWidth="1"/>
    <col min="9542" max="9542" width="0.28515625" style="118" customWidth="1"/>
    <col min="9543" max="9551" width="1.7109375" style="118" customWidth="1"/>
    <col min="9552" max="9727" width="9.140625" style="118"/>
    <col min="9728" max="9728" width="0.28515625" style="118" customWidth="1"/>
    <col min="9729" max="9737" width="1.7109375" style="118" customWidth="1"/>
    <col min="9738" max="9738" width="0.28515625" style="118" customWidth="1"/>
    <col min="9739" max="9747" width="1.7109375" style="118" customWidth="1"/>
    <col min="9748" max="9748" width="0.28515625" style="118" customWidth="1"/>
    <col min="9749" max="9757" width="1.7109375" style="118" customWidth="1"/>
    <col min="9758" max="9758" width="0.28515625" style="118" customWidth="1"/>
    <col min="9759" max="9767" width="1.7109375" style="118" customWidth="1"/>
    <col min="9768" max="9768" width="0.28515625" style="118" customWidth="1"/>
    <col min="9769" max="9777" width="1.7109375" style="118" customWidth="1"/>
    <col min="9778" max="9778" width="0.28515625" style="118" customWidth="1"/>
    <col min="9779" max="9787" width="1.7109375" style="118" customWidth="1"/>
    <col min="9788" max="9788" width="0.28515625" style="118" customWidth="1"/>
    <col min="9789" max="9797" width="1.7109375" style="118" customWidth="1"/>
    <col min="9798" max="9798" width="0.28515625" style="118" customWidth="1"/>
    <col min="9799" max="9807" width="1.7109375" style="118" customWidth="1"/>
    <col min="9808" max="9983" width="9.140625" style="118"/>
    <col min="9984" max="9984" width="0.28515625" style="118" customWidth="1"/>
    <col min="9985" max="9993" width="1.7109375" style="118" customWidth="1"/>
    <col min="9994" max="9994" width="0.28515625" style="118" customWidth="1"/>
    <col min="9995" max="10003" width="1.7109375" style="118" customWidth="1"/>
    <col min="10004" max="10004" width="0.28515625" style="118" customWidth="1"/>
    <col min="10005" max="10013" width="1.7109375" style="118" customWidth="1"/>
    <col min="10014" max="10014" width="0.28515625" style="118" customWidth="1"/>
    <col min="10015" max="10023" width="1.7109375" style="118" customWidth="1"/>
    <col min="10024" max="10024" width="0.28515625" style="118" customWidth="1"/>
    <col min="10025" max="10033" width="1.7109375" style="118" customWidth="1"/>
    <col min="10034" max="10034" width="0.28515625" style="118" customWidth="1"/>
    <col min="10035" max="10043" width="1.7109375" style="118" customWidth="1"/>
    <col min="10044" max="10044" width="0.28515625" style="118" customWidth="1"/>
    <col min="10045" max="10053" width="1.7109375" style="118" customWidth="1"/>
    <col min="10054" max="10054" width="0.28515625" style="118" customWidth="1"/>
    <col min="10055" max="10063" width="1.7109375" style="118" customWidth="1"/>
    <col min="10064" max="10239" width="9.140625" style="118"/>
    <col min="10240" max="10240" width="0.28515625" style="118" customWidth="1"/>
    <col min="10241" max="10249" width="1.7109375" style="118" customWidth="1"/>
    <col min="10250" max="10250" width="0.28515625" style="118" customWidth="1"/>
    <col min="10251" max="10259" width="1.7109375" style="118" customWidth="1"/>
    <col min="10260" max="10260" width="0.28515625" style="118" customWidth="1"/>
    <col min="10261" max="10269" width="1.7109375" style="118" customWidth="1"/>
    <col min="10270" max="10270" width="0.28515625" style="118" customWidth="1"/>
    <col min="10271" max="10279" width="1.7109375" style="118" customWidth="1"/>
    <col min="10280" max="10280" width="0.28515625" style="118" customWidth="1"/>
    <col min="10281" max="10289" width="1.7109375" style="118" customWidth="1"/>
    <col min="10290" max="10290" width="0.28515625" style="118" customWidth="1"/>
    <col min="10291" max="10299" width="1.7109375" style="118" customWidth="1"/>
    <col min="10300" max="10300" width="0.28515625" style="118" customWidth="1"/>
    <col min="10301" max="10309" width="1.7109375" style="118" customWidth="1"/>
    <col min="10310" max="10310" width="0.28515625" style="118" customWidth="1"/>
    <col min="10311" max="10319" width="1.7109375" style="118" customWidth="1"/>
    <col min="10320" max="10495" width="9.140625" style="118"/>
    <col min="10496" max="10496" width="0.28515625" style="118" customWidth="1"/>
    <col min="10497" max="10505" width="1.7109375" style="118" customWidth="1"/>
    <col min="10506" max="10506" width="0.28515625" style="118" customWidth="1"/>
    <col min="10507" max="10515" width="1.7109375" style="118" customWidth="1"/>
    <col min="10516" max="10516" width="0.28515625" style="118" customWidth="1"/>
    <col min="10517" max="10525" width="1.7109375" style="118" customWidth="1"/>
    <col min="10526" max="10526" width="0.28515625" style="118" customWidth="1"/>
    <col min="10527" max="10535" width="1.7109375" style="118" customWidth="1"/>
    <col min="10536" max="10536" width="0.28515625" style="118" customWidth="1"/>
    <col min="10537" max="10545" width="1.7109375" style="118" customWidth="1"/>
    <col min="10546" max="10546" width="0.28515625" style="118" customWidth="1"/>
    <col min="10547" max="10555" width="1.7109375" style="118" customWidth="1"/>
    <col min="10556" max="10556" width="0.28515625" style="118" customWidth="1"/>
    <col min="10557" max="10565" width="1.7109375" style="118" customWidth="1"/>
    <col min="10566" max="10566" width="0.28515625" style="118" customWidth="1"/>
    <col min="10567" max="10575" width="1.7109375" style="118" customWidth="1"/>
    <col min="10576" max="10751" width="9.140625" style="118"/>
    <col min="10752" max="10752" width="0.28515625" style="118" customWidth="1"/>
    <col min="10753" max="10761" width="1.7109375" style="118" customWidth="1"/>
    <col min="10762" max="10762" width="0.28515625" style="118" customWidth="1"/>
    <col min="10763" max="10771" width="1.7109375" style="118" customWidth="1"/>
    <col min="10772" max="10772" width="0.28515625" style="118" customWidth="1"/>
    <col min="10773" max="10781" width="1.7109375" style="118" customWidth="1"/>
    <col min="10782" max="10782" width="0.28515625" style="118" customWidth="1"/>
    <col min="10783" max="10791" width="1.7109375" style="118" customWidth="1"/>
    <col min="10792" max="10792" width="0.28515625" style="118" customWidth="1"/>
    <col min="10793" max="10801" width="1.7109375" style="118" customWidth="1"/>
    <col min="10802" max="10802" width="0.28515625" style="118" customWidth="1"/>
    <col min="10803" max="10811" width="1.7109375" style="118" customWidth="1"/>
    <col min="10812" max="10812" width="0.28515625" style="118" customWidth="1"/>
    <col min="10813" max="10821" width="1.7109375" style="118" customWidth="1"/>
    <col min="10822" max="10822" width="0.28515625" style="118" customWidth="1"/>
    <col min="10823" max="10831" width="1.7109375" style="118" customWidth="1"/>
    <col min="10832" max="11007" width="9.140625" style="118"/>
    <col min="11008" max="11008" width="0.28515625" style="118" customWidth="1"/>
    <col min="11009" max="11017" width="1.7109375" style="118" customWidth="1"/>
    <col min="11018" max="11018" width="0.28515625" style="118" customWidth="1"/>
    <col min="11019" max="11027" width="1.7109375" style="118" customWidth="1"/>
    <col min="11028" max="11028" width="0.28515625" style="118" customWidth="1"/>
    <col min="11029" max="11037" width="1.7109375" style="118" customWidth="1"/>
    <col min="11038" max="11038" width="0.28515625" style="118" customWidth="1"/>
    <col min="11039" max="11047" width="1.7109375" style="118" customWidth="1"/>
    <col min="11048" max="11048" width="0.28515625" style="118" customWidth="1"/>
    <col min="11049" max="11057" width="1.7109375" style="118" customWidth="1"/>
    <col min="11058" max="11058" width="0.28515625" style="118" customWidth="1"/>
    <col min="11059" max="11067" width="1.7109375" style="118" customWidth="1"/>
    <col min="11068" max="11068" width="0.28515625" style="118" customWidth="1"/>
    <col min="11069" max="11077" width="1.7109375" style="118" customWidth="1"/>
    <col min="11078" max="11078" width="0.28515625" style="118" customWidth="1"/>
    <col min="11079" max="11087" width="1.7109375" style="118" customWidth="1"/>
    <col min="11088" max="11263" width="9.140625" style="118"/>
    <col min="11264" max="11264" width="0.28515625" style="118" customWidth="1"/>
    <col min="11265" max="11273" width="1.7109375" style="118" customWidth="1"/>
    <col min="11274" max="11274" width="0.28515625" style="118" customWidth="1"/>
    <col min="11275" max="11283" width="1.7109375" style="118" customWidth="1"/>
    <col min="11284" max="11284" width="0.28515625" style="118" customWidth="1"/>
    <col min="11285" max="11293" width="1.7109375" style="118" customWidth="1"/>
    <col min="11294" max="11294" width="0.28515625" style="118" customWidth="1"/>
    <col min="11295" max="11303" width="1.7109375" style="118" customWidth="1"/>
    <col min="11304" max="11304" width="0.28515625" style="118" customWidth="1"/>
    <col min="11305" max="11313" width="1.7109375" style="118" customWidth="1"/>
    <col min="11314" max="11314" width="0.28515625" style="118" customWidth="1"/>
    <col min="11315" max="11323" width="1.7109375" style="118" customWidth="1"/>
    <col min="11324" max="11324" width="0.28515625" style="118" customWidth="1"/>
    <col min="11325" max="11333" width="1.7109375" style="118" customWidth="1"/>
    <col min="11334" max="11334" width="0.28515625" style="118" customWidth="1"/>
    <col min="11335" max="11343" width="1.7109375" style="118" customWidth="1"/>
    <col min="11344" max="11519" width="9.140625" style="118"/>
    <col min="11520" max="11520" width="0.28515625" style="118" customWidth="1"/>
    <col min="11521" max="11529" width="1.7109375" style="118" customWidth="1"/>
    <col min="11530" max="11530" width="0.28515625" style="118" customWidth="1"/>
    <col min="11531" max="11539" width="1.7109375" style="118" customWidth="1"/>
    <col min="11540" max="11540" width="0.28515625" style="118" customWidth="1"/>
    <col min="11541" max="11549" width="1.7109375" style="118" customWidth="1"/>
    <col min="11550" max="11550" width="0.28515625" style="118" customWidth="1"/>
    <col min="11551" max="11559" width="1.7109375" style="118" customWidth="1"/>
    <col min="11560" max="11560" width="0.28515625" style="118" customWidth="1"/>
    <col min="11561" max="11569" width="1.7109375" style="118" customWidth="1"/>
    <col min="11570" max="11570" width="0.28515625" style="118" customWidth="1"/>
    <col min="11571" max="11579" width="1.7109375" style="118" customWidth="1"/>
    <col min="11580" max="11580" width="0.28515625" style="118" customWidth="1"/>
    <col min="11581" max="11589" width="1.7109375" style="118" customWidth="1"/>
    <col min="11590" max="11590" width="0.28515625" style="118" customWidth="1"/>
    <col min="11591" max="11599" width="1.7109375" style="118" customWidth="1"/>
    <col min="11600" max="11775" width="9.140625" style="118"/>
    <col min="11776" max="11776" width="0.28515625" style="118" customWidth="1"/>
    <col min="11777" max="11785" width="1.7109375" style="118" customWidth="1"/>
    <col min="11786" max="11786" width="0.28515625" style="118" customWidth="1"/>
    <col min="11787" max="11795" width="1.7109375" style="118" customWidth="1"/>
    <col min="11796" max="11796" width="0.28515625" style="118" customWidth="1"/>
    <col min="11797" max="11805" width="1.7109375" style="118" customWidth="1"/>
    <col min="11806" max="11806" width="0.28515625" style="118" customWidth="1"/>
    <col min="11807" max="11815" width="1.7109375" style="118" customWidth="1"/>
    <col min="11816" max="11816" width="0.28515625" style="118" customWidth="1"/>
    <col min="11817" max="11825" width="1.7109375" style="118" customWidth="1"/>
    <col min="11826" max="11826" width="0.28515625" style="118" customWidth="1"/>
    <col min="11827" max="11835" width="1.7109375" style="118" customWidth="1"/>
    <col min="11836" max="11836" width="0.28515625" style="118" customWidth="1"/>
    <col min="11837" max="11845" width="1.7109375" style="118" customWidth="1"/>
    <col min="11846" max="11846" width="0.28515625" style="118" customWidth="1"/>
    <col min="11847" max="11855" width="1.7109375" style="118" customWidth="1"/>
    <col min="11856" max="12031" width="9.140625" style="118"/>
    <col min="12032" max="12032" width="0.28515625" style="118" customWidth="1"/>
    <col min="12033" max="12041" width="1.7109375" style="118" customWidth="1"/>
    <col min="12042" max="12042" width="0.28515625" style="118" customWidth="1"/>
    <col min="12043" max="12051" width="1.7109375" style="118" customWidth="1"/>
    <col min="12052" max="12052" width="0.28515625" style="118" customWidth="1"/>
    <col min="12053" max="12061" width="1.7109375" style="118" customWidth="1"/>
    <col min="12062" max="12062" width="0.28515625" style="118" customWidth="1"/>
    <col min="12063" max="12071" width="1.7109375" style="118" customWidth="1"/>
    <col min="12072" max="12072" width="0.28515625" style="118" customWidth="1"/>
    <col min="12073" max="12081" width="1.7109375" style="118" customWidth="1"/>
    <col min="12082" max="12082" width="0.28515625" style="118" customWidth="1"/>
    <col min="12083" max="12091" width="1.7109375" style="118" customWidth="1"/>
    <col min="12092" max="12092" width="0.28515625" style="118" customWidth="1"/>
    <col min="12093" max="12101" width="1.7109375" style="118" customWidth="1"/>
    <col min="12102" max="12102" width="0.28515625" style="118" customWidth="1"/>
    <col min="12103" max="12111" width="1.7109375" style="118" customWidth="1"/>
    <col min="12112" max="12287" width="9.140625" style="118"/>
    <col min="12288" max="12288" width="0.28515625" style="118" customWidth="1"/>
    <col min="12289" max="12297" width="1.7109375" style="118" customWidth="1"/>
    <col min="12298" max="12298" width="0.28515625" style="118" customWidth="1"/>
    <col min="12299" max="12307" width="1.7109375" style="118" customWidth="1"/>
    <col min="12308" max="12308" width="0.28515625" style="118" customWidth="1"/>
    <col min="12309" max="12317" width="1.7109375" style="118" customWidth="1"/>
    <col min="12318" max="12318" width="0.28515625" style="118" customWidth="1"/>
    <col min="12319" max="12327" width="1.7109375" style="118" customWidth="1"/>
    <col min="12328" max="12328" width="0.28515625" style="118" customWidth="1"/>
    <col min="12329" max="12337" width="1.7109375" style="118" customWidth="1"/>
    <col min="12338" max="12338" width="0.28515625" style="118" customWidth="1"/>
    <col min="12339" max="12347" width="1.7109375" style="118" customWidth="1"/>
    <col min="12348" max="12348" width="0.28515625" style="118" customWidth="1"/>
    <col min="12349" max="12357" width="1.7109375" style="118" customWidth="1"/>
    <col min="12358" max="12358" width="0.28515625" style="118" customWidth="1"/>
    <col min="12359" max="12367" width="1.7109375" style="118" customWidth="1"/>
    <col min="12368" max="12543" width="9.140625" style="118"/>
    <col min="12544" max="12544" width="0.28515625" style="118" customWidth="1"/>
    <col min="12545" max="12553" width="1.7109375" style="118" customWidth="1"/>
    <col min="12554" max="12554" width="0.28515625" style="118" customWidth="1"/>
    <col min="12555" max="12563" width="1.7109375" style="118" customWidth="1"/>
    <col min="12564" max="12564" width="0.28515625" style="118" customWidth="1"/>
    <col min="12565" max="12573" width="1.7109375" style="118" customWidth="1"/>
    <col min="12574" max="12574" width="0.28515625" style="118" customWidth="1"/>
    <col min="12575" max="12583" width="1.7109375" style="118" customWidth="1"/>
    <col min="12584" max="12584" width="0.28515625" style="118" customWidth="1"/>
    <col min="12585" max="12593" width="1.7109375" style="118" customWidth="1"/>
    <col min="12594" max="12594" width="0.28515625" style="118" customWidth="1"/>
    <col min="12595" max="12603" width="1.7109375" style="118" customWidth="1"/>
    <col min="12604" max="12604" width="0.28515625" style="118" customWidth="1"/>
    <col min="12605" max="12613" width="1.7109375" style="118" customWidth="1"/>
    <col min="12614" max="12614" width="0.28515625" style="118" customWidth="1"/>
    <col min="12615" max="12623" width="1.7109375" style="118" customWidth="1"/>
    <col min="12624" max="12799" width="9.140625" style="118"/>
    <col min="12800" max="12800" width="0.28515625" style="118" customWidth="1"/>
    <col min="12801" max="12809" width="1.7109375" style="118" customWidth="1"/>
    <col min="12810" max="12810" width="0.28515625" style="118" customWidth="1"/>
    <col min="12811" max="12819" width="1.7109375" style="118" customWidth="1"/>
    <col min="12820" max="12820" width="0.28515625" style="118" customWidth="1"/>
    <col min="12821" max="12829" width="1.7109375" style="118" customWidth="1"/>
    <col min="12830" max="12830" width="0.28515625" style="118" customWidth="1"/>
    <col min="12831" max="12839" width="1.7109375" style="118" customWidth="1"/>
    <col min="12840" max="12840" width="0.28515625" style="118" customWidth="1"/>
    <col min="12841" max="12849" width="1.7109375" style="118" customWidth="1"/>
    <col min="12850" max="12850" width="0.28515625" style="118" customWidth="1"/>
    <col min="12851" max="12859" width="1.7109375" style="118" customWidth="1"/>
    <col min="12860" max="12860" width="0.28515625" style="118" customWidth="1"/>
    <col min="12861" max="12869" width="1.7109375" style="118" customWidth="1"/>
    <col min="12870" max="12870" width="0.28515625" style="118" customWidth="1"/>
    <col min="12871" max="12879" width="1.7109375" style="118" customWidth="1"/>
    <col min="12880" max="13055" width="9.140625" style="118"/>
    <col min="13056" max="13056" width="0.28515625" style="118" customWidth="1"/>
    <col min="13057" max="13065" width="1.7109375" style="118" customWidth="1"/>
    <col min="13066" max="13066" width="0.28515625" style="118" customWidth="1"/>
    <col min="13067" max="13075" width="1.7109375" style="118" customWidth="1"/>
    <col min="13076" max="13076" width="0.28515625" style="118" customWidth="1"/>
    <col min="13077" max="13085" width="1.7109375" style="118" customWidth="1"/>
    <col min="13086" max="13086" width="0.28515625" style="118" customWidth="1"/>
    <col min="13087" max="13095" width="1.7109375" style="118" customWidth="1"/>
    <col min="13096" max="13096" width="0.28515625" style="118" customWidth="1"/>
    <col min="13097" max="13105" width="1.7109375" style="118" customWidth="1"/>
    <col min="13106" max="13106" width="0.28515625" style="118" customWidth="1"/>
    <col min="13107" max="13115" width="1.7109375" style="118" customWidth="1"/>
    <col min="13116" max="13116" width="0.28515625" style="118" customWidth="1"/>
    <col min="13117" max="13125" width="1.7109375" style="118" customWidth="1"/>
    <col min="13126" max="13126" width="0.28515625" style="118" customWidth="1"/>
    <col min="13127" max="13135" width="1.7109375" style="118" customWidth="1"/>
    <col min="13136" max="13311" width="9.140625" style="118"/>
    <col min="13312" max="13312" width="0.28515625" style="118" customWidth="1"/>
    <col min="13313" max="13321" width="1.7109375" style="118" customWidth="1"/>
    <col min="13322" max="13322" width="0.28515625" style="118" customWidth="1"/>
    <col min="13323" max="13331" width="1.7109375" style="118" customWidth="1"/>
    <col min="13332" max="13332" width="0.28515625" style="118" customWidth="1"/>
    <col min="13333" max="13341" width="1.7109375" style="118" customWidth="1"/>
    <col min="13342" max="13342" width="0.28515625" style="118" customWidth="1"/>
    <col min="13343" max="13351" width="1.7109375" style="118" customWidth="1"/>
    <col min="13352" max="13352" width="0.28515625" style="118" customWidth="1"/>
    <col min="13353" max="13361" width="1.7109375" style="118" customWidth="1"/>
    <col min="13362" max="13362" width="0.28515625" style="118" customWidth="1"/>
    <col min="13363" max="13371" width="1.7109375" style="118" customWidth="1"/>
    <col min="13372" max="13372" width="0.28515625" style="118" customWidth="1"/>
    <col min="13373" max="13381" width="1.7109375" style="118" customWidth="1"/>
    <col min="13382" max="13382" width="0.28515625" style="118" customWidth="1"/>
    <col min="13383" max="13391" width="1.7109375" style="118" customWidth="1"/>
    <col min="13392" max="13567" width="9.140625" style="118"/>
    <col min="13568" max="13568" width="0.28515625" style="118" customWidth="1"/>
    <col min="13569" max="13577" width="1.7109375" style="118" customWidth="1"/>
    <col min="13578" max="13578" width="0.28515625" style="118" customWidth="1"/>
    <col min="13579" max="13587" width="1.7109375" style="118" customWidth="1"/>
    <col min="13588" max="13588" width="0.28515625" style="118" customWidth="1"/>
    <col min="13589" max="13597" width="1.7109375" style="118" customWidth="1"/>
    <col min="13598" max="13598" width="0.28515625" style="118" customWidth="1"/>
    <col min="13599" max="13607" width="1.7109375" style="118" customWidth="1"/>
    <col min="13608" max="13608" width="0.28515625" style="118" customWidth="1"/>
    <col min="13609" max="13617" width="1.7109375" style="118" customWidth="1"/>
    <col min="13618" max="13618" width="0.28515625" style="118" customWidth="1"/>
    <col min="13619" max="13627" width="1.7109375" style="118" customWidth="1"/>
    <col min="13628" max="13628" width="0.28515625" style="118" customWidth="1"/>
    <col min="13629" max="13637" width="1.7109375" style="118" customWidth="1"/>
    <col min="13638" max="13638" width="0.28515625" style="118" customWidth="1"/>
    <col min="13639" max="13647" width="1.7109375" style="118" customWidth="1"/>
    <col min="13648" max="13823" width="9.140625" style="118"/>
    <col min="13824" max="13824" width="0.28515625" style="118" customWidth="1"/>
    <col min="13825" max="13833" width="1.7109375" style="118" customWidth="1"/>
    <col min="13834" max="13834" width="0.28515625" style="118" customWidth="1"/>
    <col min="13835" max="13843" width="1.7109375" style="118" customWidth="1"/>
    <col min="13844" max="13844" width="0.28515625" style="118" customWidth="1"/>
    <col min="13845" max="13853" width="1.7109375" style="118" customWidth="1"/>
    <col min="13854" max="13854" width="0.28515625" style="118" customWidth="1"/>
    <col min="13855" max="13863" width="1.7109375" style="118" customWidth="1"/>
    <col min="13864" max="13864" width="0.28515625" style="118" customWidth="1"/>
    <col min="13865" max="13873" width="1.7109375" style="118" customWidth="1"/>
    <col min="13874" max="13874" width="0.28515625" style="118" customWidth="1"/>
    <col min="13875" max="13883" width="1.7109375" style="118" customWidth="1"/>
    <col min="13884" max="13884" width="0.28515625" style="118" customWidth="1"/>
    <col min="13885" max="13893" width="1.7109375" style="118" customWidth="1"/>
    <col min="13894" max="13894" width="0.28515625" style="118" customWidth="1"/>
    <col min="13895" max="13903" width="1.7109375" style="118" customWidth="1"/>
    <col min="13904" max="14079" width="9.140625" style="118"/>
    <col min="14080" max="14080" width="0.28515625" style="118" customWidth="1"/>
    <col min="14081" max="14089" width="1.7109375" style="118" customWidth="1"/>
    <col min="14090" max="14090" width="0.28515625" style="118" customWidth="1"/>
    <col min="14091" max="14099" width="1.7109375" style="118" customWidth="1"/>
    <col min="14100" max="14100" width="0.28515625" style="118" customWidth="1"/>
    <col min="14101" max="14109" width="1.7109375" style="118" customWidth="1"/>
    <col min="14110" max="14110" width="0.28515625" style="118" customWidth="1"/>
    <col min="14111" max="14119" width="1.7109375" style="118" customWidth="1"/>
    <col min="14120" max="14120" width="0.28515625" style="118" customWidth="1"/>
    <col min="14121" max="14129" width="1.7109375" style="118" customWidth="1"/>
    <col min="14130" max="14130" width="0.28515625" style="118" customWidth="1"/>
    <col min="14131" max="14139" width="1.7109375" style="118" customWidth="1"/>
    <col min="14140" max="14140" width="0.28515625" style="118" customWidth="1"/>
    <col min="14141" max="14149" width="1.7109375" style="118" customWidth="1"/>
    <col min="14150" max="14150" width="0.28515625" style="118" customWidth="1"/>
    <col min="14151" max="14159" width="1.7109375" style="118" customWidth="1"/>
    <col min="14160" max="14335" width="9.140625" style="118"/>
    <col min="14336" max="14336" width="0.28515625" style="118" customWidth="1"/>
    <col min="14337" max="14345" width="1.7109375" style="118" customWidth="1"/>
    <col min="14346" max="14346" width="0.28515625" style="118" customWidth="1"/>
    <col min="14347" max="14355" width="1.7109375" style="118" customWidth="1"/>
    <col min="14356" max="14356" width="0.28515625" style="118" customWidth="1"/>
    <col min="14357" max="14365" width="1.7109375" style="118" customWidth="1"/>
    <col min="14366" max="14366" width="0.28515625" style="118" customWidth="1"/>
    <col min="14367" max="14375" width="1.7109375" style="118" customWidth="1"/>
    <col min="14376" max="14376" width="0.28515625" style="118" customWidth="1"/>
    <col min="14377" max="14385" width="1.7109375" style="118" customWidth="1"/>
    <col min="14386" max="14386" width="0.28515625" style="118" customWidth="1"/>
    <col min="14387" max="14395" width="1.7109375" style="118" customWidth="1"/>
    <col min="14396" max="14396" width="0.28515625" style="118" customWidth="1"/>
    <col min="14397" max="14405" width="1.7109375" style="118" customWidth="1"/>
    <col min="14406" max="14406" width="0.28515625" style="118" customWidth="1"/>
    <col min="14407" max="14415" width="1.7109375" style="118" customWidth="1"/>
    <col min="14416" max="14591" width="9.140625" style="118"/>
    <col min="14592" max="14592" width="0.28515625" style="118" customWidth="1"/>
    <col min="14593" max="14601" width="1.7109375" style="118" customWidth="1"/>
    <col min="14602" max="14602" width="0.28515625" style="118" customWidth="1"/>
    <col min="14603" max="14611" width="1.7109375" style="118" customWidth="1"/>
    <col min="14612" max="14612" width="0.28515625" style="118" customWidth="1"/>
    <col min="14613" max="14621" width="1.7109375" style="118" customWidth="1"/>
    <col min="14622" max="14622" width="0.28515625" style="118" customWidth="1"/>
    <col min="14623" max="14631" width="1.7109375" style="118" customWidth="1"/>
    <col min="14632" max="14632" width="0.28515625" style="118" customWidth="1"/>
    <col min="14633" max="14641" width="1.7109375" style="118" customWidth="1"/>
    <col min="14642" max="14642" width="0.28515625" style="118" customWidth="1"/>
    <col min="14643" max="14651" width="1.7109375" style="118" customWidth="1"/>
    <col min="14652" max="14652" width="0.28515625" style="118" customWidth="1"/>
    <col min="14653" max="14661" width="1.7109375" style="118" customWidth="1"/>
    <col min="14662" max="14662" width="0.28515625" style="118" customWidth="1"/>
    <col min="14663" max="14671" width="1.7109375" style="118" customWidth="1"/>
    <col min="14672" max="14847" width="9.140625" style="118"/>
    <col min="14848" max="14848" width="0.28515625" style="118" customWidth="1"/>
    <col min="14849" max="14857" width="1.7109375" style="118" customWidth="1"/>
    <col min="14858" max="14858" width="0.28515625" style="118" customWidth="1"/>
    <col min="14859" max="14867" width="1.7109375" style="118" customWidth="1"/>
    <col min="14868" max="14868" width="0.28515625" style="118" customWidth="1"/>
    <col min="14869" max="14877" width="1.7109375" style="118" customWidth="1"/>
    <col min="14878" max="14878" width="0.28515625" style="118" customWidth="1"/>
    <col min="14879" max="14887" width="1.7109375" style="118" customWidth="1"/>
    <col min="14888" max="14888" width="0.28515625" style="118" customWidth="1"/>
    <col min="14889" max="14897" width="1.7109375" style="118" customWidth="1"/>
    <col min="14898" max="14898" width="0.28515625" style="118" customWidth="1"/>
    <col min="14899" max="14907" width="1.7109375" style="118" customWidth="1"/>
    <col min="14908" max="14908" width="0.28515625" style="118" customWidth="1"/>
    <col min="14909" max="14917" width="1.7109375" style="118" customWidth="1"/>
    <col min="14918" max="14918" width="0.28515625" style="118" customWidth="1"/>
    <col min="14919" max="14927" width="1.7109375" style="118" customWidth="1"/>
    <col min="14928" max="15103" width="9.140625" style="118"/>
    <col min="15104" max="15104" width="0.28515625" style="118" customWidth="1"/>
    <col min="15105" max="15113" width="1.7109375" style="118" customWidth="1"/>
    <col min="15114" max="15114" width="0.28515625" style="118" customWidth="1"/>
    <col min="15115" max="15123" width="1.7109375" style="118" customWidth="1"/>
    <col min="15124" max="15124" width="0.28515625" style="118" customWidth="1"/>
    <col min="15125" max="15133" width="1.7109375" style="118" customWidth="1"/>
    <col min="15134" max="15134" width="0.28515625" style="118" customWidth="1"/>
    <col min="15135" max="15143" width="1.7109375" style="118" customWidth="1"/>
    <col min="15144" max="15144" width="0.28515625" style="118" customWidth="1"/>
    <col min="15145" max="15153" width="1.7109375" style="118" customWidth="1"/>
    <col min="15154" max="15154" width="0.28515625" style="118" customWidth="1"/>
    <col min="15155" max="15163" width="1.7109375" style="118" customWidth="1"/>
    <col min="15164" max="15164" width="0.28515625" style="118" customWidth="1"/>
    <col min="15165" max="15173" width="1.7109375" style="118" customWidth="1"/>
    <col min="15174" max="15174" width="0.28515625" style="118" customWidth="1"/>
    <col min="15175" max="15183" width="1.7109375" style="118" customWidth="1"/>
    <col min="15184" max="15359" width="9.140625" style="118"/>
    <col min="15360" max="15360" width="0.28515625" style="118" customWidth="1"/>
    <col min="15361" max="15369" width="1.7109375" style="118" customWidth="1"/>
    <col min="15370" max="15370" width="0.28515625" style="118" customWidth="1"/>
    <col min="15371" max="15379" width="1.7109375" style="118" customWidth="1"/>
    <col min="15380" max="15380" width="0.28515625" style="118" customWidth="1"/>
    <col min="15381" max="15389" width="1.7109375" style="118" customWidth="1"/>
    <col min="15390" max="15390" width="0.28515625" style="118" customWidth="1"/>
    <col min="15391" max="15399" width="1.7109375" style="118" customWidth="1"/>
    <col min="15400" max="15400" width="0.28515625" style="118" customWidth="1"/>
    <col min="15401" max="15409" width="1.7109375" style="118" customWidth="1"/>
    <col min="15410" max="15410" width="0.28515625" style="118" customWidth="1"/>
    <col min="15411" max="15419" width="1.7109375" style="118" customWidth="1"/>
    <col min="15420" max="15420" width="0.28515625" style="118" customWidth="1"/>
    <col min="15421" max="15429" width="1.7109375" style="118" customWidth="1"/>
    <col min="15430" max="15430" width="0.28515625" style="118" customWidth="1"/>
    <col min="15431" max="15439" width="1.7109375" style="118" customWidth="1"/>
    <col min="15440" max="15615" width="9.140625" style="118"/>
    <col min="15616" max="15616" width="0.28515625" style="118" customWidth="1"/>
    <col min="15617" max="15625" width="1.7109375" style="118" customWidth="1"/>
    <col min="15626" max="15626" width="0.28515625" style="118" customWidth="1"/>
    <col min="15627" max="15635" width="1.7109375" style="118" customWidth="1"/>
    <col min="15636" max="15636" width="0.28515625" style="118" customWidth="1"/>
    <col min="15637" max="15645" width="1.7109375" style="118" customWidth="1"/>
    <col min="15646" max="15646" width="0.28515625" style="118" customWidth="1"/>
    <col min="15647" max="15655" width="1.7109375" style="118" customWidth="1"/>
    <col min="15656" max="15656" width="0.28515625" style="118" customWidth="1"/>
    <col min="15657" max="15665" width="1.7109375" style="118" customWidth="1"/>
    <col min="15666" max="15666" width="0.28515625" style="118" customWidth="1"/>
    <col min="15667" max="15675" width="1.7109375" style="118" customWidth="1"/>
    <col min="15676" max="15676" width="0.28515625" style="118" customWidth="1"/>
    <col min="15677" max="15685" width="1.7109375" style="118" customWidth="1"/>
    <col min="15686" max="15686" width="0.28515625" style="118" customWidth="1"/>
    <col min="15687" max="15695" width="1.7109375" style="118" customWidth="1"/>
    <col min="15696" max="15871" width="9.140625" style="118"/>
    <col min="15872" max="15872" width="0.28515625" style="118" customWidth="1"/>
    <col min="15873" max="15881" width="1.7109375" style="118" customWidth="1"/>
    <col min="15882" max="15882" width="0.28515625" style="118" customWidth="1"/>
    <col min="15883" max="15891" width="1.7109375" style="118" customWidth="1"/>
    <col min="15892" max="15892" width="0.28515625" style="118" customWidth="1"/>
    <col min="15893" max="15901" width="1.7109375" style="118" customWidth="1"/>
    <col min="15902" max="15902" width="0.28515625" style="118" customWidth="1"/>
    <col min="15903" max="15911" width="1.7109375" style="118" customWidth="1"/>
    <col min="15912" max="15912" width="0.28515625" style="118" customWidth="1"/>
    <col min="15913" max="15921" width="1.7109375" style="118" customWidth="1"/>
    <col min="15922" max="15922" width="0.28515625" style="118" customWidth="1"/>
    <col min="15923" max="15931" width="1.7109375" style="118" customWidth="1"/>
    <col min="15932" max="15932" width="0.28515625" style="118" customWidth="1"/>
    <col min="15933" max="15941" width="1.7109375" style="118" customWidth="1"/>
    <col min="15942" max="15942" width="0.28515625" style="118" customWidth="1"/>
    <col min="15943" max="15951" width="1.7109375" style="118" customWidth="1"/>
    <col min="15952" max="16127" width="9.140625" style="118"/>
    <col min="16128" max="16128" width="0.28515625" style="118" customWidth="1"/>
    <col min="16129" max="16137" width="1.7109375" style="118" customWidth="1"/>
    <col min="16138" max="16138" width="0.28515625" style="118" customWidth="1"/>
    <col min="16139" max="16147" width="1.7109375" style="118" customWidth="1"/>
    <col min="16148" max="16148" width="0.28515625" style="118" customWidth="1"/>
    <col min="16149" max="16157" width="1.7109375" style="118" customWidth="1"/>
    <col min="16158" max="16158" width="0.28515625" style="118" customWidth="1"/>
    <col min="16159" max="16167" width="1.7109375" style="118" customWidth="1"/>
    <col min="16168" max="16168" width="0.28515625" style="118" customWidth="1"/>
    <col min="16169" max="16177" width="1.7109375" style="118" customWidth="1"/>
    <col min="16178" max="16178" width="0.28515625" style="118" customWidth="1"/>
    <col min="16179" max="16187" width="1.7109375" style="118" customWidth="1"/>
    <col min="16188" max="16188" width="0.28515625" style="118" customWidth="1"/>
    <col min="16189" max="16197" width="1.7109375" style="118" customWidth="1"/>
    <col min="16198" max="16198" width="0.28515625" style="118" customWidth="1"/>
    <col min="16199" max="16207" width="1.7109375" style="118" customWidth="1"/>
    <col min="16208" max="16384" width="9.140625" style="118"/>
  </cols>
  <sheetData>
    <row r="1" spans="1:72" ht="19.5" customHeight="1" x14ac:dyDescent="0.25">
      <c r="A1" s="561" t="s">
        <v>829</v>
      </c>
      <c r="B1" s="562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  <c r="Q1" s="562"/>
      <c r="R1" s="562"/>
      <c r="S1" s="562"/>
      <c r="T1" s="562"/>
      <c r="U1" s="562"/>
      <c r="V1" s="562"/>
      <c r="W1" s="562"/>
      <c r="X1" s="562"/>
      <c r="Y1" s="562"/>
      <c r="Z1" s="562"/>
      <c r="AA1" s="562"/>
      <c r="AB1" s="562"/>
      <c r="AC1" s="562"/>
      <c r="AD1" s="562"/>
      <c r="AE1" s="562"/>
      <c r="AF1" s="562"/>
      <c r="AG1" s="562"/>
      <c r="AH1" s="562"/>
      <c r="AI1" s="562"/>
      <c r="AJ1" s="562"/>
      <c r="AK1" s="562"/>
      <c r="AL1" s="562"/>
      <c r="AM1" s="562"/>
      <c r="AN1" s="562"/>
      <c r="AO1" s="562"/>
      <c r="AP1" s="562"/>
      <c r="AQ1" s="562"/>
      <c r="AR1" s="562"/>
      <c r="AS1" s="562"/>
      <c r="AT1" s="562"/>
      <c r="AU1" s="562"/>
      <c r="AV1" s="562"/>
      <c r="AW1" s="562"/>
      <c r="AX1" s="562"/>
      <c r="AY1" s="562"/>
      <c r="AZ1" s="562"/>
      <c r="BA1" s="562"/>
      <c r="BB1" s="562"/>
      <c r="BC1" s="562"/>
      <c r="BD1" s="562"/>
      <c r="BE1" s="562"/>
      <c r="BF1" s="562"/>
      <c r="BG1" s="562"/>
      <c r="BH1" s="562"/>
      <c r="BI1" s="562"/>
      <c r="BJ1" s="562"/>
      <c r="BK1" s="562"/>
      <c r="BL1" s="562"/>
      <c r="BM1" s="562"/>
      <c r="BN1" s="562"/>
      <c r="BO1" s="562"/>
      <c r="BP1" s="562"/>
      <c r="BQ1" s="563"/>
      <c r="BR1" s="117"/>
    </row>
    <row r="2" spans="1:72" ht="19.5" customHeight="1" x14ac:dyDescent="0.25">
      <c r="A2" s="564"/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5"/>
      <c r="R2" s="565"/>
      <c r="S2" s="565"/>
      <c r="T2" s="565"/>
      <c r="U2" s="565"/>
      <c r="V2" s="565"/>
      <c r="W2" s="565"/>
      <c r="X2" s="565"/>
      <c r="Y2" s="565"/>
      <c r="Z2" s="565"/>
      <c r="AA2" s="565"/>
      <c r="AB2" s="565"/>
      <c r="AC2" s="565"/>
      <c r="AD2" s="565"/>
      <c r="AE2" s="565"/>
      <c r="AF2" s="565"/>
      <c r="AG2" s="565"/>
      <c r="AH2" s="565"/>
      <c r="AI2" s="565"/>
      <c r="AJ2" s="565"/>
      <c r="AK2" s="565"/>
      <c r="AL2" s="565"/>
      <c r="AM2" s="565"/>
      <c r="AN2" s="565"/>
      <c r="AO2" s="565"/>
      <c r="AP2" s="565"/>
      <c r="AQ2" s="565"/>
      <c r="AR2" s="565"/>
      <c r="AS2" s="565"/>
      <c r="AT2" s="565"/>
      <c r="AU2" s="565"/>
      <c r="AV2" s="565"/>
      <c r="AW2" s="565"/>
      <c r="AX2" s="565"/>
      <c r="AY2" s="565"/>
      <c r="AZ2" s="565"/>
      <c r="BA2" s="565"/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6"/>
      <c r="BR2" s="119"/>
    </row>
    <row r="3" spans="1:72" ht="19.5" customHeight="1" x14ac:dyDescent="0.25">
      <c r="A3" s="564"/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5"/>
      <c r="AD3" s="565"/>
      <c r="AE3" s="565"/>
      <c r="AF3" s="565"/>
      <c r="AG3" s="565"/>
      <c r="AH3" s="565"/>
      <c r="AI3" s="565"/>
      <c r="AJ3" s="565"/>
      <c r="AK3" s="565"/>
      <c r="AL3" s="565"/>
      <c r="AM3" s="565"/>
      <c r="AN3" s="565"/>
      <c r="AO3" s="565"/>
      <c r="AP3" s="565"/>
      <c r="AQ3" s="565"/>
      <c r="AR3" s="565"/>
      <c r="AS3" s="565"/>
      <c r="AT3" s="565"/>
      <c r="AU3" s="565"/>
      <c r="AV3" s="565"/>
      <c r="AW3" s="565"/>
      <c r="AX3" s="565"/>
      <c r="AY3" s="565"/>
      <c r="AZ3" s="565"/>
      <c r="BA3" s="565"/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6"/>
      <c r="BR3" s="119"/>
    </row>
    <row r="4" spans="1:72" ht="19.5" customHeight="1" x14ac:dyDescent="0.25">
      <c r="A4" s="567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568"/>
      <c r="AG4" s="568"/>
      <c r="AH4" s="568"/>
      <c r="AI4" s="568"/>
      <c r="AJ4" s="568"/>
      <c r="AK4" s="568"/>
      <c r="AL4" s="568"/>
      <c r="AM4" s="568"/>
      <c r="AN4" s="568"/>
      <c r="AO4" s="568"/>
      <c r="AP4" s="568"/>
      <c r="AQ4" s="568"/>
      <c r="AR4" s="568"/>
      <c r="AS4" s="568"/>
      <c r="AT4" s="568"/>
      <c r="AU4" s="568"/>
      <c r="AV4" s="568"/>
      <c r="AW4" s="568"/>
      <c r="AX4" s="568"/>
      <c r="AY4" s="568"/>
      <c r="AZ4" s="568"/>
      <c r="BA4" s="568"/>
      <c r="BB4" s="568"/>
      <c r="BC4" s="568"/>
      <c r="BD4" s="568"/>
      <c r="BE4" s="568"/>
      <c r="BF4" s="568"/>
      <c r="BG4" s="568"/>
      <c r="BH4" s="568"/>
      <c r="BI4" s="568"/>
      <c r="BJ4" s="568"/>
      <c r="BK4" s="568"/>
      <c r="BL4" s="568"/>
      <c r="BM4" s="568"/>
      <c r="BN4" s="568"/>
      <c r="BO4" s="568"/>
      <c r="BP4" s="568"/>
      <c r="BQ4" s="569"/>
      <c r="BR4" s="119"/>
    </row>
    <row r="5" spans="1:72" ht="18" customHeight="1" x14ac:dyDescent="0.25">
      <c r="A5" s="560" t="s">
        <v>824</v>
      </c>
      <c r="B5" s="560"/>
      <c r="C5" s="560"/>
      <c r="D5" s="560"/>
      <c r="E5" s="560"/>
      <c r="F5" s="560"/>
      <c r="G5" s="560"/>
      <c r="H5" s="560"/>
      <c r="I5" s="560"/>
      <c r="J5" s="560"/>
      <c r="K5" s="560"/>
      <c r="L5" s="560"/>
      <c r="M5" s="560"/>
      <c r="N5" s="560"/>
      <c r="O5" s="560"/>
      <c r="P5" s="560"/>
      <c r="Q5" s="560"/>
      <c r="R5" s="560"/>
      <c r="S5" s="560"/>
      <c r="T5" s="560"/>
      <c r="U5" s="560"/>
      <c r="V5" s="560"/>
      <c r="W5" s="560"/>
      <c r="X5" s="560"/>
      <c r="Y5" s="560"/>
      <c r="Z5" s="560"/>
      <c r="AA5" s="560"/>
      <c r="AB5" s="560"/>
      <c r="AC5" s="560"/>
      <c r="AD5" s="560"/>
      <c r="AE5" s="560"/>
      <c r="AF5" s="560"/>
      <c r="AG5" s="560"/>
      <c r="AH5" s="560"/>
      <c r="AI5" s="560"/>
      <c r="AJ5" s="560"/>
      <c r="AK5" s="560"/>
      <c r="AL5" s="560"/>
      <c r="AM5" s="560"/>
      <c r="AN5" s="560"/>
      <c r="AO5" s="560"/>
      <c r="AP5" s="560"/>
      <c r="AQ5" s="560"/>
      <c r="AR5" s="560"/>
      <c r="AS5" s="560"/>
      <c r="AT5" s="560"/>
      <c r="AU5" s="560"/>
      <c r="AV5" s="560"/>
      <c r="AW5" s="560"/>
      <c r="AX5" s="560"/>
      <c r="AY5" s="560"/>
      <c r="AZ5" s="560"/>
      <c r="BA5" s="560"/>
      <c r="BB5" s="560"/>
      <c r="BC5" s="560"/>
      <c r="BD5" s="560"/>
      <c r="BE5" s="560"/>
      <c r="BF5" s="560"/>
      <c r="BG5" s="560"/>
      <c r="BH5" s="560"/>
      <c r="BI5" s="560"/>
      <c r="BJ5" s="560"/>
      <c r="BK5" s="560"/>
      <c r="BL5" s="560"/>
      <c r="BM5" s="560"/>
      <c r="BN5" s="560"/>
      <c r="BO5" s="560"/>
      <c r="BP5" s="560"/>
      <c r="BQ5" s="560"/>
      <c r="BR5" s="119"/>
      <c r="BS5" s="120"/>
    </row>
    <row r="6" spans="1:72" ht="1.5" customHeight="1" x14ac:dyDescent="0.25">
      <c r="A6" s="121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  <c r="AX6" s="120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22"/>
      <c r="BR6" s="117"/>
      <c r="BT6" s="120"/>
    </row>
    <row r="7" spans="1:72" s="124" customFormat="1" ht="9" customHeight="1" x14ac:dyDescent="0.25">
      <c r="A7" s="558"/>
      <c r="B7" s="558"/>
      <c r="C7" s="558"/>
      <c r="D7" s="558"/>
      <c r="E7" s="558"/>
      <c r="F7" s="558"/>
      <c r="G7" s="558"/>
      <c r="H7" s="558"/>
      <c r="I7" s="558"/>
      <c r="J7" s="558"/>
      <c r="K7" s="558"/>
      <c r="L7" s="558"/>
      <c r="M7" s="558"/>
      <c r="N7" s="558"/>
      <c r="O7" s="558"/>
      <c r="P7" s="558"/>
      <c r="Q7" s="558"/>
      <c r="R7" s="558"/>
      <c r="S7" s="558"/>
      <c r="T7" s="558"/>
      <c r="U7" s="558"/>
      <c r="V7" s="558"/>
      <c r="W7" s="558"/>
      <c r="X7" s="558"/>
      <c r="Y7" s="558"/>
      <c r="Z7" s="558"/>
      <c r="AA7" s="558"/>
      <c r="AB7" s="558"/>
      <c r="AC7" s="558"/>
      <c r="AD7" s="558"/>
      <c r="AE7" s="558"/>
      <c r="AF7" s="558"/>
      <c r="AG7" s="558"/>
      <c r="AH7" s="558"/>
      <c r="AI7" s="558"/>
      <c r="AJ7" s="558"/>
      <c r="AK7" s="558"/>
      <c r="AL7" s="558"/>
      <c r="AM7" s="558"/>
      <c r="AN7" s="558"/>
      <c r="AO7" s="558"/>
      <c r="AP7" s="558"/>
      <c r="AQ7" s="558"/>
      <c r="AR7" s="558"/>
      <c r="AS7" s="558"/>
      <c r="AT7" s="558"/>
      <c r="AU7" s="558"/>
      <c r="AV7" s="558"/>
      <c r="AW7" s="558"/>
      <c r="AX7" s="558"/>
      <c r="AY7" s="558"/>
      <c r="AZ7" s="558"/>
      <c r="BA7" s="558"/>
      <c r="BB7" s="558"/>
      <c r="BC7" s="558"/>
      <c r="BD7" s="558"/>
      <c r="BE7" s="558"/>
      <c r="BF7" s="558"/>
      <c r="BG7" s="558"/>
      <c r="BH7" s="558"/>
      <c r="BI7" s="558"/>
      <c r="BJ7" s="558"/>
      <c r="BK7" s="558"/>
      <c r="BL7" s="558"/>
      <c r="BM7" s="558"/>
      <c r="BN7" s="558"/>
      <c r="BO7" s="558"/>
      <c r="BP7" s="558"/>
      <c r="BQ7" s="558"/>
      <c r="BR7" s="123"/>
      <c r="BS7" s="123"/>
    </row>
    <row r="8" spans="1:72" s="125" customFormat="1" ht="9" customHeight="1" x14ac:dyDescent="0.25">
      <c r="A8" s="558"/>
      <c r="B8" s="558"/>
      <c r="C8" s="558"/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8"/>
      <c r="T8" s="558"/>
      <c r="U8" s="558"/>
      <c r="V8" s="558"/>
      <c r="W8" s="558"/>
      <c r="X8" s="558"/>
      <c r="Y8" s="558"/>
      <c r="Z8" s="558"/>
      <c r="AA8" s="558"/>
      <c r="AB8" s="558"/>
      <c r="AC8" s="558"/>
      <c r="AD8" s="558"/>
      <c r="AE8" s="558"/>
      <c r="AF8" s="558"/>
      <c r="AG8" s="558"/>
      <c r="AH8" s="558"/>
      <c r="AI8" s="558"/>
      <c r="AJ8" s="558"/>
      <c r="AK8" s="558"/>
      <c r="AL8" s="558"/>
      <c r="AM8" s="558"/>
      <c r="AN8" s="558"/>
      <c r="AO8" s="558"/>
      <c r="AP8" s="558"/>
      <c r="AQ8" s="558"/>
      <c r="AR8" s="558"/>
      <c r="AS8" s="558"/>
      <c r="AT8" s="558"/>
      <c r="AU8" s="558"/>
      <c r="AV8" s="558"/>
      <c r="AW8" s="558"/>
      <c r="AX8" s="558"/>
      <c r="AY8" s="558"/>
      <c r="AZ8" s="558"/>
      <c r="BA8" s="558"/>
      <c r="BB8" s="558"/>
      <c r="BC8" s="558"/>
      <c r="BD8" s="558"/>
      <c r="BE8" s="558"/>
      <c r="BF8" s="558"/>
      <c r="BG8" s="558"/>
      <c r="BH8" s="558"/>
      <c r="BI8" s="558"/>
      <c r="BJ8" s="558"/>
      <c r="BK8" s="558"/>
      <c r="BL8" s="558"/>
      <c r="BM8" s="558"/>
      <c r="BN8" s="558"/>
      <c r="BO8" s="558"/>
      <c r="BP8" s="558"/>
      <c r="BQ8" s="558"/>
      <c r="BR8" s="126"/>
      <c r="BS8" s="126"/>
    </row>
    <row r="9" spans="1:72" s="124" customFormat="1" ht="9" customHeight="1" x14ac:dyDescent="0.25">
      <c r="A9" s="558"/>
      <c r="B9" s="558"/>
      <c r="C9" s="558"/>
      <c r="D9" s="558"/>
      <c r="E9" s="558"/>
      <c r="F9" s="558"/>
      <c r="G9" s="558"/>
      <c r="H9" s="558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  <c r="T9" s="558"/>
      <c r="U9" s="558"/>
      <c r="V9" s="558"/>
      <c r="W9" s="558"/>
      <c r="X9" s="558"/>
      <c r="Y9" s="558"/>
      <c r="Z9" s="558"/>
      <c r="AA9" s="558"/>
      <c r="AB9" s="558"/>
      <c r="AC9" s="558"/>
      <c r="AD9" s="558"/>
      <c r="AE9" s="558"/>
      <c r="AF9" s="558"/>
      <c r="AG9" s="558"/>
      <c r="AH9" s="558"/>
      <c r="AI9" s="558"/>
      <c r="AJ9" s="558"/>
      <c r="AK9" s="558"/>
      <c r="AL9" s="558"/>
      <c r="AM9" s="558"/>
      <c r="AN9" s="558"/>
      <c r="AO9" s="558"/>
      <c r="AP9" s="558"/>
      <c r="AQ9" s="558"/>
      <c r="AR9" s="558"/>
      <c r="AS9" s="558"/>
      <c r="AT9" s="558"/>
      <c r="AU9" s="558"/>
      <c r="AV9" s="558"/>
      <c r="AW9" s="558"/>
      <c r="AX9" s="558"/>
      <c r="AY9" s="558"/>
      <c r="AZ9" s="558"/>
      <c r="BA9" s="558"/>
      <c r="BB9" s="558"/>
      <c r="BC9" s="558"/>
      <c r="BD9" s="558"/>
      <c r="BE9" s="558"/>
      <c r="BF9" s="558"/>
      <c r="BG9" s="558"/>
      <c r="BH9" s="558"/>
      <c r="BI9" s="558"/>
      <c r="BJ9" s="558"/>
      <c r="BK9" s="558"/>
      <c r="BL9" s="558"/>
      <c r="BM9" s="558"/>
      <c r="BN9" s="558"/>
      <c r="BO9" s="558"/>
      <c r="BP9" s="558"/>
      <c r="BQ9" s="558"/>
      <c r="BR9" s="123"/>
      <c r="BS9" s="123"/>
    </row>
    <row r="10" spans="1:72" s="124" customFormat="1" ht="9" customHeight="1" x14ac:dyDescent="0.25">
      <c r="A10" s="558"/>
      <c r="B10" s="558"/>
      <c r="C10" s="558"/>
      <c r="D10" s="558"/>
      <c r="E10" s="558"/>
      <c r="F10" s="558"/>
      <c r="G10" s="558"/>
      <c r="H10" s="558"/>
      <c r="I10" s="558"/>
      <c r="J10" s="558"/>
      <c r="K10" s="558"/>
      <c r="L10" s="558"/>
      <c r="M10" s="558"/>
      <c r="N10" s="558"/>
      <c r="O10" s="558"/>
      <c r="P10" s="558"/>
      <c r="Q10" s="558"/>
      <c r="R10" s="558"/>
      <c r="S10" s="558"/>
      <c r="T10" s="558"/>
      <c r="U10" s="558"/>
      <c r="V10" s="558"/>
      <c r="W10" s="558"/>
      <c r="X10" s="558"/>
      <c r="Y10" s="558"/>
      <c r="Z10" s="558"/>
      <c r="AA10" s="558"/>
      <c r="AB10" s="558"/>
      <c r="AC10" s="558"/>
      <c r="AD10" s="558"/>
      <c r="AE10" s="558"/>
      <c r="AF10" s="558"/>
      <c r="AG10" s="558"/>
      <c r="AH10" s="558"/>
      <c r="AI10" s="558"/>
      <c r="AJ10" s="558"/>
      <c r="AK10" s="558"/>
      <c r="AL10" s="558"/>
      <c r="AM10" s="558"/>
      <c r="AN10" s="558"/>
      <c r="AO10" s="558"/>
      <c r="AP10" s="558"/>
      <c r="AQ10" s="558"/>
      <c r="AR10" s="558"/>
      <c r="AS10" s="558"/>
      <c r="AT10" s="558"/>
      <c r="AU10" s="558"/>
      <c r="AV10" s="558"/>
      <c r="AW10" s="558"/>
      <c r="AX10" s="558"/>
      <c r="AY10" s="558"/>
      <c r="AZ10" s="558"/>
      <c r="BA10" s="558"/>
      <c r="BB10" s="558"/>
      <c r="BC10" s="558"/>
      <c r="BD10" s="558"/>
      <c r="BE10" s="558"/>
      <c r="BF10" s="558"/>
      <c r="BG10" s="558"/>
      <c r="BH10" s="558"/>
      <c r="BI10" s="558"/>
      <c r="BJ10" s="558"/>
      <c r="BK10" s="558"/>
      <c r="BL10" s="558"/>
      <c r="BM10" s="558"/>
      <c r="BN10" s="558"/>
      <c r="BO10" s="558"/>
      <c r="BP10" s="558"/>
      <c r="BQ10" s="558"/>
      <c r="BR10" s="123"/>
      <c r="BS10" s="123"/>
    </row>
    <row r="11" spans="1:72" s="124" customFormat="1" ht="9" customHeight="1" x14ac:dyDescent="0.25">
      <c r="A11" s="558"/>
      <c r="B11" s="558"/>
      <c r="C11" s="558"/>
      <c r="D11" s="558"/>
      <c r="E11" s="558"/>
      <c r="F11" s="558"/>
      <c r="G11" s="558"/>
      <c r="H11" s="558"/>
      <c r="I11" s="558"/>
      <c r="J11" s="558"/>
      <c r="K11" s="558"/>
      <c r="L11" s="558"/>
      <c r="M11" s="558"/>
      <c r="N11" s="558"/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/>
      <c r="AB11" s="558"/>
      <c r="AC11" s="558"/>
      <c r="AD11" s="558"/>
      <c r="AE11" s="558"/>
      <c r="AF11" s="558"/>
      <c r="AG11" s="558"/>
      <c r="AH11" s="558"/>
      <c r="AI11" s="558"/>
      <c r="AJ11" s="558"/>
      <c r="AK11" s="558"/>
      <c r="AL11" s="558"/>
      <c r="AM11" s="558"/>
      <c r="AN11" s="558"/>
      <c r="AO11" s="558"/>
      <c r="AP11" s="558"/>
      <c r="AQ11" s="558"/>
      <c r="AR11" s="558"/>
      <c r="AS11" s="558"/>
      <c r="AT11" s="558"/>
      <c r="AU11" s="558"/>
      <c r="AV11" s="558"/>
      <c r="AW11" s="558"/>
      <c r="AX11" s="558"/>
      <c r="AY11" s="558"/>
      <c r="AZ11" s="558"/>
      <c r="BA11" s="558"/>
      <c r="BB11" s="558"/>
      <c r="BC11" s="558"/>
      <c r="BD11" s="558"/>
      <c r="BE11" s="558"/>
      <c r="BF11" s="558"/>
      <c r="BG11" s="558"/>
      <c r="BH11" s="558"/>
      <c r="BI11" s="558"/>
      <c r="BJ11" s="558"/>
      <c r="BK11" s="558"/>
      <c r="BL11" s="558"/>
      <c r="BM11" s="558"/>
      <c r="BN11" s="558"/>
      <c r="BO11" s="558"/>
      <c r="BP11" s="558"/>
      <c r="BQ11" s="558"/>
      <c r="BR11" s="123"/>
      <c r="BS11" s="123"/>
    </row>
    <row r="12" spans="1:72" s="124" customFormat="1" ht="9" customHeight="1" x14ac:dyDescent="0.25">
      <c r="A12" s="558"/>
      <c r="B12" s="558"/>
      <c r="C12" s="558"/>
      <c r="D12" s="558"/>
      <c r="E12" s="558"/>
      <c r="F12" s="558"/>
      <c r="G12" s="558"/>
      <c r="H12" s="558"/>
      <c r="I12" s="558"/>
      <c r="J12" s="558"/>
      <c r="K12" s="558"/>
      <c r="L12" s="558"/>
      <c r="M12" s="558"/>
      <c r="N12" s="558"/>
      <c r="O12" s="558"/>
      <c r="P12" s="558"/>
      <c r="Q12" s="558"/>
      <c r="R12" s="558"/>
      <c r="S12" s="558"/>
      <c r="T12" s="558"/>
      <c r="U12" s="558"/>
      <c r="V12" s="558"/>
      <c r="W12" s="558"/>
      <c r="X12" s="558"/>
      <c r="Y12" s="558"/>
      <c r="Z12" s="558"/>
      <c r="AA12" s="558"/>
      <c r="AB12" s="558"/>
      <c r="AC12" s="558"/>
      <c r="AD12" s="558"/>
      <c r="AE12" s="558"/>
      <c r="AF12" s="558"/>
      <c r="AG12" s="558"/>
      <c r="AH12" s="558"/>
      <c r="AI12" s="558"/>
      <c r="AJ12" s="558"/>
      <c r="AK12" s="558"/>
      <c r="AL12" s="558"/>
      <c r="AM12" s="558"/>
      <c r="AN12" s="558"/>
      <c r="AO12" s="558"/>
      <c r="AP12" s="558"/>
      <c r="AQ12" s="558"/>
      <c r="AR12" s="558"/>
      <c r="AS12" s="558"/>
      <c r="AT12" s="558"/>
      <c r="AU12" s="558"/>
      <c r="AV12" s="558"/>
      <c r="AW12" s="558"/>
      <c r="AX12" s="558"/>
      <c r="AY12" s="558"/>
      <c r="AZ12" s="558"/>
      <c r="BA12" s="558"/>
      <c r="BB12" s="558"/>
      <c r="BC12" s="558"/>
      <c r="BD12" s="558"/>
      <c r="BE12" s="558"/>
      <c r="BF12" s="558"/>
      <c r="BG12" s="558"/>
      <c r="BH12" s="558"/>
      <c r="BI12" s="558"/>
      <c r="BJ12" s="558"/>
      <c r="BK12" s="558"/>
      <c r="BL12" s="558"/>
      <c r="BM12" s="558"/>
      <c r="BN12" s="558"/>
      <c r="BO12" s="558"/>
      <c r="BP12" s="558"/>
      <c r="BQ12" s="558"/>
      <c r="BR12" s="123"/>
      <c r="BS12" s="123"/>
    </row>
    <row r="13" spans="1:72" s="124" customFormat="1" ht="9.75" customHeight="1" x14ac:dyDescent="0.25">
      <c r="A13" s="558"/>
      <c r="B13" s="558"/>
      <c r="C13" s="558"/>
      <c r="D13" s="558"/>
      <c r="E13" s="558"/>
      <c r="F13" s="558"/>
      <c r="G13" s="558"/>
      <c r="H13" s="558"/>
      <c r="I13" s="558"/>
      <c r="J13" s="558"/>
      <c r="K13" s="558"/>
      <c r="L13" s="558"/>
      <c r="M13" s="558"/>
      <c r="N13" s="558"/>
      <c r="O13" s="558"/>
      <c r="P13" s="558"/>
      <c r="Q13" s="558"/>
      <c r="R13" s="558"/>
      <c r="S13" s="558"/>
      <c r="T13" s="558"/>
      <c r="U13" s="558"/>
      <c r="V13" s="558"/>
      <c r="W13" s="558"/>
      <c r="X13" s="558"/>
      <c r="Y13" s="558"/>
      <c r="Z13" s="558"/>
      <c r="AA13" s="558"/>
      <c r="AB13" s="558"/>
      <c r="AC13" s="558"/>
      <c r="AD13" s="558"/>
      <c r="AE13" s="558"/>
      <c r="AF13" s="558"/>
      <c r="AG13" s="558"/>
      <c r="AH13" s="558"/>
      <c r="AI13" s="558"/>
      <c r="AJ13" s="558"/>
      <c r="AK13" s="558"/>
      <c r="AL13" s="558"/>
      <c r="AM13" s="558"/>
      <c r="AN13" s="558"/>
      <c r="AO13" s="558"/>
      <c r="AP13" s="558"/>
      <c r="AQ13" s="558"/>
      <c r="AR13" s="558"/>
      <c r="AS13" s="558"/>
      <c r="AT13" s="558"/>
      <c r="AU13" s="558"/>
      <c r="AV13" s="558"/>
      <c r="AW13" s="558"/>
      <c r="AX13" s="558"/>
      <c r="AY13" s="558"/>
      <c r="AZ13" s="558"/>
      <c r="BA13" s="558"/>
      <c r="BB13" s="558"/>
      <c r="BC13" s="558"/>
      <c r="BD13" s="558"/>
      <c r="BE13" s="558"/>
      <c r="BF13" s="558"/>
      <c r="BG13" s="558"/>
      <c r="BH13" s="558"/>
      <c r="BI13" s="558"/>
      <c r="BJ13" s="558"/>
      <c r="BK13" s="558"/>
      <c r="BL13" s="558"/>
      <c r="BM13" s="558"/>
      <c r="BN13" s="558"/>
      <c r="BO13" s="558"/>
      <c r="BP13" s="558"/>
      <c r="BQ13" s="558"/>
      <c r="BR13" s="123"/>
      <c r="BS13" s="123"/>
    </row>
    <row r="14" spans="1:72" s="124" customFormat="1" ht="9.75" customHeight="1" x14ac:dyDescent="0.25">
      <c r="A14" s="558"/>
      <c r="B14" s="558"/>
      <c r="C14" s="558"/>
      <c r="D14" s="558"/>
      <c r="E14" s="558"/>
      <c r="F14" s="558"/>
      <c r="G14" s="558"/>
      <c r="H14" s="558"/>
      <c r="I14" s="558"/>
      <c r="J14" s="558"/>
      <c r="K14" s="558"/>
      <c r="L14" s="558"/>
      <c r="M14" s="558"/>
      <c r="N14" s="558"/>
      <c r="O14" s="558"/>
      <c r="P14" s="558"/>
      <c r="Q14" s="558"/>
      <c r="R14" s="558"/>
      <c r="S14" s="558"/>
      <c r="T14" s="558"/>
      <c r="U14" s="558"/>
      <c r="V14" s="558"/>
      <c r="W14" s="558"/>
      <c r="X14" s="558"/>
      <c r="Y14" s="558"/>
      <c r="Z14" s="558"/>
      <c r="AA14" s="558"/>
      <c r="AB14" s="558"/>
      <c r="AC14" s="558"/>
      <c r="AD14" s="558"/>
      <c r="AE14" s="558"/>
      <c r="AF14" s="558"/>
      <c r="AG14" s="558"/>
      <c r="AH14" s="558"/>
      <c r="AI14" s="558"/>
      <c r="AJ14" s="558"/>
      <c r="AK14" s="558"/>
      <c r="AL14" s="558"/>
      <c r="AM14" s="558"/>
      <c r="AN14" s="558"/>
      <c r="AO14" s="558"/>
      <c r="AP14" s="558"/>
      <c r="AQ14" s="558"/>
      <c r="AR14" s="558"/>
      <c r="AS14" s="558"/>
      <c r="AT14" s="558"/>
      <c r="AU14" s="558"/>
      <c r="AV14" s="558"/>
      <c r="AW14" s="558"/>
      <c r="AX14" s="558"/>
      <c r="AY14" s="558"/>
      <c r="AZ14" s="558"/>
      <c r="BA14" s="558"/>
      <c r="BB14" s="558"/>
      <c r="BC14" s="558"/>
      <c r="BD14" s="558"/>
      <c r="BE14" s="558"/>
      <c r="BF14" s="558"/>
      <c r="BG14" s="558"/>
      <c r="BH14" s="558"/>
      <c r="BI14" s="558"/>
      <c r="BJ14" s="558"/>
      <c r="BK14" s="558"/>
      <c r="BL14" s="558"/>
      <c r="BM14" s="558"/>
      <c r="BN14" s="558"/>
      <c r="BO14" s="558"/>
      <c r="BP14" s="558"/>
      <c r="BQ14" s="558"/>
      <c r="BR14" s="123"/>
      <c r="BS14" s="123"/>
    </row>
    <row r="15" spans="1:72" s="124" customFormat="1" ht="9.75" customHeight="1" x14ac:dyDescent="0.25">
      <c r="A15" s="558"/>
      <c r="B15" s="558"/>
      <c r="C15" s="558"/>
      <c r="D15" s="558"/>
      <c r="E15" s="558"/>
      <c r="F15" s="558"/>
      <c r="G15" s="558"/>
      <c r="H15" s="558"/>
      <c r="I15" s="558"/>
      <c r="J15" s="558"/>
      <c r="K15" s="558"/>
      <c r="L15" s="558"/>
      <c r="M15" s="558"/>
      <c r="N15" s="558"/>
      <c r="O15" s="558"/>
      <c r="P15" s="558"/>
      <c r="Q15" s="558"/>
      <c r="R15" s="558"/>
      <c r="S15" s="558"/>
      <c r="T15" s="558"/>
      <c r="U15" s="558"/>
      <c r="V15" s="558"/>
      <c r="W15" s="558"/>
      <c r="X15" s="558"/>
      <c r="Y15" s="558"/>
      <c r="Z15" s="558"/>
      <c r="AA15" s="558"/>
      <c r="AB15" s="558"/>
      <c r="AC15" s="558"/>
      <c r="AD15" s="558"/>
      <c r="AE15" s="558"/>
      <c r="AF15" s="558"/>
      <c r="AG15" s="558"/>
      <c r="AH15" s="558"/>
      <c r="AI15" s="558"/>
      <c r="AJ15" s="558"/>
      <c r="AK15" s="558"/>
      <c r="AL15" s="558"/>
      <c r="AM15" s="558"/>
      <c r="AN15" s="558"/>
      <c r="AO15" s="558"/>
      <c r="AP15" s="558"/>
      <c r="AQ15" s="558"/>
      <c r="AR15" s="558"/>
      <c r="AS15" s="558"/>
      <c r="AT15" s="558"/>
      <c r="AU15" s="558"/>
      <c r="AV15" s="558"/>
      <c r="AW15" s="558"/>
      <c r="AX15" s="558"/>
      <c r="AY15" s="558"/>
      <c r="AZ15" s="558"/>
      <c r="BA15" s="558"/>
      <c r="BB15" s="558"/>
      <c r="BC15" s="558"/>
      <c r="BD15" s="558"/>
      <c r="BE15" s="558"/>
      <c r="BF15" s="558"/>
      <c r="BG15" s="558"/>
      <c r="BH15" s="558"/>
      <c r="BI15" s="558"/>
      <c r="BJ15" s="558"/>
      <c r="BK15" s="558"/>
      <c r="BL15" s="558"/>
      <c r="BM15" s="558"/>
      <c r="BN15" s="558"/>
      <c r="BO15" s="558"/>
      <c r="BP15" s="558"/>
      <c r="BQ15" s="558"/>
      <c r="BR15" s="123"/>
      <c r="BS15" s="123"/>
    </row>
    <row r="16" spans="1:72" s="124" customFormat="1" ht="9.75" customHeight="1" x14ac:dyDescent="0.25">
      <c r="A16" s="558"/>
      <c r="B16" s="558"/>
      <c r="C16" s="558"/>
      <c r="D16" s="558"/>
      <c r="E16" s="558"/>
      <c r="F16" s="558"/>
      <c r="G16" s="558"/>
      <c r="H16" s="558"/>
      <c r="I16" s="558"/>
      <c r="J16" s="558"/>
      <c r="K16" s="558"/>
      <c r="L16" s="558"/>
      <c r="M16" s="558"/>
      <c r="N16" s="558"/>
      <c r="O16" s="558"/>
      <c r="P16" s="558"/>
      <c r="Q16" s="558"/>
      <c r="R16" s="558"/>
      <c r="S16" s="558"/>
      <c r="T16" s="558"/>
      <c r="U16" s="558"/>
      <c r="V16" s="558"/>
      <c r="W16" s="558"/>
      <c r="X16" s="558"/>
      <c r="Y16" s="558"/>
      <c r="Z16" s="558"/>
      <c r="AA16" s="558"/>
      <c r="AB16" s="558"/>
      <c r="AC16" s="558"/>
      <c r="AD16" s="558"/>
      <c r="AE16" s="558"/>
      <c r="AF16" s="558"/>
      <c r="AG16" s="558"/>
      <c r="AH16" s="558"/>
      <c r="AI16" s="558"/>
      <c r="AJ16" s="558"/>
      <c r="AK16" s="558"/>
      <c r="AL16" s="558"/>
      <c r="AM16" s="558"/>
      <c r="AN16" s="558"/>
      <c r="AO16" s="558"/>
      <c r="AP16" s="558"/>
      <c r="AQ16" s="558"/>
      <c r="AR16" s="558"/>
      <c r="AS16" s="558"/>
      <c r="AT16" s="558"/>
      <c r="AU16" s="558"/>
      <c r="AV16" s="558"/>
      <c r="AW16" s="558"/>
      <c r="AX16" s="558"/>
      <c r="AY16" s="558"/>
      <c r="AZ16" s="558"/>
      <c r="BA16" s="558"/>
      <c r="BB16" s="558"/>
      <c r="BC16" s="558"/>
      <c r="BD16" s="558"/>
      <c r="BE16" s="558"/>
      <c r="BF16" s="558"/>
      <c r="BG16" s="558"/>
      <c r="BH16" s="558"/>
      <c r="BI16" s="558"/>
      <c r="BJ16" s="558"/>
      <c r="BK16" s="558"/>
      <c r="BL16" s="558"/>
      <c r="BM16" s="558"/>
      <c r="BN16" s="558"/>
      <c r="BO16" s="558"/>
      <c r="BP16" s="558"/>
      <c r="BQ16" s="558"/>
      <c r="BR16" s="123"/>
      <c r="BS16" s="123"/>
    </row>
    <row r="17" spans="1:71" s="124" customFormat="1" ht="9" customHeight="1" x14ac:dyDescent="0.25">
      <c r="A17" s="558"/>
      <c r="B17" s="558"/>
      <c r="C17" s="558"/>
      <c r="D17" s="558"/>
      <c r="E17" s="558"/>
      <c r="F17" s="558"/>
      <c r="G17" s="558"/>
      <c r="H17" s="558"/>
      <c r="I17" s="558"/>
      <c r="J17" s="558"/>
      <c r="K17" s="558"/>
      <c r="L17" s="558"/>
      <c r="M17" s="558"/>
      <c r="N17" s="558"/>
      <c r="O17" s="558"/>
      <c r="P17" s="558"/>
      <c r="Q17" s="558"/>
      <c r="R17" s="558"/>
      <c r="S17" s="558"/>
      <c r="T17" s="558"/>
      <c r="U17" s="558"/>
      <c r="V17" s="558"/>
      <c r="W17" s="558"/>
      <c r="X17" s="558"/>
      <c r="Y17" s="558"/>
      <c r="Z17" s="558"/>
      <c r="AA17" s="558"/>
      <c r="AB17" s="558"/>
      <c r="AC17" s="558"/>
      <c r="AD17" s="558"/>
      <c r="AE17" s="558"/>
      <c r="AF17" s="558"/>
      <c r="AG17" s="558"/>
      <c r="AH17" s="558"/>
      <c r="AI17" s="558"/>
      <c r="AJ17" s="558"/>
      <c r="AK17" s="558"/>
      <c r="AL17" s="558"/>
      <c r="AM17" s="558"/>
      <c r="AN17" s="558"/>
      <c r="AO17" s="558"/>
      <c r="AP17" s="558"/>
      <c r="AQ17" s="558"/>
      <c r="AR17" s="558"/>
      <c r="AS17" s="558"/>
      <c r="AT17" s="558"/>
      <c r="AU17" s="558"/>
      <c r="AV17" s="558"/>
      <c r="AW17" s="558"/>
      <c r="AX17" s="558"/>
      <c r="AY17" s="558"/>
      <c r="AZ17" s="558"/>
      <c r="BA17" s="558"/>
      <c r="BB17" s="558"/>
      <c r="BC17" s="558"/>
      <c r="BD17" s="558"/>
      <c r="BE17" s="558"/>
      <c r="BF17" s="558"/>
      <c r="BG17" s="558"/>
      <c r="BH17" s="558"/>
      <c r="BI17" s="558"/>
      <c r="BJ17" s="558"/>
      <c r="BK17" s="558"/>
      <c r="BL17" s="558"/>
      <c r="BM17" s="558"/>
      <c r="BN17" s="558"/>
      <c r="BO17" s="558"/>
      <c r="BP17" s="558"/>
      <c r="BQ17" s="558"/>
      <c r="BR17" s="123"/>
      <c r="BS17" s="123"/>
    </row>
    <row r="18" spans="1:71" s="124" customFormat="1" ht="9" customHeight="1" x14ac:dyDescent="0.25">
      <c r="A18" s="558"/>
      <c r="B18" s="558"/>
      <c r="C18" s="558"/>
      <c r="D18" s="558"/>
      <c r="E18" s="558"/>
      <c r="F18" s="558"/>
      <c r="G18" s="558"/>
      <c r="H18" s="558"/>
      <c r="I18" s="558"/>
      <c r="J18" s="558"/>
      <c r="K18" s="558"/>
      <c r="L18" s="558"/>
      <c r="M18" s="558"/>
      <c r="N18" s="558"/>
      <c r="O18" s="558"/>
      <c r="P18" s="558"/>
      <c r="Q18" s="558"/>
      <c r="R18" s="558"/>
      <c r="S18" s="558"/>
      <c r="T18" s="558"/>
      <c r="U18" s="558"/>
      <c r="V18" s="558"/>
      <c r="W18" s="558"/>
      <c r="X18" s="558"/>
      <c r="Y18" s="558"/>
      <c r="Z18" s="558"/>
      <c r="AA18" s="558"/>
      <c r="AB18" s="558"/>
      <c r="AC18" s="558"/>
      <c r="AD18" s="558"/>
      <c r="AE18" s="558"/>
      <c r="AF18" s="558"/>
      <c r="AG18" s="558"/>
      <c r="AH18" s="558"/>
      <c r="AI18" s="558"/>
      <c r="AJ18" s="558"/>
      <c r="AK18" s="558"/>
      <c r="AL18" s="558"/>
      <c r="AM18" s="558"/>
      <c r="AN18" s="558"/>
      <c r="AO18" s="558"/>
      <c r="AP18" s="558"/>
      <c r="AQ18" s="558"/>
      <c r="AR18" s="558"/>
      <c r="AS18" s="558"/>
      <c r="AT18" s="558"/>
      <c r="AU18" s="558"/>
      <c r="AV18" s="558"/>
      <c r="AW18" s="558"/>
      <c r="AX18" s="558"/>
      <c r="AY18" s="558"/>
      <c r="AZ18" s="558"/>
      <c r="BA18" s="558"/>
      <c r="BB18" s="558"/>
      <c r="BC18" s="558"/>
      <c r="BD18" s="558"/>
      <c r="BE18" s="558"/>
      <c r="BF18" s="558"/>
      <c r="BG18" s="558"/>
      <c r="BH18" s="558"/>
      <c r="BI18" s="558"/>
      <c r="BJ18" s="558"/>
      <c r="BK18" s="558"/>
      <c r="BL18" s="558"/>
      <c r="BM18" s="558"/>
      <c r="BN18" s="558"/>
      <c r="BO18" s="558"/>
      <c r="BP18" s="558"/>
      <c r="BQ18" s="558"/>
      <c r="BR18" s="123"/>
      <c r="BS18" s="123"/>
    </row>
    <row r="19" spans="1:71" s="124" customFormat="1" ht="9" customHeight="1" x14ac:dyDescent="0.25">
      <c r="A19" s="558"/>
      <c r="B19" s="558"/>
      <c r="C19" s="558"/>
      <c r="D19" s="558"/>
      <c r="E19" s="558"/>
      <c r="F19" s="558"/>
      <c r="G19" s="558"/>
      <c r="H19" s="558"/>
      <c r="I19" s="558"/>
      <c r="J19" s="558"/>
      <c r="K19" s="558"/>
      <c r="L19" s="558"/>
      <c r="M19" s="558"/>
      <c r="N19" s="558"/>
      <c r="O19" s="558"/>
      <c r="P19" s="558"/>
      <c r="Q19" s="558"/>
      <c r="R19" s="558"/>
      <c r="S19" s="558"/>
      <c r="T19" s="558"/>
      <c r="U19" s="558"/>
      <c r="V19" s="558"/>
      <c r="W19" s="558"/>
      <c r="X19" s="558"/>
      <c r="Y19" s="558"/>
      <c r="Z19" s="558"/>
      <c r="AA19" s="558"/>
      <c r="AB19" s="558"/>
      <c r="AC19" s="558"/>
      <c r="AD19" s="558"/>
      <c r="AE19" s="558"/>
      <c r="AF19" s="558"/>
      <c r="AG19" s="558"/>
      <c r="AH19" s="558"/>
      <c r="AI19" s="558"/>
      <c r="AJ19" s="558"/>
      <c r="AK19" s="558"/>
      <c r="AL19" s="558"/>
      <c r="AM19" s="558"/>
      <c r="AN19" s="558"/>
      <c r="AO19" s="558"/>
      <c r="AP19" s="558"/>
      <c r="AQ19" s="558"/>
      <c r="AR19" s="558"/>
      <c r="AS19" s="558"/>
      <c r="AT19" s="558"/>
      <c r="AU19" s="558"/>
      <c r="AV19" s="558"/>
      <c r="AW19" s="558"/>
      <c r="AX19" s="558"/>
      <c r="AY19" s="558"/>
      <c r="AZ19" s="558"/>
      <c r="BA19" s="558"/>
      <c r="BB19" s="558"/>
      <c r="BC19" s="558"/>
      <c r="BD19" s="558"/>
      <c r="BE19" s="558"/>
      <c r="BF19" s="558"/>
      <c r="BG19" s="558"/>
      <c r="BH19" s="558"/>
      <c r="BI19" s="558"/>
      <c r="BJ19" s="558"/>
      <c r="BK19" s="558"/>
      <c r="BL19" s="558"/>
      <c r="BM19" s="558"/>
      <c r="BN19" s="558"/>
      <c r="BO19" s="558"/>
      <c r="BP19" s="558"/>
      <c r="BQ19" s="558"/>
      <c r="BR19" s="123"/>
      <c r="BS19" s="123"/>
    </row>
    <row r="20" spans="1:71" s="124" customFormat="1" ht="1.5" customHeight="1" x14ac:dyDescent="0.25">
      <c r="A20" s="558"/>
      <c r="B20" s="558"/>
      <c r="C20" s="558"/>
      <c r="D20" s="558"/>
      <c r="E20" s="558"/>
      <c r="F20" s="558"/>
      <c r="G20" s="558"/>
      <c r="H20" s="558"/>
      <c r="I20" s="558"/>
      <c r="J20" s="558"/>
      <c r="K20" s="558"/>
      <c r="L20" s="558"/>
      <c r="M20" s="558"/>
      <c r="N20" s="558"/>
      <c r="O20" s="558"/>
      <c r="P20" s="558"/>
      <c r="Q20" s="558"/>
      <c r="R20" s="558"/>
      <c r="S20" s="558"/>
      <c r="T20" s="558"/>
      <c r="U20" s="558"/>
      <c r="V20" s="558"/>
      <c r="W20" s="558"/>
      <c r="X20" s="558"/>
      <c r="Y20" s="558"/>
      <c r="Z20" s="558"/>
      <c r="AA20" s="558"/>
      <c r="AB20" s="558"/>
      <c r="AC20" s="558"/>
      <c r="AD20" s="558"/>
      <c r="AE20" s="558"/>
      <c r="AF20" s="558"/>
      <c r="AG20" s="558"/>
      <c r="AH20" s="558"/>
      <c r="AI20" s="558"/>
      <c r="AJ20" s="558"/>
      <c r="AK20" s="558"/>
      <c r="AL20" s="558"/>
      <c r="AM20" s="558"/>
      <c r="AN20" s="558"/>
      <c r="AO20" s="558"/>
      <c r="AP20" s="558"/>
      <c r="AQ20" s="558"/>
      <c r="AR20" s="558"/>
      <c r="AS20" s="558"/>
      <c r="AT20" s="558"/>
      <c r="AU20" s="558"/>
      <c r="AV20" s="558"/>
      <c r="AW20" s="558"/>
      <c r="AX20" s="558"/>
      <c r="AY20" s="558"/>
      <c r="AZ20" s="558"/>
      <c r="BA20" s="558"/>
      <c r="BB20" s="558"/>
      <c r="BC20" s="558"/>
      <c r="BD20" s="558"/>
      <c r="BE20" s="558"/>
      <c r="BF20" s="558"/>
      <c r="BG20" s="558"/>
      <c r="BH20" s="558"/>
      <c r="BI20" s="558"/>
      <c r="BJ20" s="558"/>
      <c r="BK20" s="558"/>
      <c r="BL20" s="558"/>
      <c r="BM20" s="558"/>
      <c r="BN20" s="558"/>
      <c r="BO20" s="558"/>
      <c r="BP20" s="558"/>
      <c r="BQ20" s="558"/>
      <c r="BR20" s="123"/>
      <c r="BS20" s="123"/>
    </row>
    <row r="21" spans="1:71" s="124" customFormat="1" ht="9" customHeight="1" x14ac:dyDescent="0.25">
      <c r="A21" s="558"/>
      <c r="B21" s="558"/>
      <c r="C21" s="558"/>
      <c r="D21" s="558"/>
      <c r="E21" s="558"/>
      <c r="F21" s="558"/>
      <c r="G21" s="558"/>
      <c r="H21" s="558"/>
      <c r="I21" s="558"/>
      <c r="J21" s="558"/>
      <c r="K21" s="558"/>
      <c r="L21" s="558"/>
      <c r="M21" s="558"/>
      <c r="N21" s="558"/>
      <c r="O21" s="558"/>
      <c r="P21" s="558"/>
      <c r="Q21" s="558"/>
      <c r="R21" s="558"/>
      <c r="S21" s="558"/>
      <c r="T21" s="558"/>
      <c r="U21" s="558"/>
      <c r="V21" s="558"/>
      <c r="W21" s="558"/>
      <c r="X21" s="558"/>
      <c r="Y21" s="558"/>
      <c r="Z21" s="558"/>
      <c r="AA21" s="558"/>
      <c r="AB21" s="558"/>
      <c r="AC21" s="558"/>
      <c r="AD21" s="558"/>
      <c r="AE21" s="558"/>
      <c r="AF21" s="558"/>
      <c r="AG21" s="558"/>
      <c r="AH21" s="558"/>
      <c r="AI21" s="558"/>
      <c r="AJ21" s="558"/>
      <c r="AK21" s="558"/>
      <c r="AL21" s="558"/>
      <c r="AM21" s="558"/>
      <c r="AN21" s="558"/>
      <c r="AO21" s="558"/>
      <c r="AP21" s="558"/>
      <c r="AQ21" s="558"/>
      <c r="AR21" s="558"/>
      <c r="AS21" s="558"/>
      <c r="AT21" s="558"/>
      <c r="AU21" s="558"/>
      <c r="AV21" s="558"/>
      <c r="AW21" s="558"/>
      <c r="AX21" s="558"/>
      <c r="AY21" s="558"/>
      <c r="AZ21" s="558"/>
      <c r="BA21" s="558"/>
      <c r="BB21" s="558"/>
      <c r="BC21" s="558"/>
      <c r="BD21" s="558"/>
      <c r="BE21" s="558"/>
      <c r="BF21" s="558"/>
      <c r="BG21" s="558"/>
      <c r="BH21" s="558"/>
      <c r="BI21" s="558"/>
      <c r="BJ21" s="558"/>
      <c r="BK21" s="558"/>
      <c r="BL21" s="558"/>
      <c r="BM21" s="558"/>
      <c r="BN21" s="558"/>
      <c r="BO21" s="558"/>
      <c r="BP21" s="558"/>
      <c r="BQ21" s="558"/>
      <c r="BR21" s="123"/>
      <c r="BS21" s="123"/>
    </row>
    <row r="22" spans="1:71" s="125" customFormat="1" ht="9" customHeight="1" x14ac:dyDescent="0.25">
      <c r="A22" s="558"/>
      <c r="B22" s="558"/>
      <c r="C22" s="558"/>
      <c r="D22" s="558"/>
      <c r="E22" s="558"/>
      <c r="F22" s="558"/>
      <c r="G22" s="558"/>
      <c r="H22" s="558"/>
      <c r="I22" s="558"/>
      <c r="J22" s="558"/>
      <c r="K22" s="558"/>
      <c r="L22" s="558"/>
      <c r="M22" s="558"/>
      <c r="N22" s="558"/>
      <c r="O22" s="558"/>
      <c r="P22" s="558"/>
      <c r="Q22" s="558"/>
      <c r="R22" s="558"/>
      <c r="S22" s="558"/>
      <c r="T22" s="558"/>
      <c r="U22" s="558"/>
      <c r="V22" s="558"/>
      <c r="W22" s="558"/>
      <c r="X22" s="558"/>
      <c r="Y22" s="558"/>
      <c r="Z22" s="558"/>
      <c r="AA22" s="558"/>
      <c r="AB22" s="558"/>
      <c r="AC22" s="558"/>
      <c r="AD22" s="558"/>
      <c r="AE22" s="558"/>
      <c r="AF22" s="558"/>
      <c r="AG22" s="558"/>
      <c r="AH22" s="558"/>
      <c r="AI22" s="558"/>
      <c r="AJ22" s="558"/>
      <c r="AK22" s="558"/>
      <c r="AL22" s="558"/>
      <c r="AM22" s="558"/>
      <c r="AN22" s="558"/>
      <c r="AO22" s="558"/>
      <c r="AP22" s="558"/>
      <c r="AQ22" s="558"/>
      <c r="AR22" s="558"/>
      <c r="AS22" s="558"/>
      <c r="AT22" s="558"/>
      <c r="AU22" s="558"/>
      <c r="AV22" s="558"/>
      <c r="AW22" s="558"/>
      <c r="AX22" s="558"/>
      <c r="AY22" s="558"/>
      <c r="AZ22" s="558"/>
      <c r="BA22" s="558"/>
      <c r="BB22" s="558"/>
      <c r="BC22" s="558"/>
      <c r="BD22" s="558"/>
      <c r="BE22" s="558"/>
      <c r="BF22" s="558"/>
      <c r="BG22" s="558"/>
      <c r="BH22" s="558"/>
      <c r="BI22" s="558"/>
      <c r="BJ22" s="558"/>
      <c r="BK22" s="558"/>
      <c r="BL22" s="558"/>
      <c r="BM22" s="558"/>
      <c r="BN22" s="558"/>
      <c r="BO22" s="558"/>
      <c r="BP22" s="558"/>
      <c r="BQ22" s="558"/>
      <c r="BR22" s="126"/>
      <c r="BS22" s="126"/>
    </row>
    <row r="23" spans="1:71" s="124" customFormat="1" ht="9" customHeight="1" x14ac:dyDescent="0.25">
      <c r="A23" s="558"/>
      <c r="B23" s="558"/>
      <c r="C23" s="558"/>
      <c r="D23" s="558"/>
      <c r="E23" s="558"/>
      <c r="F23" s="558"/>
      <c r="G23" s="558"/>
      <c r="H23" s="558"/>
      <c r="I23" s="558"/>
      <c r="J23" s="558"/>
      <c r="K23" s="558"/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8"/>
      <c r="Y23" s="558"/>
      <c r="Z23" s="558"/>
      <c r="AA23" s="558"/>
      <c r="AB23" s="558"/>
      <c r="AC23" s="558"/>
      <c r="AD23" s="558"/>
      <c r="AE23" s="558"/>
      <c r="AF23" s="558"/>
      <c r="AG23" s="558"/>
      <c r="AH23" s="558"/>
      <c r="AI23" s="558"/>
      <c r="AJ23" s="558"/>
      <c r="AK23" s="558"/>
      <c r="AL23" s="558"/>
      <c r="AM23" s="558"/>
      <c r="AN23" s="558"/>
      <c r="AO23" s="558"/>
      <c r="AP23" s="558"/>
      <c r="AQ23" s="558"/>
      <c r="AR23" s="558"/>
      <c r="AS23" s="558"/>
      <c r="AT23" s="558"/>
      <c r="AU23" s="558"/>
      <c r="AV23" s="558"/>
      <c r="AW23" s="558"/>
      <c r="AX23" s="558"/>
      <c r="AY23" s="558"/>
      <c r="AZ23" s="558"/>
      <c r="BA23" s="558"/>
      <c r="BB23" s="558"/>
      <c r="BC23" s="558"/>
      <c r="BD23" s="558"/>
      <c r="BE23" s="558"/>
      <c r="BF23" s="558"/>
      <c r="BG23" s="558"/>
      <c r="BH23" s="558"/>
      <c r="BI23" s="558"/>
      <c r="BJ23" s="558"/>
      <c r="BK23" s="558"/>
      <c r="BL23" s="558"/>
      <c r="BM23" s="558"/>
      <c r="BN23" s="558"/>
      <c r="BO23" s="558"/>
      <c r="BP23" s="558"/>
      <c r="BQ23" s="558"/>
      <c r="BR23" s="123"/>
      <c r="BS23" s="123"/>
    </row>
    <row r="24" spans="1:71" s="124" customFormat="1" ht="9" customHeight="1" x14ac:dyDescent="0.25">
      <c r="A24" s="558"/>
      <c r="B24" s="558"/>
      <c r="C24" s="558"/>
      <c r="D24" s="558"/>
      <c r="E24" s="558"/>
      <c r="F24" s="558"/>
      <c r="G24" s="558"/>
      <c r="H24" s="558"/>
      <c r="I24" s="558"/>
      <c r="J24" s="558"/>
      <c r="K24" s="558"/>
      <c r="L24" s="558"/>
      <c r="M24" s="558"/>
      <c r="N24" s="558"/>
      <c r="O24" s="558"/>
      <c r="P24" s="558"/>
      <c r="Q24" s="558"/>
      <c r="R24" s="558"/>
      <c r="S24" s="558"/>
      <c r="T24" s="558"/>
      <c r="U24" s="558"/>
      <c r="V24" s="558"/>
      <c r="W24" s="558"/>
      <c r="X24" s="558"/>
      <c r="Y24" s="558"/>
      <c r="Z24" s="558"/>
      <c r="AA24" s="558"/>
      <c r="AB24" s="558"/>
      <c r="AC24" s="558"/>
      <c r="AD24" s="558"/>
      <c r="AE24" s="558"/>
      <c r="AF24" s="558"/>
      <c r="AG24" s="558"/>
      <c r="AH24" s="558"/>
      <c r="AI24" s="558"/>
      <c r="AJ24" s="558"/>
      <c r="AK24" s="558"/>
      <c r="AL24" s="558"/>
      <c r="AM24" s="558"/>
      <c r="AN24" s="558"/>
      <c r="AO24" s="558"/>
      <c r="AP24" s="558"/>
      <c r="AQ24" s="558"/>
      <c r="AR24" s="558"/>
      <c r="AS24" s="558"/>
      <c r="AT24" s="558"/>
      <c r="AU24" s="558"/>
      <c r="AV24" s="558"/>
      <c r="AW24" s="558"/>
      <c r="AX24" s="558"/>
      <c r="AY24" s="558"/>
      <c r="AZ24" s="558"/>
      <c r="BA24" s="558"/>
      <c r="BB24" s="558"/>
      <c r="BC24" s="558"/>
      <c r="BD24" s="558"/>
      <c r="BE24" s="558"/>
      <c r="BF24" s="558"/>
      <c r="BG24" s="558"/>
      <c r="BH24" s="558"/>
      <c r="BI24" s="558"/>
      <c r="BJ24" s="558"/>
      <c r="BK24" s="558"/>
      <c r="BL24" s="558"/>
      <c r="BM24" s="558"/>
      <c r="BN24" s="558"/>
      <c r="BO24" s="558"/>
      <c r="BP24" s="558"/>
      <c r="BQ24" s="558"/>
      <c r="BR24" s="123"/>
      <c r="BS24" s="123"/>
    </row>
    <row r="25" spans="1:71" s="124" customFormat="1" ht="9.75" customHeight="1" x14ac:dyDescent="0.25">
      <c r="A25" s="558"/>
      <c r="B25" s="558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  <c r="T25" s="558"/>
      <c r="U25" s="558"/>
      <c r="V25" s="558"/>
      <c r="W25" s="558"/>
      <c r="X25" s="558"/>
      <c r="Y25" s="558"/>
      <c r="Z25" s="558"/>
      <c r="AA25" s="558"/>
      <c r="AB25" s="558"/>
      <c r="AC25" s="558"/>
      <c r="AD25" s="558"/>
      <c r="AE25" s="558"/>
      <c r="AF25" s="558"/>
      <c r="AG25" s="558"/>
      <c r="AH25" s="558"/>
      <c r="AI25" s="558"/>
      <c r="AJ25" s="558"/>
      <c r="AK25" s="558"/>
      <c r="AL25" s="558"/>
      <c r="AM25" s="558"/>
      <c r="AN25" s="558"/>
      <c r="AO25" s="558"/>
      <c r="AP25" s="558"/>
      <c r="AQ25" s="558"/>
      <c r="AR25" s="558"/>
      <c r="AS25" s="558"/>
      <c r="AT25" s="558"/>
      <c r="AU25" s="558"/>
      <c r="AV25" s="558"/>
      <c r="AW25" s="558"/>
      <c r="AX25" s="558"/>
      <c r="AY25" s="558"/>
      <c r="AZ25" s="558"/>
      <c r="BA25" s="558"/>
      <c r="BB25" s="558"/>
      <c r="BC25" s="558"/>
      <c r="BD25" s="558"/>
      <c r="BE25" s="558"/>
      <c r="BF25" s="558"/>
      <c r="BG25" s="558"/>
      <c r="BH25" s="558"/>
      <c r="BI25" s="558"/>
      <c r="BJ25" s="558"/>
      <c r="BK25" s="558"/>
      <c r="BL25" s="558"/>
      <c r="BM25" s="558"/>
      <c r="BN25" s="558"/>
      <c r="BO25" s="558"/>
      <c r="BP25" s="558"/>
      <c r="BQ25" s="558"/>
      <c r="BR25" s="123"/>
      <c r="BS25" s="123"/>
    </row>
    <row r="26" spans="1:71" s="128" customFormat="1" ht="9" customHeight="1" x14ac:dyDescent="0.25">
      <c r="A26" s="558"/>
      <c r="B26" s="558"/>
      <c r="C26" s="558"/>
      <c r="D26" s="558"/>
      <c r="E26" s="558"/>
      <c r="F26" s="558"/>
      <c r="G26" s="558"/>
      <c r="H26" s="558"/>
      <c r="I26" s="558"/>
      <c r="J26" s="558"/>
      <c r="K26" s="558"/>
      <c r="L26" s="558"/>
      <c r="M26" s="558"/>
      <c r="N26" s="558"/>
      <c r="O26" s="558"/>
      <c r="P26" s="558"/>
      <c r="Q26" s="558"/>
      <c r="R26" s="558"/>
      <c r="S26" s="558"/>
      <c r="T26" s="558"/>
      <c r="U26" s="558"/>
      <c r="V26" s="558"/>
      <c r="W26" s="558"/>
      <c r="X26" s="558"/>
      <c r="Y26" s="558"/>
      <c r="Z26" s="558"/>
      <c r="AA26" s="558"/>
      <c r="AB26" s="558"/>
      <c r="AC26" s="558"/>
      <c r="AD26" s="558"/>
      <c r="AE26" s="558"/>
      <c r="AF26" s="558"/>
      <c r="AG26" s="558"/>
      <c r="AH26" s="558"/>
      <c r="AI26" s="558"/>
      <c r="AJ26" s="558"/>
      <c r="AK26" s="558"/>
      <c r="AL26" s="558"/>
      <c r="AM26" s="558"/>
      <c r="AN26" s="558"/>
      <c r="AO26" s="558"/>
      <c r="AP26" s="558"/>
      <c r="AQ26" s="558"/>
      <c r="AR26" s="558"/>
      <c r="AS26" s="558"/>
      <c r="AT26" s="558"/>
      <c r="AU26" s="558"/>
      <c r="AV26" s="558"/>
      <c r="AW26" s="558"/>
      <c r="AX26" s="558"/>
      <c r="AY26" s="558"/>
      <c r="AZ26" s="558"/>
      <c r="BA26" s="558"/>
      <c r="BB26" s="558"/>
      <c r="BC26" s="558"/>
      <c r="BD26" s="558"/>
      <c r="BE26" s="558"/>
      <c r="BF26" s="558"/>
      <c r="BG26" s="558"/>
      <c r="BH26" s="558"/>
      <c r="BI26" s="558"/>
      <c r="BJ26" s="558"/>
      <c r="BK26" s="558"/>
      <c r="BL26" s="558"/>
      <c r="BM26" s="558"/>
      <c r="BN26" s="558"/>
      <c r="BO26" s="558"/>
      <c r="BP26" s="558"/>
      <c r="BQ26" s="558"/>
      <c r="BR26" s="127"/>
      <c r="BS26" s="127"/>
    </row>
    <row r="27" spans="1:71" s="128" customFormat="1" ht="9" customHeight="1" x14ac:dyDescent="0.25">
      <c r="A27" s="558"/>
      <c r="B27" s="558"/>
      <c r="C27" s="558"/>
      <c r="D27" s="558"/>
      <c r="E27" s="558"/>
      <c r="F27" s="558"/>
      <c r="G27" s="558"/>
      <c r="H27" s="558"/>
      <c r="I27" s="558"/>
      <c r="J27" s="558"/>
      <c r="K27" s="558"/>
      <c r="L27" s="558"/>
      <c r="M27" s="558"/>
      <c r="N27" s="558"/>
      <c r="O27" s="558"/>
      <c r="P27" s="558"/>
      <c r="Q27" s="558"/>
      <c r="R27" s="558"/>
      <c r="S27" s="558"/>
      <c r="T27" s="558"/>
      <c r="U27" s="558"/>
      <c r="V27" s="558"/>
      <c r="W27" s="558"/>
      <c r="X27" s="558"/>
      <c r="Y27" s="558"/>
      <c r="Z27" s="558"/>
      <c r="AA27" s="558"/>
      <c r="AB27" s="558"/>
      <c r="AC27" s="558"/>
      <c r="AD27" s="558"/>
      <c r="AE27" s="558"/>
      <c r="AF27" s="558"/>
      <c r="AG27" s="558"/>
      <c r="AH27" s="558"/>
      <c r="AI27" s="558"/>
      <c r="AJ27" s="558"/>
      <c r="AK27" s="558"/>
      <c r="AL27" s="558"/>
      <c r="AM27" s="558"/>
      <c r="AN27" s="558"/>
      <c r="AO27" s="558"/>
      <c r="AP27" s="558"/>
      <c r="AQ27" s="558"/>
      <c r="AR27" s="558"/>
      <c r="AS27" s="558"/>
      <c r="AT27" s="558"/>
      <c r="AU27" s="558"/>
      <c r="AV27" s="558"/>
      <c r="AW27" s="558"/>
      <c r="AX27" s="558"/>
      <c r="AY27" s="558"/>
      <c r="AZ27" s="558"/>
      <c r="BA27" s="558"/>
      <c r="BB27" s="558"/>
      <c r="BC27" s="558"/>
      <c r="BD27" s="558"/>
      <c r="BE27" s="558"/>
      <c r="BF27" s="558"/>
      <c r="BG27" s="558"/>
      <c r="BH27" s="558"/>
      <c r="BI27" s="558"/>
      <c r="BJ27" s="558"/>
      <c r="BK27" s="558"/>
      <c r="BL27" s="558"/>
      <c r="BM27" s="558"/>
      <c r="BN27" s="558"/>
      <c r="BO27" s="558"/>
      <c r="BP27" s="558"/>
      <c r="BQ27" s="558"/>
      <c r="BR27" s="127"/>
      <c r="BS27" s="127"/>
    </row>
    <row r="28" spans="1:71" s="128" customFormat="1" ht="9" customHeight="1" x14ac:dyDescent="0.25">
      <c r="A28" s="558"/>
      <c r="B28" s="558"/>
      <c r="C28" s="558"/>
      <c r="D28" s="558"/>
      <c r="E28" s="558"/>
      <c r="F28" s="558"/>
      <c r="G28" s="558"/>
      <c r="H28" s="558"/>
      <c r="I28" s="558"/>
      <c r="J28" s="558"/>
      <c r="K28" s="558"/>
      <c r="L28" s="558"/>
      <c r="M28" s="558"/>
      <c r="N28" s="558"/>
      <c r="O28" s="558"/>
      <c r="P28" s="558"/>
      <c r="Q28" s="558"/>
      <c r="R28" s="558"/>
      <c r="S28" s="558"/>
      <c r="T28" s="558"/>
      <c r="U28" s="558"/>
      <c r="V28" s="558"/>
      <c r="W28" s="558"/>
      <c r="X28" s="558"/>
      <c r="Y28" s="558"/>
      <c r="Z28" s="558"/>
      <c r="AA28" s="558"/>
      <c r="AB28" s="558"/>
      <c r="AC28" s="558"/>
      <c r="AD28" s="558"/>
      <c r="AE28" s="558"/>
      <c r="AF28" s="558"/>
      <c r="AG28" s="558"/>
      <c r="AH28" s="558"/>
      <c r="AI28" s="558"/>
      <c r="AJ28" s="558"/>
      <c r="AK28" s="558"/>
      <c r="AL28" s="558"/>
      <c r="AM28" s="558"/>
      <c r="AN28" s="558"/>
      <c r="AO28" s="558"/>
      <c r="AP28" s="558"/>
      <c r="AQ28" s="558"/>
      <c r="AR28" s="558"/>
      <c r="AS28" s="558"/>
      <c r="AT28" s="558"/>
      <c r="AU28" s="558"/>
      <c r="AV28" s="558"/>
      <c r="AW28" s="558"/>
      <c r="AX28" s="558"/>
      <c r="AY28" s="558"/>
      <c r="AZ28" s="558"/>
      <c r="BA28" s="558"/>
      <c r="BB28" s="558"/>
      <c r="BC28" s="558"/>
      <c r="BD28" s="558"/>
      <c r="BE28" s="558"/>
      <c r="BF28" s="558"/>
      <c r="BG28" s="558"/>
      <c r="BH28" s="558"/>
      <c r="BI28" s="558"/>
      <c r="BJ28" s="558"/>
      <c r="BK28" s="558"/>
      <c r="BL28" s="558"/>
      <c r="BM28" s="558"/>
      <c r="BN28" s="558"/>
      <c r="BO28" s="558"/>
      <c r="BP28" s="558"/>
      <c r="BQ28" s="558"/>
      <c r="BR28" s="127"/>
      <c r="BS28" s="127"/>
    </row>
    <row r="29" spans="1:71" s="128" customFormat="1" ht="9" customHeight="1" x14ac:dyDescent="0.25">
      <c r="A29" s="558"/>
      <c r="B29" s="558"/>
      <c r="C29" s="558"/>
      <c r="D29" s="558"/>
      <c r="E29" s="558"/>
      <c r="F29" s="558"/>
      <c r="G29" s="558"/>
      <c r="H29" s="558"/>
      <c r="I29" s="558"/>
      <c r="J29" s="558"/>
      <c r="K29" s="558"/>
      <c r="L29" s="558"/>
      <c r="M29" s="558"/>
      <c r="N29" s="558"/>
      <c r="O29" s="558"/>
      <c r="P29" s="558"/>
      <c r="Q29" s="558"/>
      <c r="R29" s="558"/>
      <c r="S29" s="558"/>
      <c r="T29" s="558"/>
      <c r="U29" s="558"/>
      <c r="V29" s="558"/>
      <c r="W29" s="558"/>
      <c r="X29" s="558"/>
      <c r="Y29" s="558"/>
      <c r="Z29" s="558"/>
      <c r="AA29" s="558"/>
      <c r="AB29" s="558"/>
      <c r="AC29" s="558"/>
      <c r="AD29" s="558"/>
      <c r="AE29" s="558"/>
      <c r="AF29" s="558"/>
      <c r="AG29" s="558"/>
      <c r="AH29" s="558"/>
      <c r="AI29" s="558"/>
      <c r="AJ29" s="558"/>
      <c r="AK29" s="558"/>
      <c r="AL29" s="558"/>
      <c r="AM29" s="558"/>
      <c r="AN29" s="558"/>
      <c r="AO29" s="558"/>
      <c r="AP29" s="558"/>
      <c r="AQ29" s="558"/>
      <c r="AR29" s="558"/>
      <c r="AS29" s="558"/>
      <c r="AT29" s="558"/>
      <c r="AU29" s="558"/>
      <c r="AV29" s="558"/>
      <c r="AW29" s="558"/>
      <c r="AX29" s="558"/>
      <c r="AY29" s="558"/>
      <c r="AZ29" s="558"/>
      <c r="BA29" s="558"/>
      <c r="BB29" s="558"/>
      <c r="BC29" s="558"/>
      <c r="BD29" s="558"/>
      <c r="BE29" s="558"/>
      <c r="BF29" s="558"/>
      <c r="BG29" s="558"/>
      <c r="BH29" s="558"/>
      <c r="BI29" s="558"/>
      <c r="BJ29" s="558"/>
      <c r="BK29" s="558"/>
      <c r="BL29" s="558"/>
      <c r="BM29" s="558"/>
      <c r="BN29" s="558"/>
      <c r="BO29" s="558"/>
      <c r="BP29" s="558"/>
      <c r="BQ29" s="558"/>
      <c r="BR29" s="127"/>
      <c r="BS29" s="127"/>
    </row>
    <row r="30" spans="1:71" s="128" customFormat="1" ht="9" customHeight="1" x14ac:dyDescent="0.25">
      <c r="A30" s="558"/>
      <c r="B30" s="558"/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  <c r="S30" s="558"/>
      <c r="T30" s="558"/>
      <c r="U30" s="558"/>
      <c r="V30" s="558"/>
      <c r="W30" s="558"/>
      <c r="X30" s="558"/>
      <c r="Y30" s="558"/>
      <c r="Z30" s="558"/>
      <c r="AA30" s="558"/>
      <c r="AB30" s="558"/>
      <c r="AC30" s="558"/>
      <c r="AD30" s="558"/>
      <c r="AE30" s="558"/>
      <c r="AF30" s="558"/>
      <c r="AG30" s="558"/>
      <c r="AH30" s="558"/>
      <c r="AI30" s="558"/>
      <c r="AJ30" s="558"/>
      <c r="AK30" s="558"/>
      <c r="AL30" s="558"/>
      <c r="AM30" s="558"/>
      <c r="AN30" s="558"/>
      <c r="AO30" s="558"/>
      <c r="AP30" s="558"/>
      <c r="AQ30" s="558"/>
      <c r="AR30" s="558"/>
      <c r="AS30" s="558"/>
      <c r="AT30" s="558"/>
      <c r="AU30" s="558"/>
      <c r="AV30" s="558"/>
      <c r="AW30" s="558"/>
      <c r="AX30" s="558"/>
      <c r="AY30" s="558"/>
      <c r="AZ30" s="558"/>
      <c r="BA30" s="558"/>
      <c r="BB30" s="558"/>
      <c r="BC30" s="558"/>
      <c r="BD30" s="558"/>
      <c r="BE30" s="558"/>
      <c r="BF30" s="558"/>
      <c r="BG30" s="558"/>
      <c r="BH30" s="558"/>
      <c r="BI30" s="558"/>
      <c r="BJ30" s="558"/>
      <c r="BK30" s="558"/>
      <c r="BL30" s="558"/>
      <c r="BM30" s="558"/>
      <c r="BN30" s="558"/>
      <c r="BO30" s="558"/>
      <c r="BP30" s="558"/>
      <c r="BQ30" s="558"/>
      <c r="BR30" s="127"/>
      <c r="BS30" s="127"/>
    </row>
    <row r="31" spans="1:71" s="128" customFormat="1" ht="9" customHeight="1" x14ac:dyDescent="0.25">
      <c r="A31" s="558"/>
      <c r="B31" s="558"/>
      <c r="C31" s="558"/>
      <c r="D31" s="558"/>
      <c r="E31" s="558"/>
      <c r="F31" s="558"/>
      <c r="G31" s="558"/>
      <c r="H31" s="558"/>
      <c r="I31" s="558"/>
      <c r="J31" s="558"/>
      <c r="K31" s="558"/>
      <c r="L31" s="558"/>
      <c r="M31" s="558"/>
      <c r="N31" s="558"/>
      <c r="O31" s="558"/>
      <c r="P31" s="558"/>
      <c r="Q31" s="558"/>
      <c r="R31" s="558"/>
      <c r="S31" s="558"/>
      <c r="T31" s="558"/>
      <c r="U31" s="558"/>
      <c r="V31" s="558"/>
      <c r="W31" s="558"/>
      <c r="X31" s="558"/>
      <c r="Y31" s="558"/>
      <c r="Z31" s="558"/>
      <c r="AA31" s="558"/>
      <c r="AB31" s="558"/>
      <c r="AC31" s="558"/>
      <c r="AD31" s="558"/>
      <c r="AE31" s="558"/>
      <c r="AF31" s="558"/>
      <c r="AG31" s="558"/>
      <c r="AH31" s="558"/>
      <c r="AI31" s="558"/>
      <c r="AJ31" s="558"/>
      <c r="AK31" s="558"/>
      <c r="AL31" s="558"/>
      <c r="AM31" s="558"/>
      <c r="AN31" s="558"/>
      <c r="AO31" s="558"/>
      <c r="AP31" s="558"/>
      <c r="AQ31" s="558"/>
      <c r="AR31" s="558"/>
      <c r="AS31" s="558"/>
      <c r="AT31" s="558"/>
      <c r="AU31" s="558"/>
      <c r="AV31" s="558"/>
      <c r="AW31" s="558"/>
      <c r="AX31" s="558"/>
      <c r="AY31" s="558"/>
      <c r="AZ31" s="558"/>
      <c r="BA31" s="558"/>
      <c r="BB31" s="558"/>
      <c r="BC31" s="558"/>
      <c r="BD31" s="558"/>
      <c r="BE31" s="558"/>
      <c r="BF31" s="558"/>
      <c r="BG31" s="558"/>
      <c r="BH31" s="558"/>
      <c r="BI31" s="558"/>
      <c r="BJ31" s="558"/>
      <c r="BK31" s="558"/>
      <c r="BL31" s="558"/>
      <c r="BM31" s="558"/>
      <c r="BN31" s="558"/>
      <c r="BO31" s="558"/>
      <c r="BP31" s="558"/>
      <c r="BQ31" s="558"/>
      <c r="BR31" s="127"/>
      <c r="BS31" s="127"/>
    </row>
    <row r="32" spans="1:71" s="128" customFormat="1" ht="9" customHeight="1" x14ac:dyDescent="0.25">
      <c r="A32" s="558"/>
      <c r="B32" s="558"/>
      <c r="C32" s="558"/>
      <c r="D32" s="558"/>
      <c r="E32" s="558"/>
      <c r="F32" s="558"/>
      <c r="G32" s="558"/>
      <c r="H32" s="558"/>
      <c r="I32" s="558"/>
      <c r="J32" s="558"/>
      <c r="K32" s="558"/>
      <c r="L32" s="558"/>
      <c r="M32" s="558"/>
      <c r="N32" s="558"/>
      <c r="O32" s="558"/>
      <c r="P32" s="558"/>
      <c r="Q32" s="558"/>
      <c r="R32" s="558"/>
      <c r="S32" s="558"/>
      <c r="T32" s="558"/>
      <c r="U32" s="558"/>
      <c r="V32" s="558"/>
      <c r="W32" s="558"/>
      <c r="X32" s="558"/>
      <c r="Y32" s="558"/>
      <c r="Z32" s="558"/>
      <c r="AA32" s="558"/>
      <c r="AB32" s="558"/>
      <c r="AC32" s="558"/>
      <c r="AD32" s="558"/>
      <c r="AE32" s="558"/>
      <c r="AF32" s="558"/>
      <c r="AG32" s="558"/>
      <c r="AH32" s="558"/>
      <c r="AI32" s="558"/>
      <c r="AJ32" s="558"/>
      <c r="AK32" s="558"/>
      <c r="AL32" s="558"/>
      <c r="AM32" s="558"/>
      <c r="AN32" s="558"/>
      <c r="AO32" s="558"/>
      <c r="AP32" s="558"/>
      <c r="AQ32" s="558"/>
      <c r="AR32" s="558"/>
      <c r="AS32" s="558"/>
      <c r="AT32" s="558"/>
      <c r="AU32" s="558"/>
      <c r="AV32" s="558"/>
      <c r="AW32" s="558"/>
      <c r="AX32" s="558"/>
      <c r="AY32" s="558"/>
      <c r="AZ32" s="558"/>
      <c r="BA32" s="558"/>
      <c r="BB32" s="558"/>
      <c r="BC32" s="558"/>
      <c r="BD32" s="558"/>
      <c r="BE32" s="558"/>
      <c r="BF32" s="558"/>
      <c r="BG32" s="558"/>
      <c r="BH32" s="558"/>
      <c r="BI32" s="558"/>
      <c r="BJ32" s="558"/>
      <c r="BK32" s="558"/>
      <c r="BL32" s="558"/>
      <c r="BM32" s="558"/>
      <c r="BN32" s="558"/>
      <c r="BO32" s="558"/>
      <c r="BP32" s="558"/>
      <c r="BQ32" s="558"/>
      <c r="BR32" s="127"/>
      <c r="BS32" s="127"/>
    </row>
    <row r="33" spans="1:71" s="128" customFormat="1" ht="9" customHeight="1" x14ac:dyDescent="0.25">
      <c r="A33" s="558"/>
      <c r="B33" s="558"/>
      <c r="C33" s="558"/>
      <c r="D33" s="558"/>
      <c r="E33" s="558"/>
      <c r="F33" s="558"/>
      <c r="G33" s="558"/>
      <c r="H33" s="558"/>
      <c r="I33" s="558"/>
      <c r="J33" s="558"/>
      <c r="K33" s="558"/>
      <c r="L33" s="558"/>
      <c r="M33" s="558"/>
      <c r="N33" s="558"/>
      <c r="O33" s="558"/>
      <c r="P33" s="558"/>
      <c r="Q33" s="558"/>
      <c r="R33" s="558"/>
      <c r="S33" s="558"/>
      <c r="T33" s="558"/>
      <c r="U33" s="558"/>
      <c r="V33" s="558"/>
      <c r="W33" s="558"/>
      <c r="X33" s="558"/>
      <c r="Y33" s="558"/>
      <c r="Z33" s="558"/>
      <c r="AA33" s="558"/>
      <c r="AB33" s="558"/>
      <c r="AC33" s="558"/>
      <c r="AD33" s="558"/>
      <c r="AE33" s="558"/>
      <c r="AF33" s="558"/>
      <c r="AG33" s="558"/>
      <c r="AH33" s="558"/>
      <c r="AI33" s="558"/>
      <c r="AJ33" s="558"/>
      <c r="AK33" s="558"/>
      <c r="AL33" s="558"/>
      <c r="AM33" s="558"/>
      <c r="AN33" s="558"/>
      <c r="AO33" s="558"/>
      <c r="AP33" s="558"/>
      <c r="AQ33" s="558"/>
      <c r="AR33" s="558"/>
      <c r="AS33" s="558"/>
      <c r="AT33" s="558"/>
      <c r="AU33" s="558"/>
      <c r="AV33" s="558"/>
      <c r="AW33" s="558"/>
      <c r="AX33" s="558"/>
      <c r="AY33" s="558"/>
      <c r="AZ33" s="558"/>
      <c r="BA33" s="558"/>
      <c r="BB33" s="558"/>
      <c r="BC33" s="558"/>
      <c r="BD33" s="558"/>
      <c r="BE33" s="558"/>
      <c r="BF33" s="558"/>
      <c r="BG33" s="558"/>
      <c r="BH33" s="558"/>
      <c r="BI33" s="558"/>
      <c r="BJ33" s="558"/>
      <c r="BK33" s="558"/>
      <c r="BL33" s="558"/>
      <c r="BM33" s="558"/>
      <c r="BN33" s="558"/>
      <c r="BO33" s="558"/>
      <c r="BP33" s="558"/>
      <c r="BQ33" s="558"/>
      <c r="BR33" s="127"/>
      <c r="BS33" s="127"/>
    </row>
    <row r="34" spans="1:71" s="124" customFormat="1" ht="1.5" customHeight="1" x14ac:dyDescent="0.25">
      <c r="A34" s="558"/>
      <c r="B34" s="558"/>
      <c r="C34" s="558"/>
      <c r="D34" s="558"/>
      <c r="E34" s="558"/>
      <c r="F34" s="558"/>
      <c r="G34" s="558"/>
      <c r="H34" s="558"/>
      <c r="I34" s="558"/>
      <c r="J34" s="558"/>
      <c r="K34" s="558"/>
      <c r="L34" s="558"/>
      <c r="M34" s="558"/>
      <c r="N34" s="558"/>
      <c r="O34" s="558"/>
      <c r="P34" s="558"/>
      <c r="Q34" s="558"/>
      <c r="R34" s="558"/>
      <c r="S34" s="558"/>
      <c r="T34" s="558"/>
      <c r="U34" s="558"/>
      <c r="V34" s="558"/>
      <c r="W34" s="558"/>
      <c r="X34" s="558"/>
      <c r="Y34" s="558"/>
      <c r="Z34" s="558"/>
      <c r="AA34" s="558"/>
      <c r="AB34" s="558"/>
      <c r="AC34" s="558"/>
      <c r="AD34" s="558"/>
      <c r="AE34" s="558"/>
      <c r="AF34" s="558"/>
      <c r="AG34" s="558"/>
      <c r="AH34" s="558"/>
      <c r="AI34" s="558"/>
      <c r="AJ34" s="558"/>
      <c r="AK34" s="558"/>
      <c r="AL34" s="558"/>
      <c r="AM34" s="558"/>
      <c r="AN34" s="558"/>
      <c r="AO34" s="558"/>
      <c r="AP34" s="558"/>
      <c r="AQ34" s="558"/>
      <c r="AR34" s="558"/>
      <c r="AS34" s="558"/>
      <c r="AT34" s="558"/>
      <c r="AU34" s="558"/>
      <c r="AV34" s="558"/>
      <c r="AW34" s="558"/>
      <c r="AX34" s="558"/>
      <c r="AY34" s="558"/>
      <c r="AZ34" s="558"/>
      <c r="BA34" s="558"/>
      <c r="BB34" s="558"/>
      <c r="BC34" s="558"/>
      <c r="BD34" s="558"/>
      <c r="BE34" s="558"/>
      <c r="BF34" s="558"/>
      <c r="BG34" s="558"/>
      <c r="BH34" s="558"/>
      <c r="BI34" s="558"/>
      <c r="BJ34" s="558"/>
      <c r="BK34" s="558"/>
      <c r="BL34" s="558"/>
      <c r="BM34" s="558"/>
      <c r="BN34" s="558"/>
      <c r="BO34" s="558"/>
      <c r="BP34" s="558"/>
      <c r="BQ34" s="558"/>
      <c r="BR34" s="123"/>
      <c r="BS34" s="123"/>
    </row>
    <row r="35" spans="1:71" s="128" customFormat="1" ht="9" customHeight="1" x14ac:dyDescent="0.25">
      <c r="A35" s="558"/>
      <c r="B35" s="558"/>
      <c r="C35" s="558"/>
      <c r="D35" s="558"/>
      <c r="E35" s="558"/>
      <c r="F35" s="558"/>
      <c r="G35" s="558"/>
      <c r="H35" s="558"/>
      <c r="I35" s="558"/>
      <c r="J35" s="558"/>
      <c r="K35" s="558"/>
      <c r="L35" s="558"/>
      <c r="M35" s="558"/>
      <c r="N35" s="558"/>
      <c r="O35" s="558"/>
      <c r="P35" s="558"/>
      <c r="Q35" s="558"/>
      <c r="R35" s="558"/>
      <c r="S35" s="558"/>
      <c r="T35" s="558"/>
      <c r="U35" s="558"/>
      <c r="V35" s="558"/>
      <c r="W35" s="558"/>
      <c r="X35" s="558"/>
      <c r="Y35" s="558"/>
      <c r="Z35" s="558"/>
      <c r="AA35" s="558"/>
      <c r="AB35" s="558"/>
      <c r="AC35" s="558"/>
      <c r="AD35" s="558"/>
      <c r="AE35" s="558"/>
      <c r="AF35" s="558"/>
      <c r="AG35" s="558"/>
      <c r="AH35" s="558"/>
      <c r="AI35" s="558"/>
      <c r="AJ35" s="558"/>
      <c r="AK35" s="558"/>
      <c r="AL35" s="558"/>
      <c r="AM35" s="558"/>
      <c r="AN35" s="558"/>
      <c r="AO35" s="558"/>
      <c r="AP35" s="558"/>
      <c r="AQ35" s="558"/>
      <c r="AR35" s="558"/>
      <c r="AS35" s="558"/>
      <c r="AT35" s="558"/>
      <c r="AU35" s="558"/>
      <c r="AV35" s="558"/>
      <c r="AW35" s="558"/>
      <c r="AX35" s="558"/>
      <c r="AY35" s="558"/>
      <c r="AZ35" s="558"/>
      <c r="BA35" s="558"/>
      <c r="BB35" s="558"/>
      <c r="BC35" s="558"/>
      <c r="BD35" s="558"/>
      <c r="BE35" s="558"/>
      <c r="BF35" s="558"/>
      <c r="BG35" s="558"/>
      <c r="BH35" s="558"/>
      <c r="BI35" s="558"/>
      <c r="BJ35" s="558"/>
      <c r="BK35" s="558"/>
      <c r="BL35" s="558"/>
      <c r="BM35" s="558"/>
      <c r="BN35" s="558"/>
      <c r="BO35" s="558"/>
      <c r="BP35" s="558"/>
      <c r="BQ35" s="558"/>
      <c r="BR35" s="127"/>
      <c r="BS35" s="127"/>
    </row>
    <row r="36" spans="1:71" s="125" customFormat="1" ht="9" customHeight="1" x14ac:dyDescent="0.25">
      <c r="A36" s="558"/>
      <c r="B36" s="558"/>
      <c r="C36" s="558"/>
      <c r="D36" s="558"/>
      <c r="E36" s="558"/>
      <c r="F36" s="558"/>
      <c r="G36" s="558"/>
      <c r="H36" s="558"/>
      <c r="I36" s="558"/>
      <c r="J36" s="558"/>
      <c r="K36" s="558"/>
      <c r="L36" s="558"/>
      <c r="M36" s="558"/>
      <c r="N36" s="558"/>
      <c r="O36" s="558"/>
      <c r="P36" s="558"/>
      <c r="Q36" s="558"/>
      <c r="R36" s="558"/>
      <c r="S36" s="558"/>
      <c r="T36" s="558"/>
      <c r="U36" s="558"/>
      <c r="V36" s="558"/>
      <c r="W36" s="558"/>
      <c r="X36" s="558"/>
      <c r="Y36" s="558"/>
      <c r="Z36" s="558"/>
      <c r="AA36" s="558"/>
      <c r="AB36" s="558"/>
      <c r="AC36" s="558"/>
      <c r="AD36" s="558"/>
      <c r="AE36" s="558"/>
      <c r="AF36" s="558"/>
      <c r="AG36" s="558"/>
      <c r="AH36" s="558"/>
      <c r="AI36" s="558"/>
      <c r="AJ36" s="558"/>
      <c r="AK36" s="558"/>
      <c r="AL36" s="558"/>
      <c r="AM36" s="558"/>
      <c r="AN36" s="558"/>
      <c r="AO36" s="558"/>
      <c r="AP36" s="558"/>
      <c r="AQ36" s="558"/>
      <c r="AR36" s="558"/>
      <c r="AS36" s="558"/>
      <c r="AT36" s="558"/>
      <c r="AU36" s="558"/>
      <c r="AV36" s="558"/>
      <c r="AW36" s="558"/>
      <c r="AX36" s="558"/>
      <c r="AY36" s="558"/>
      <c r="AZ36" s="558"/>
      <c r="BA36" s="558"/>
      <c r="BB36" s="558"/>
      <c r="BC36" s="558"/>
      <c r="BD36" s="558"/>
      <c r="BE36" s="558"/>
      <c r="BF36" s="558"/>
      <c r="BG36" s="558"/>
      <c r="BH36" s="558"/>
      <c r="BI36" s="558"/>
      <c r="BJ36" s="558"/>
      <c r="BK36" s="558"/>
      <c r="BL36" s="558"/>
      <c r="BM36" s="558"/>
      <c r="BN36" s="558"/>
      <c r="BO36" s="558"/>
      <c r="BP36" s="558"/>
      <c r="BQ36" s="558"/>
      <c r="BR36" s="126"/>
      <c r="BS36" s="126"/>
    </row>
    <row r="37" spans="1:71" s="124" customFormat="1" ht="9" customHeight="1" x14ac:dyDescent="0.25">
      <c r="A37" s="558"/>
      <c r="B37" s="558"/>
      <c r="C37" s="558"/>
      <c r="D37" s="558"/>
      <c r="E37" s="558"/>
      <c r="F37" s="558"/>
      <c r="G37" s="558"/>
      <c r="H37" s="558"/>
      <c r="I37" s="558"/>
      <c r="J37" s="558"/>
      <c r="K37" s="558"/>
      <c r="L37" s="558"/>
      <c r="M37" s="558"/>
      <c r="N37" s="558"/>
      <c r="O37" s="558"/>
      <c r="P37" s="558"/>
      <c r="Q37" s="558"/>
      <c r="R37" s="558"/>
      <c r="S37" s="558"/>
      <c r="T37" s="558"/>
      <c r="U37" s="558"/>
      <c r="V37" s="558"/>
      <c r="W37" s="558"/>
      <c r="X37" s="558"/>
      <c r="Y37" s="558"/>
      <c r="Z37" s="558"/>
      <c r="AA37" s="558"/>
      <c r="AB37" s="558"/>
      <c r="AC37" s="558"/>
      <c r="AD37" s="558"/>
      <c r="AE37" s="558"/>
      <c r="AF37" s="558"/>
      <c r="AG37" s="558"/>
      <c r="AH37" s="558"/>
      <c r="AI37" s="558"/>
      <c r="AJ37" s="558"/>
      <c r="AK37" s="558"/>
      <c r="AL37" s="558"/>
      <c r="AM37" s="558"/>
      <c r="AN37" s="558"/>
      <c r="AO37" s="558"/>
      <c r="AP37" s="558"/>
      <c r="AQ37" s="558"/>
      <c r="AR37" s="558"/>
      <c r="AS37" s="558"/>
      <c r="AT37" s="558"/>
      <c r="AU37" s="558"/>
      <c r="AV37" s="558"/>
      <c r="AW37" s="558"/>
      <c r="AX37" s="558"/>
      <c r="AY37" s="558"/>
      <c r="AZ37" s="558"/>
      <c r="BA37" s="558"/>
      <c r="BB37" s="558"/>
      <c r="BC37" s="558"/>
      <c r="BD37" s="558"/>
      <c r="BE37" s="558"/>
      <c r="BF37" s="558"/>
      <c r="BG37" s="558"/>
      <c r="BH37" s="558"/>
      <c r="BI37" s="558"/>
      <c r="BJ37" s="558"/>
      <c r="BK37" s="558"/>
      <c r="BL37" s="558"/>
      <c r="BM37" s="558"/>
      <c r="BN37" s="558"/>
      <c r="BO37" s="558"/>
      <c r="BP37" s="558"/>
      <c r="BQ37" s="558"/>
      <c r="BR37" s="123"/>
      <c r="BS37" s="123"/>
    </row>
    <row r="38" spans="1:71" s="124" customFormat="1" ht="9" customHeight="1" x14ac:dyDescent="0.25">
      <c r="A38" s="558"/>
      <c r="B38" s="558"/>
      <c r="C38" s="558"/>
      <c r="D38" s="558"/>
      <c r="E38" s="558"/>
      <c r="F38" s="558"/>
      <c r="G38" s="558"/>
      <c r="H38" s="558"/>
      <c r="I38" s="558"/>
      <c r="J38" s="558"/>
      <c r="K38" s="558"/>
      <c r="L38" s="558"/>
      <c r="M38" s="558"/>
      <c r="N38" s="558"/>
      <c r="O38" s="558"/>
      <c r="P38" s="558"/>
      <c r="Q38" s="558"/>
      <c r="R38" s="558"/>
      <c r="S38" s="558"/>
      <c r="T38" s="558"/>
      <c r="U38" s="558"/>
      <c r="V38" s="558"/>
      <c r="W38" s="558"/>
      <c r="X38" s="558"/>
      <c r="Y38" s="558"/>
      <c r="Z38" s="558"/>
      <c r="AA38" s="558"/>
      <c r="AB38" s="558"/>
      <c r="AC38" s="558"/>
      <c r="AD38" s="558"/>
      <c r="AE38" s="558"/>
      <c r="AF38" s="558"/>
      <c r="AG38" s="558"/>
      <c r="AH38" s="558"/>
      <c r="AI38" s="558"/>
      <c r="AJ38" s="558"/>
      <c r="AK38" s="558"/>
      <c r="AL38" s="558"/>
      <c r="AM38" s="558"/>
      <c r="AN38" s="558"/>
      <c r="AO38" s="558"/>
      <c r="AP38" s="558"/>
      <c r="AQ38" s="558"/>
      <c r="AR38" s="558"/>
      <c r="AS38" s="558"/>
      <c r="AT38" s="558"/>
      <c r="AU38" s="558"/>
      <c r="AV38" s="558"/>
      <c r="AW38" s="558"/>
      <c r="AX38" s="558"/>
      <c r="AY38" s="558"/>
      <c r="AZ38" s="558"/>
      <c r="BA38" s="558"/>
      <c r="BB38" s="558"/>
      <c r="BC38" s="558"/>
      <c r="BD38" s="558"/>
      <c r="BE38" s="558"/>
      <c r="BF38" s="558"/>
      <c r="BG38" s="558"/>
      <c r="BH38" s="558"/>
      <c r="BI38" s="558"/>
      <c r="BJ38" s="558"/>
      <c r="BK38" s="558"/>
      <c r="BL38" s="558"/>
      <c r="BM38" s="558"/>
      <c r="BN38" s="558"/>
      <c r="BO38" s="558"/>
      <c r="BP38" s="558"/>
      <c r="BQ38" s="558"/>
      <c r="BR38" s="123"/>
      <c r="BS38" s="123"/>
    </row>
    <row r="39" spans="1:71" s="124" customFormat="1" ht="9.75" customHeight="1" x14ac:dyDescent="0.25">
      <c r="A39" s="558"/>
      <c r="B39" s="558"/>
      <c r="C39" s="558"/>
      <c r="D39" s="558"/>
      <c r="E39" s="558"/>
      <c r="F39" s="558"/>
      <c r="G39" s="558"/>
      <c r="H39" s="558"/>
      <c r="I39" s="558"/>
      <c r="J39" s="558"/>
      <c r="K39" s="558"/>
      <c r="L39" s="558"/>
      <c r="M39" s="558"/>
      <c r="N39" s="558"/>
      <c r="O39" s="558"/>
      <c r="P39" s="558"/>
      <c r="Q39" s="558"/>
      <c r="R39" s="558"/>
      <c r="S39" s="558"/>
      <c r="T39" s="558"/>
      <c r="U39" s="558"/>
      <c r="V39" s="558"/>
      <c r="W39" s="558"/>
      <c r="X39" s="558"/>
      <c r="Y39" s="558"/>
      <c r="Z39" s="558"/>
      <c r="AA39" s="558"/>
      <c r="AB39" s="558"/>
      <c r="AC39" s="558"/>
      <c r="AD39" s="558"/>
      <c r="AE39" s="558"/>
      <c r="AF39" s="558"/>
      <c r="AG39" s="558"/>
      <c r="AH39" s="558"/>
      <c r="AI39" s="558"/>
      <c r="AJ39" s="558"/>
      <c r="AK39" s="558"/>
      <c r="AL39" s="558"/>
      <c r="AM39" s="558"/>
      <c r="AN39" s="558"/>
      <c r="AO39" s="558"/>
      <c r="AP39" s="558"/>
      <c r="AQ39" s="558"/>
      <c r="AR39" s="558"/>
      <c r="AS39" s="558"/>
      <c r="AT39" s="558"/>
      <c r="AU39" s="558"/>
      <c r="AV39" s="558"/>
      <c r="AW39" s="558"/>
      <c r="AX39" s="558"/>
      <c r="AY39" s="558"/>
      <c r="AZ39" s="558"/>
      <c r="BA39" s="558"/>
      <c r="BB39" s="558"/>
      <c r="BC39" s="558"/>
      <c r="BD39" s="558"/>
      <c r="BE39" s="558"/>
      <c r="BF39" s="558"/>
      <c r="BG39" s="558"/>
      <c r="BH39" s="558"/>
      <c r="BI39" s="558"/>
      <c r="BJ39" s="558"/>
      <c r="BK39" s="558"/>
      <c r="BL39" s="558"/>
      <c r="BM39" s="558"/>
      <c r="BN39" s="558"/>
      <c r="BO39" s="558"/>
      <c r="BP39" s="558"/>
      <c r="BQ39" s="558"/>
      <c r="BR39" s="123"/>
      <c r="BS39" s="123"/>
    </row>
    <row r="40" spans="1:71" s="128" customFormat="1" ht="9" customHeight="1" x14ac:dyDescent="0.25">
      <c r="A40" s="558"/>
      <c r="B40" s="558"/>
      <c r="C40" s="558"/>
      <c r="D40" s="558"/>
      <c r="E40" s="558"/>
      <c r="F40" s="558"/>
      <c r="G40" s="558"/>
      <c r="H40" s="558"/>
      <c r="I40" s="558"/>
      <c r="J40" s="558"/>
      <c r="K40" s="558"/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8"/>
      <c r="Y40" s="558"/>
      <c r="Z40" s="558"/>
      <c r="AA40" s="558"/>
      <c r="AB40" s="558"/>
      <c r="AC40" s="558"/>
      <c r="AD40" s="558"/>
      <c r="AE40" s="558"/>
      <c r="AF40" s="558"/>
      <c r="AG40" s="558"/>
      <c r="AH40" s="558"/>
      <c r="AI40" s="558"/>
      <c r="AJ40" s="558"/>
      <c r="AK40" s="558"/>
      <c r="AL40" s="558"/>
      <c r="AM40" s="558"/>
      <c r="AN40" s="558"/>
      <c r="AO40" s="558"/>
      <c r="AP40" s="558"/>
      <c r="AQ40" s="558"/>
      <c r="AR40" s="558"/>
      <c r="AS40" s="558"/>
      <c r="AT40" s="558"/>
      <c r="AU40" s="558"/>
      <c r="AV40" s="558"/>
      <c r="AW40" s="558"/>
      <c r="AX40" s="558"/>
      <c r="AY40" s="558"/>
      <c r="AZ40" s="558"/>
      <c r="BA40" s="558"/>
      <c r="BB40" s="558"/>
      <c r="BC40" s="558"/>
      <c r="BD40" s="558"/>
      <c r="BE40" s="558"/>
      <c r="BF40" s="558"/>
      <c r="BG40" s="558"/>
      <c r="BH40" s="558"/>
      <c r="BI40" s="558"/>
      <c r="BJ40" s="558"/>
      <c r="BK40" s="558"/>
      <c r="BL40" s="558"/>
      <c r="BM40" s="558"/>
      <c r="BN40" s="558"/>
      <c r="BO40" s="558"/>
      <c r="BP40" s="558"/>
      <c r="BQ40" s="558"/>
      <c r="BR40" s="127"/>
      <c r="BS40" s="127"/>
    </row>
    <row r="41" spans="1:71" s="128" customFormat="1" ht="9" customHeight="1" x14ac:dyDescent="0.25">
      <c r="A41" s="558"/>
      <c r="B41" s="558"/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  <c r="Q41" s="558"/>
      <c r="R41" s="558"/>
      <c r="S41" s="558"/>
      <c r="T41" s="558"/>
      <c r="U41" s="558"/>
      <c r="V41" s="558"/>
      <c r="W41" s="558"/>
      <c r="X41" s="558"/>
      <c r="Y41" s="558"/>
      <c r="Z41" s="558"/>
      <c r="AA41" s="558"/>
      <c r="AB41" s="558"/>
      <c r="AC41" s="558"/>
      <c r="AD41" s="558"/>
      <c r="AE41" s="558"/>
      <c r="AF41" s="558"/>
      <c r="AG41" s="558"/>
      <c r="AH41" s="558"/>
      <c r="AI41" s="558"/>
      <c r="AJ41" s="558"/>
      <c r="AK41" s="558"/>
      <c r="AL41" s="558"/>
      <c r="AM41" s="558"/>
      <c r="AN41" s="558"/>
      <c r="AO41" s="558"/>
      <c r="AP41" s="558"/>
      <c r="AQ41" s="558"/>
      <c r="AR41" s="558"/>
      <c r="AS41" s="558"/>
      <c r="AT41" s="558"/>
      <c r="AU41" s="558"/>
      <c r="AV41" s="558"/>
      <c r="AW41" s="558"/>
      <c r="AX41" s="558"/>
      <c r="AY41" s="558"/>
      <c r="AZ41" s="558"/>
      <c r="BA41" s="558"/>
      <c r="BB41" s="558"/>
      <c r="BC41" s="558"/>
      <c r="BD41" s="558"/>
      <c r="BE41" s="558"/>
      <c r="BF41" s="558"/>
      <c r="BG41" s="558"/>
      <c r="BH41" s="558"/>
      <c r="BI41" s="558"/>
      <c r="BJ41" s="558"/>
      <c r="BK41" s="558"/>
      <c r="BL41" s="558"/>
      <c r="BM41" s="558"/>
      <c r="BN41" s="558"/>
      <c r="BO41" s="558"/>
      <c r="BP41" s="558"/>
      <c r="BQ41" s="558"/>
      <c r="BR41" s="127"/>
      <c r="BS41" s="127"/>
    </row>
    <row r="42" spans="1:71" s="128" customFormat="1" ht="9" customHeight="1" x14ac:dyDescent="0.25">
      <c r="A42" s="558"/>
      <c r="B42" s="558"/>
      <c r="C42" s="558"/>
      <c r="D42" s="558"/>
      <c r="E42" s="558"/>
      <c r="F42" s="558"/>
      <c r="G42" s="558"/>
      <c r="H42" s="558"/>
      <c r="I42" s="558"/>
      <c r="J42" s="558"/>
      <c r="K42" s="558"/>
      <c r="L42" s="558"/>
      <c r="M42" s="558"/>
      <c r="N42" s="558"/>
      <c r="O42" s="558"/>
      <c r="P42" s="558"/>
      <c r="Q42" s="558"/>
      <c r="R42" s="558"/>
      <c r="S42" s="558"/>
      <c r="T42" s="558"/>
      <c r="U42" s="558"/>
      <c r="V42" s="558"/>
      <c r="W42" s="558"/>
      <c r="X42" s="558"/>
      <c r="Y42" s="558"/>
      <c r="Z42" s="558"/>
      <c r="AA42" s="558"/>
      <c r="AB42" s="558"/>
      <c r="AC42" s="558"/>
      <c r="AD42" s="558"/>
      <c r="AE42" s="558"/>
      <c r="AF42" s="558"/>
      <c r="AG42" s="558"/>
      <c r="AH42" s="558"/>
      <c r="AI42" s="558"/>
      <c r="AJ42" s="558"/>
      <c r="AK42" s="558"/>
      <c r="AL42" s="558"/>
      <c r="AM42" s="558"/>
      <c r="AN42" s="558"/>
      <c r="AO42" s="558"/>
      <c r="AP42" s="558"/>
      <c r="AQ42" s="558"/>
      <c r="AR42" s="558"/>
      <c r="AS42" s="558"/>
      <c r="AT42" s="558"/>
      <c r="AU42" s="558"/>
      <c r="AV42" s="558"/>
      <c r="AW42" s="558"/>
      <c r="AX42" s="558"/>
      <c r="AY42" s="558"/>
      <c r="AZ42" s="558"/>
      <c r="BA42" s="558"/>
      <c r="BB42" s="558"/>
      <c r="BC42" s="558"/>
      <c r="BD42" s="558"/>
      <c r="BE42" s="558"/>
      <c r="BF42" s="558"/>
      <c r="BG42" s="558"/>
      <c r="BH42" s="558"/>
      <c r="BI42" s="558"/>
      <c r="BJ42" s="558"/>
      <c r="BK42" s="558"/>
      <c r="BL42" s="558"/>
      <c r="BM42" s="558"/>
      <c r="BN42" s="558"/>
      <c r="BO42" s="558"/>
      <c r="BP42" s="558"/>
      <c r="BQ42" s="558"/>
      <c r="BR42" s="127"/>
      <c r="BS42" s="127"/>
    </row>
    <row r="43" spans="1:71" s="128" customFormat="1" ht="9" customHeight="1" x14ac:dyDescent="0.25">
      <c r="A43" s="558"/>
      <c r="B43" s="558"/>
      <c r="C43" s="558"/>
      <c r="D43" s="558"/>
      <c r="E43" s="558"/>
      <c r="F43" s="558"/>
      <c r="G43" s="558"/>
      <c r="H43" s="558"/>
      <c r="I43" s="558"/>
      <c r="J43" s="558"/>
      <c r="K43" s="558"/>
      <c r="L43" s="558"/>
      <c r="M43" s="558"/>
      <c r="N43" s="558"/>
      <c r="O43" s="558"/>
      <c r="P43" s="558"/>
      <c r="Q43" s="558"/>
      <c r="R43" s="558"/>
      <c r="S43" s="558"/>
      <c r="T43" s="558"/>
      <c r="U43" s="558"/>
      <c r="V43" s="558"/>
      <c r="W43" s="558"/>
      <c r="X43" s="558"/>
      <c r="Y43" s="558"/>
      <c r="Z43" s="558"/>
      <c r="AA43" s="558"/>
      <c r="AB43" s="558"/>
      <c r="AC43" s="558"/>
      <c r="AD43" s="558"/>
      <c r="AE43" s="558"/>
      <c r="AF43" s="558"/>
      <c r="AG43" s="558"/>
      <c r="AH43" s="558"/>
      <c r="AI43" s="558"/>
      <c r="AJ43" s="558"/>
      <c r="AK43" s="558"/>
      <c r="AL43" s="558"/>
      <c r="AM43" s="558"/>
      <c r="AN43" s="558"/>
      <c r="AO43" s="558"/>
      <c r="AP43" s="558"/>
      <c r="AQ43" s="558"/>
      <c r="AR43" s="558"/>
      <c r="AS43" s="558"/>
      <c r="AT43" s="558"/>
      <c r="AU43" s="558"/>
      <c r="AV43" s="558"/>
      <c r="AW43" s="558"/>
      <c r="AX43" s="558"/>
      <c r="AY43" s="558"/>
      <c r="AZ43" s="558"/>
      <c r="BA43" s="558"/>
      <c r="BB43" s="558"/>
      <c r="BC43" s="558"/>
      <c r="BD43" s="558"/>
      <c r="BE43" s="558"/>
      <c r="BF43" s="558"/>
      <c r="BG43" s="558"/>
      <c r="BH43" s="558"/>
      <c r="BI43" s="558"/>
      <c r="BJ43" s="558"/>
      <c r="BK43" s="558"/>
      <c r="BL43" s="558"/>
      <c r="BM43" s="558"/>
      <c r="BN43" s="558"/>
      <c r="BO43" s="558"/>
      <c r="BP43" s="558"/>
      <c r="BQ43" s="558"/>
      <c r="BR43" s="127"/>
      <c r="BS43" s="127"/>
    </row>
    <row r="44" spans="1:71" s="128" customFormat="1" ht="9" customHeight="1" x14ac:dyDescent="0.25">
      <c r="A44" s="558"/>
      <c r="B44" s="558"/>
      <c r="C44" s="558"/>
      <c r="D44" s="558"/>
      <c r="E44" s="558"/>
      <c r="F44" s="558"/>
      <c r="G44" s="558"/>
      <c r="H44" s="558"/>
      <c r="I44" s="558"/>
      <c r="J44" s="558"/>
      <c r="K44" s="558"/>
      <c r="L44" s="558"/>
      <c r="M44" s="558"/>
      <c r="N44" s="558"/>
      <c r="O44" s="558"/>
      <c r="P44" s="558"/>
      <c r="Q44" s="558"/>
      <c r="R44" s="558"/>
      <c r="S44" s="558"/>
      <c r="T44" s="558"/>
      <c r="U44" s="558"/>
      <c r="V44" s="558"/>
      <c r="W44" s="558"/>
      <c r="X44" s="558"/>
      <c r="Y44" s="558"/>
      <c r="Z44" s="558"/>
      <c r="AA44" s="558"/>
      <c r="AB44" s="558"/>
      <c r="AC44" s="558"/>
      <c r="AD44" s="558"/>
      <c r="AE44" s="558"/>
      <c r="AF44" s="558"/>
      <c r="AG44" s="558"/>
      <c r="AH44" s="558"/>
      <c r="AI44" s="558"/>
      <c r="AJ44" s="558"/>
      <c r="AK44" s="558"/>
      <c r="AL44" s="558"/>
      <c r="AM44" s="558"/>
      <c r="AN44" s="558"/>
      <c r="AO44" s="558"/>
      <c r="AP44" s="558"/>
      <c r="AQ44" s="558"/>
      <c r="AR44" s="558"/>
      <c r="AS44" s="558"/>
      <c r="AT44" s="558"/>
      <c r="AU44" s="558"/>
      <c r="AV44" s="558"/>
      <c r="AW44" s="558"/>
      <c r="AX44" s="558"/>
      <c r="AY44" s="558"/>
      <c r="AZ44" s="558"/>
      <c r="BA44" s="558"/>
      <c r="BB44" s="558"/>
      <c r="BC44" s="558"/>
      <c r="BD44" s="558"/>
      <c r="BE44" s="558"/>
      <c r="BF44" s="558"/>
      <c r="BG44" s="558"/>
      <c r="BH44" s="558"/>
      <c r="BI44" s="558"/>
      <c r="BJ44" s="558"/>
      <c r="BK44" s="558"/>
      <c r="BL44" s="558"/>
      <c r="BM44" s="558"/>
      <c r="BN44" s="558"/>
      <c r="BO44" s="558"/>
      <c r="BP44" s="558"/>
      <c r="BQ44" s="558"/>
      <c r="BR44" s="127"/>
      <c r="BS44" s="127"/>
    </row>
    <row r="45" spans="1:71" s="128" customFormat="1" ht="9" customHeight="1" x14ac:dyDescent="0.25">
      <c r="A45" s="558"/>
      <c r="B45" s="558"/>
      <c r="C45" s="558"/>
      <c r="D45" s="558"/>
      <c r="E45" s="558"/>
      <c r="F45" s="558"/>
      <c r="G45" s="558"/>
      <c r="H45" s="558"/>
      <c r="I45" s="558"/>
      <c r="J45" s="558"/>
      <c r="K45" s="558"/>
      <c r="L45" s="558"/>
      <c r="M45" s="558"/>
      <c r="N45" s="558"/>
      <c r="O45" s="558"/>
      <c r="P45" s="558"/>
      <c r="Q45" s="558"/>
      <c r="R45" s="558"/>
      <c r="S45" s="558"/>
      <c r="T45" s="558"/>
      <c r="U45" s="558"/>
      <c r="V45" s="558"/>
      <c r="W45" s="558"/>
      <c r="X45" s="558"/>
      <c r="Y45" s="558"/>
      <c r="Z45" s="558"/>
      <c r="AA45" s="558"/>
      <c r="AB45" s="558"/>
      <c r="AC45" s="558"/>
      <c r="AD45" s="558"/>
      <c r="AE45" s="558"/>
      <c r="AF45" s="558"/>
      <c r="AG45" s="558"/>
      <c r="AH45" s="558"/>
      <c r="AI45" s="558"/>
      <c r="AJ45" s="558"/>
      <c r="AK45" s="558"/>
      <c r="AL45" s="558"/>
      <c r="AM45" s="558"/>
      <c r="AN45" s="558"/>
      <c r="AO45" s="558"/>
      <c r="AP45" s="558"/>
      <c r="AQ45" s="558"/>
      <c r="AR45" s="558"/>
      <c r="AS45" s="558"/>
      <c r="AT45" s="558"/>
      <c r="AU45" s="558"/>
      <c r="AV45" s="558"/>
      <c r="AW45" s="558"/>
      <c r="AX45" s="558"/>
      <c r="AY45" s="558"/>
      <c r="AZ45" s="558"/>
      <c r="BA45" s="558"/>
      <c r="BB45" s="558"/>
      <c r="BC45" s="558"/>
      <c r="BD45" s="558"/>
      <c r="BE45" s="558"/>
      <c r="BF45" s="558"/>
      <c r="BG45" s="558"/>
      <c r="BH45" s="558"/>
      <c r="BI45" s="558"/>
      <c r="BJ45" s="558"/>
      <c r="BK45" s="558"/>
      <c r="BL45" s="558"/>
      <c r="BM45" s="558"/>
      <c r="BN45" s="558"/>
      <c r="BO45" s="558"/>
      <c r="BP45" s="558"/>
      <c r="BQ45" s="558"/>
      <c r="BR45" s="127"/>
      <c r="BS45" s="127"/>
    </row>
    <row r="46" spans="1:71" s="128" customFormat="1" ht="9" customHeight="1" x14ac:dyDescent="0.25">
      <c r="A46" s="558"/>
      <c r="B46" s="558"/>
      <c r="C46" s="558"/>
      <c r="D46" s="558"/>
      <c r="E46" s="558"/>
      <c r="F46" s="558"/>
      <c r="G46" s="558"/>
      <c r="H46" s="558"/>
      <c r="I46" s="558"/>
      <c r="J46" s="558"/>
      <c r="K46" s="558"/>
      <c r="L46" s="558"/>
      <c r="M46" s="558"/>
      <c r="N46" s="558"/>
      <c r="O46" s="558"/>
      <c r="P46" s="558"/>
      <c r="Q46" s="558"/>
      <c r="R46" s="558"/>
      <c r="S46" s="558"/>
      <c r="T46" s="558"/>
      <c r="U46" s="558"/>
      <c r="V46" s="558"/>
      <c r="W46" s="558"/>
      <c r="X46" s="558"/>
      <c r="Y46" s="558"/>
      <c r="Z46" s="558"/>
      <c r="AA46" s="558"/>
      <c r="AB46" s="558"/>
      <c r="AC46" s="558"/>
      <c r="AD46" s="558"/>
      <c r="AE46" s="558"/>
      <c r="AF46" s="558"/>
      <c r="AG46" s="558"/>
      <c r="AH46" s="558"/>
      <c r="AI46" s="558"/>
      <c r="AJ46" s="558"/>
      <c r="AK46" s="558"/>
      <c r="AL46" s="558"/>
      <c r="AM46" s="558"/>
      <c r="AN46" s="558"/>
      <c r="AO46" s="558"/>
      <c r="AP46" s="558"/>
      <c r="AQ46" s="558"/>
      <c r="AR46" s="558"/>
      <c r="AS46" s="558"/>
      <c r="AT46" s="558"/>
      <c r="AU46" s="558"/>
      <c r="AV46" s="558"/>
      <c r="AW46" s="558"/>
      <c r="AX46" s="558"/>
      <c r="AY46" s="558"/>
      <c r="AZ46" s="558"/>
      <c r="BA46" s="558"/>
      <c r="BB46" s="558"/>
      <c r="BC46" s="558"/>
      <c r="BD46" s="558"/>
      <c r="BE46" s="558"/>
      <c r="BF46" s="558"/>
      <c r="BG46" s="558"/>
      <c r="BH46" s="558"/>
      <c r="BI46" s="558"/>
      <c r="BJ46" s="558"/>
      <c r="BK46" s="558"/>
      <c r="BL46" s="558"/>
      <c r="BM46" s="558"/>
      <c r="BN46" s="558"/>
      <c r="BO46" s="558"/>
      <c r="BP46" s="558"/>
      <c r="BQ46" s="558"/>
      <c r="BR46" s="127"/>
      <c r="BS46" s="127"/>
    </row>
    <row r="47" spans="1:71" s="128" customFormat="1" ht="9" customHeight="1" x14ac:dyDescent="0.25">
      <c r="A47" s="558"/>
      <c r="B47" s="558"/>
      <c r="C47" s="558"/>
      <c r="D47" s="558"/>
      <c r="E47" s="558"/>
      <c r="F47" s="558"/>
      <c r="G47" s="558"/>
      <c r="H47" s="558"/>
      <c r="I47" s="558"/>
      <c r="J47" s="558"/>
      <c r="K47" s="558"/>
      <c r="L47" s="558"/>
      <c r="M47" s="558"/>
      <c r="N47" s="558"/>
      <c r="O47" s="558"/>
      <c r="P47" s="558"/>
      <c r="Q47" s="558"/>
      <c r="R47" s="558"/>
      <c r="S47" s="558"/>
      <c r="T47" s="558"/>
      <c r="U47" s="558"/>
      <c r="V47" s="558"/>
      <c r="W47" s="558"/>
      <c r="X47" s="558"/>
      <c r="Y47" s="558"/>
      <c r="Z47" s="558"/>
      <c r="AA47" s="558"/>
      <c r="AB47" s="558"/>
      <c r="AC47" s="558"/>
      <c r="AD47" s="558"/>
      <c r="AE47" s="558"/>
      <c r="AF47" s="558"/>
      <c r="AG47" s="558"/>
      <c r="AH47" s="558"/>
      <c r="AI47" s="558"/>
      <c r="AJ47" s="558"/>
      <c r="AK47" s="558"/>
      <c r="AL47" s="558"/>
      <c r="AM47" s="558"/>
      <c r="AN47" s="558"/>
      <c r="AO47" s="558"/>
      <c r="AP47" s="558"/>
      <c r="AQ47" s="558"/>
      <c r="AR47" s="558"/>
      <c r="AS47" s="558"/>
      <c r="AT47" s="558"/>
      <c r="AU47" s="558"/>
      <c r="AV47" s="558"/>
      <c r="AW47" s="558"/>
      <c r="AX47" s="558"/>
      <c r="AY47" s="558"/>
      <c r="AZ47" s="558"/>
      <c r="BA47" s="558"/>
      <c r="BB47" s="558"/>
      <c r="BC47" s="558"/>
      <c r="BD47" s="558"/>
      <c r="BE47" s="558"/>
      <c r="BF47" s="558"/>
      <c r="BG47" s="558"/>
      <c r="BH47" s="558"/>
      <c r="BI47" s="558"/>
      <c r="BJ47" s="558"/>
      <c r="BK47" s="558"/>
      <c r="BL47" s="558"/>
      <c r="BM47" s="558"/>
      <c r="BN47" s="558"/>
      <c r="BO47" s="558"/>
      <c r="BP47" s="558"/>
      <c r="BQ47" s="558"/>
      <c r="BR47" s="127"/>
      <c r="BS47" s="127"/>
    </row>
    <row r="48" spans="1:71" s="124" customFormat="1" ht="1.5" customHeight="1" x14ac:dyDescent="0.25">
      <c r="A48" s="558"/>
      <c r="B48" s="558"/>
      <c r="C48" s="558"/>
      <c r="D48" s="558"/>
      <c r="E48" s="558"/>
      <c r="F48" s="558"/>
      <c r="G48" s="558"/>
      <c r="H48" s="558"/>
      <c r="I48" s="558"/>
      <c r="J48" s="558"/>
      <c r="K48" s="558"/>
      <c r="L48" s="558"/>
      <c r="M48" s="558"/>
      <c r="N48" s="558"/>
      <c r="O48" s="558"/>
      <c r="P48" s="558"/>
      <c r="Q48" s="558"/>
      <c r="R48" s="558"/>
      <c r="S48" s="558"/>
      <c r="T48" s="558"/>
      <c r="U48" s="558"/>
      <c r="V48" s="558"/>
      <c r="W48" s="558"/>
      <c r="X48" s="558"/>
      <c r="Y48" s="558"/>
      <c r="Z48" s="558"/>
      <c r="AA48" s="558"/>
      <c r="AB48" s="558"/>
      <c r="AC48" s="558"/>
      <c r="AD48" s="558"/>
      <c r="AE48" s="558"/>
      <c r="AF48" s="558"/>
      <c r="AG48" s="558"/>
      <c r="AH48" s="558"/>
      <c r="AI48" s="558"/>
      <c r="AJ48" s="558"/>
      <c r="AK48" s="558"/>
      <c r="AL48" s="558"/>
      <c r="AM48" s="558"/>
      <c r="AN48" s="558"/>
      <c r="AO48" s="558"/>
      <c r="AP48" s="558"/>
      <c r="AQ48" s="558"/>
      <c r="AR48" s="558"/>
      <c r="AS48" s="558"/>
      <c r="AT48" s="558"/>
      <c r="AU48" s="558"/>
      <c r="AV48" s="558"/>
      <c r="AW48" s="558"/>
      <c r="AX48" s="558"/>
      <c r="AY48" s="558"/>
      <c r="AZ48" s="558"/>
      <c r="BA48" s="558"/>
      <c r="BB48" s="558"/>
      <c r="BC48" s="558"/>
      <c r="BD48" s="558"/>
      <c r="BE48" s="558"/>
      <c r="BF48" s="558"/>
      <c r="BG48" s="558"/>
      <c r="BH48" s="558"/>
      <c r="BI48" s="558"/>
      <c r="BJ48" s="558"/>
      <c r="BK48" s="558"/>
      <c r="BL48" s="558"/>
      <c r="BM48" s="558"/>
      <c r="BN48" s="558"/>
      <c r="BO48" s="558"/>
      <c r="BP48" s="558"/>
      <c r="BQ48" s="558"/>
      <c r="BR48" s="123"/>
      <c r="BS48" s="123"/>
    </row>
    <row r="49" spans="1:71" s="124" customFormat="1" ht="9" customHeight="1" x14ac:dyDescent="0.25">
      <c r="A49" s="558"/>
      <c r="B49" s="558"/>
      <c r="C49" s="558"/>
      <c r="D49" s="558"/>
      <c r="E49" s="558"/>
      <c r="F49" s="558"/>
      <c r="G49" s="558"/>
      <c r="H49" s="558"/>
      <c r="I49" s="558"/>
      <c r="J49" s="558"/>
      <c r="K49" s="558"/>
      <c r="L49" s="558"/>
      <c r="M49" s="558"/>
      <c r="N49" s="558"/>
      <c r="O49" s="558"/>
      <c r="P49" s="558"/>
      <c r="Q49" s="558"/>
      <c r="R49" s="558"/>
      <c r="S49" s="558"/>
      <c r="T49" s="558"/>
      <c r="U49" s="558"/>
      <c r="V49" s="558"/>
      <c r="W49" s="558"/>
      <c r="X49" s="558"/>
      <c r="Y49" s="558"/>
      <c r="Z49" s="558"/>
      <c r="AA49" s="558"/>
      <c r="AB49" s="558"/>
      <c r="AC49" s="558"/>
      <c r="AD49" s="558"/>
      <c r="AE49" s="558"/>
      <c r="AF49" s="558"/>
      <c r="AG49" s="558"/>
      <c r="AH49" s="558"/>
      <c r="AI49" s="558"/>
      <c r="AJ49" s="558"/>
      <c r="AK49" s="558"/>
      <c r="AL49" s="558"/>
      <c r="AM49" s="558"/>
      <c r="AN49" s="558"/>
      <c r="AO49" s="558"/>
      <c r="AP49" s="558"/>
      <c r="AQ49" s="558"/>
      <c r="AR49" s="558"/>
      <c r="AS49" s="558"/>
      <c r="AT49" s="558"/>
      <c r="AU49" s="558"/>
      <c r="AV49" s="558"/>
      <c r="AW49" s="558"/>
      <c r="AX49" s="558"/>
      <c r="AY49" s="558"/>
      <c r="AZ49" s="558"/>
      <c r="BA49" s="558"/>
      <c r="BB49" s="558"/>
      <c r="BC49" s="558"/>
      <c r="BD49" s="558"/>
      <c r="BE49" s="558"/>
      <c r="BF49" s="558"/>
      <c r="BG49" s="558"/>
      <c r="BH49" s="558"/>
      <c r="BI49" s="558"/>
      <c r="BJ49" s="558"/>
      <c r="BK49" s="558"/>
      <c r="BL49" s="558"/>
      <c r="BM49" s="558"/>
      <c r="BN49" s="558"/>
      <c r="BO49" s="558"/>
      <c r="BP49" s="558"/>
      <c r="BQ49" s="558"/>
      <c r="BR49" s="123"/>
      <c r="BS49" s="123"/>
    </row>
    <row r="50" spans="1:71" s="125" customFormat="1" ht="9" customHeight="1" x14ac:dyDescent="0.25">
      <c r="A50" s="558"/>
      <c r="B50" s="558"/>
      <c r="C50" s="558"/>
      <c r="D50" s="558"/>
      <c r="E50" s="558"/>
      <c r="F50" s="558"/>
      <c r="G50" s="558"/>
      <c r="H50" s="558"/>
      <c r="I50" s="558"/>
      <c r="J50" s="558"/>
      <c r="K50" s="558"/>
      <c r="L50" s="558"/>
      <c r="M50" s="558"/>
      <c r="N50" s="558"/>
      <c r="O50" s="558"/>
      <c r="P50" s="558"/>
      <c r="Q50" s="558"/>
      <c r="R50" s="558"/>
      <c r="S50" s="558"/>
      <c r="T50" s="558"/>
      <c r="U50" s="558"/>
      <c r="V50" s="558"/>
      <c r="W50" s="558"/>
      <c r="X50" s="558"/>
      <c r="Y50" s="558"/>
      <c r="Z50" s="558"/>
      <c r="AA50" s="558"/>
      <c r="AB50" s="558"/>
      <c r="AC50" s="558"/>
      <c r="AD50" s="558"/>
      <c r="AE50" s="558"/>
      <c r="AF50" s="558"/>
      <c r="AG50" s="558"/>
      <c r="AH50" s="558"/>
      <c r="AI50" s="558"/>
      <c r="AJ50" s="558"/>
      <c r="AK50" s="558"/>
      <c r="AL50" s="558"/>
      <c r="AM50" s="558"/>
      <c r="AN50" s="558"/>
      <c r="AO50" s="558"/>
      <c r="AP50" s="558"/>
      <c r="AQ50" s="558"/>
      <c r="AR50" s="558"/>
      <c r="AS50" s="558"/>
      <c r="AT50" s="558"/>
      <c r="AU50" s="558"/>
      <c r="AV50" s="558"/>
      <c r="AW50" s="558"/>
      <c r="AX50" s="558"/>
      <c r="AY50" s="558"/>
      <c r="AZ50" s="558"/>
      <c r="BA50" s="558"/>
      <c r="BB50" s="558"/>
      <c r="BC50" s="558"/>
      <c r="BD50" s="558"/>
      <c r="BE50" s="558"/>
      <c r="BF50" s="558"/>
      <c r="BG50" s="558"/>
      <c r="BH50" s="558"/>
      <c r="BI50" s="558"/>
      <c r="BJ50" s="558"/>
      <c r="BK50" s="558"/>
      <c r="BL50" s="558"/>
      <c r="BM50" s="558"/>
      <c r="BN50" s="558"/>
      <c r="BO50" s="558"/>
      <c r="BP50" s="558"/>
      <c r="BQ50" s="558"/>
      <c r="BR50" s="126"/>
      <c r="BS50" s="126"/>
    </row>
    <row r="51" spans="1:71" s="125" customFormat="1" ht="9" customHeight="1" x14ac:dyDescent="0.25">
      <c r="A51" s="558"/>
      <c r="B51" s="558"/>
      <c r="C51" s="558"/>
      <c r="D51" s="558"/>
      <c r="E51" s="558"/>
      <c r="F51" s="558"/>
      <c r="G51" s="558"/>
      <c r="H51" s="558"/>
      <c r="I51" s="558"/>
      <c r="J51" s="558"/>
      <c r="K51" s="558"/>
      <c r="L51" s="558"/>
      <c r="M51" s="558"/>
      <c r="N51" s="558"/>
      <c r="O51" s="558"/>
      <c r="P51" s="558"/>
      <c r="Q51" s="558"/>
      <c r="R51" s="558"/>
      <c r="S51" s="558"/>
      <c r="T51" s="558"/>
      <c r="U51" s="558"/>
      <c r="V51" s="558"/>
      <c r="W51" s="558"/>
      <c r="X51" s="558"/>
      <c r="Y51" s="558"/>
      <c r="Z51" s="558"/>
      <c r="AA51" s="558"/>
      <c r="AB51" s="558"/>
      <c r="AC51" s="558"/>
      <c r="AD51" s="558"/>
      <c r="AE51" s="558"/>
      <c r="AF51" s="558"/>
      <c r="AG51" s="558"/>
      <c r="AH51" s="558"/>
      <c r="AI51" s="558"/>
      <c r="AJ51" s="558"/>
      <c r="AK51" s="558"/>
      <c r="AL51" s="558"/>
      <c r="AM51" s="558"/>
      <c r="AN51" s="558"/>
      <c r="AO51" s="558"/>
      <c r="AP51" s="558"/>
      <c r="AQ51" s="558"/>
      <c r="AR51" s="558"/>
      <c r="AS51" s="558"/>
      <c r="AT51" s="558"/>
      <c r="AU51" s="558"/>
      <c r="AV51" s="558"/>
      <c r="AW51" s="558"/>
      <c r="AX51" s="558"/>
      <c r="AY51" s="558"/>
      <c r="AZ51" s="558"/>
      <c r="BA51" s="558"/>
      <c r="BB51" s="558"/>
      <c r="BC51" s="558"/>
      <c r="BD51" s="558"/>
      <c r="BE51" s="558"/>
      <c r="BF51" s="558"/>
      <c r="BG51" s="558"/>
      <c r="BH51" s="558"/>
      <c r="BI51" s="558"/>
      <c r="BJ51" s="558"/>
      <c r="BK51" s="558"/>
      <c r="BL51" s="558"/>
      <c r="BM51" s="558"/>
      <c r="BN51" s="558"/>
      <c r="BO51" s="558"/>
      <c r="BP51" s="558"/>
      <c r="BQ51" s="558"/>
      <c r="BR51" s="126"/>
      <c r="BS51" s="126"/>
    </row>
    <row r="52" spans="1:71" s="125" customFormat="1" ht="9" customHeight="1" x14ac:dyDescent="0.25">
      <c r="A52" s="558"/>
      <c r="B52" s="558"/>
      <c r="C52" s="558"/>
      <c r="D52" s="558"/>
      <c r="E52" s="558"/>
      <c r="F52" s="558"/>
      <c r="G52" s="558"/>
      <c r="H52" s="558"/>
      <c r="I52" s="558"/>
      <c r="J52" s="558"/>
      <c r="K52" s="558"/>
      <c r="L52" s="558"/>
      <c r="M52" s="558"/>
      <c r="N52" s="558"/>
      <c r="O52" s="558"/>
      <c r="P52" s="558"/>
      <c r="Q52" s="558"/>
      <c r="R52" s="558"/>
      <c r="S52" s="558"/>
      <c r="T52" s="558"/>
      <c r="U52" s="558"/>
      <c r="V52" s="558"/>
      <c r="W52" s="558"/>
      <c r="X52" s="558"/>
      <c r="Y52" s="558"/>
      <c r="Z52" s="558"/>
      <c r="AA52" s="558"/>
      <c r="AB52" s="558"/>
      <c r="AC52" s="558"/>
      <c r="AD52" s="558"/>
      <c r="AE52" s="558"/>
      <c r="AF52" s="558"/>
      <c r="AG52" s="558"/>
      <c r="AH52" s="558"/>
      <c r="AI52" s="558"/>
      <c r="AJ52" s="558"/>
      <c r="AK52" s="558"/>
      <c r="AL52" s="558"/>
      <c r="AM52" s="558"/>
      <c r="AN52" s="558"/>
      <c r="AO52" s="558"/>
      <c r="AP52" s="558"/>
      <c r="AQ52" s="558"/>
      <c r="AR52" s="558"/>
      <c r="AS52" s="558"/>
      <c r="AT52" s="558"/>
      <c r="AU52" s="558"/>
      <c r="AV52" s="558"/>
      <c r="AW52" s="558"/>
      <c r="AX52" s="558"/>
      <c r="AY52" s="558"/>
      <c r="AZ52" s="558"/>
      <c r="BA52" s="558"/>
      <c r="BB52" s="558"/>
      <c r="BC52" s="558"/>
      <c r="BD52" s="558"/>
      <c r="BE52" s="558"/>
      <c r="BF52" s="558"/>
      <c r="BG52" s="558"/>
      <c r="BH52" s="558"/>
      <c r="BI52" s="558"/>
      <c r="BJ52" s="558"/>
      <c r="BK52" s="558"/>
      <c r="BL52" s="558"/>
      <c r="BM52" s="558"/>
      <c r="BN52" s="558"/>
      <c r="BO52" s="558"/>
      <c r="BP52" s="558"/>
      <c r="BQ52" s="558"/>
      <c r="BR52" s="126"/>
      <c r="BS52" s="126"/>
    </row>
    <row r="53" spans="1:71" s="124" customFormat="1" ht="9" customHeight="1" x14ac:dyDescent="0.25">
      <c r="A53" s="558"/>
      <c r="B53" s="558"/>
      <c r="C53" s="558"/>
      <c r="D53" s="558"/>
      <c r="E53" s="558"/>
      <c r="F53" s="558"/>
      <c r="G53" s="558"/>
      <c r="H53" s="558"/>
      <c r="I53" s="558"/>
      <c r="J53" s="558"/>
      <c r="K53" s="558"/>
      <c r="L53" s="558"/>
      <c r="M53" s="558"/>
      <c r="N53" s="558"/>
      <c r="O53" s="558"/>
      <c r="P53" s="558"/>
      <c r="Q53" s="558"/>
      <c r="R53" s="558"/>
      <c r="S53" s="558"/>
      <c r="T53" s="558"/>
      <c r="U53" s="558"/>
      <c r="V53" s="558"/>
      <c r="W53" s="558"/>
      <c r="X53" s="558"/>
      <c r="Y53" s="558"/>
      <c r="Z53" s="558"/>
      <c r="AA53" s="558"/>
      <c r="AB53" s="558"/>
      <c r="AC53" s="558"/>
      <c r="AD53" s="558"/>
      <c r="AE53" s="558"/>
      <c r="AF53" s="558"/>
      <c r="AG53" s="558"/>
      <c r="AH53" s="558"/>
      <c r="AI53" s="558"/>
      <c r="AJ53" s="558"/>
      <c r="AK53" s="558"/>
      <c r="AL53" s="558"/>
      <c r="AM53" s="558"/>
      <c r="AN53" s="558"/>
      <c r="AO53" s="558"/>
      <c r="AP53" s="558"/>
      <c r="AQ53" s="558"/>
      <c r="AR53" s="558"/>
      <c r="AS53" s="558"/>
      <c r="AT53" s="558"/>
      <c r="AU53" s="558"/>
      <c r="AV53" s="558"/>
      <c r="AW53" s="558"/>
      <c r="AX53" s="558"/>
      <c r="AY53" s="558"/>
      <c r="AZ53" s="558"/>
      <c r="BA53" s="558"/>
      <c r="BB53" s="558"/>
      <c r="BC53" s="558"/>
      <c r="BD53" s="558"/>
      <c r="BE53" s="558"/>
      <c r="BF53" s="558"/>
      <c r="BG53" s="558"/>
      <c r="BH53" s="558"/>
      <c r="BI53" s="558"/>
      <c r="BJ53" s="558"/>
      <c r="BK53" s="558"/>
      <c r="BL53" s="558"/>
      <c r="BM53" s="558"/>
      <c r="BN53" s="558"/>
      <c r="BO53" s="558"/>
      <c r="BP53" s="558"/>
      <c r="BQ53" s="558"/>
      <c r="BR53" s="123"/>
      <c r="BS53" s="123"/>
    </row>
    <row r="54" spans="1:71" s="128" customFormat="1" ht="9" customHeight="1" x14ac:dyDescent="0.25">
      <c r="A54" s="558"/>
      <c r="B54" s="558"/>
      <c r="C54" s="558"/>
      <c r="D54" s="558"/>
      <c r="E54" s="558"/>
      <c r="F54" s="558"/>
      <c r="G54" s="558"/>
      <c r="H54" s="558"/>
      <c r="I54" s="558"/>
      <c r="J54" s="558"/>
      <c r="K54" s="558"/>
      <c r="L54" s="558"/>
      <c r="M54" s="558"/>
      <c r="N54" s="558"/>
      <c r="O54" s="558"/>
      <c r="P54" s="558"/>
      <c r="Q54" s="558"/>
      <c r="R54" s="558"/>
      <c r="S54" s="558"/>
      <c r="T54" s="558"/>
      <c r="U54" s="558"/>
      <c r="V54" s="558"/>
      <c r="W54" s="558"/>
      <c r="X54" s="558"/>
      <c r="Y54" s="558"/>
      <c r="Z54" s="558"/>
      <c r="AA54" s="558"/>
      <c r="AB54" s="558"/>
      <c r="AC54" s="558"/>
      <c r="AD54" s="558"/>
      <c r="AE54" s="558"/>
      <c r="AF54" s="558"/>
      <c r="AG54" s="558"/>
      <c r="AH54" s="558"/>
      <c r="AI54" s="558"/>
      <c r="AJ54" s="558"/>
      <c r="AK54" s="558"/>
      <c r="AL54" s="558"/>
      <c r="AM54" s="558"/>
      <c r="AN54" s="558"/>
      <c r="AO54" s="558"/>
      <c r="AP54" s="558"/>
      <c r="AQ54" s="558"/>
      <c r="AR54" s="558"/>
      <c r="AS54" s="558"/>
      <c r="AT54" s="558"/>
      <c r="AU54" s="558"/>
      <c r="AV54" s="558"/>
      <c r="AW54" s="558"/>
      <c r="AX54" s="558"/>
      <c r="AY54" s="558"/>
      <c r="AZ54" s="558"/>
      <c r="BA54" s="558"/>
      <c r="BB54" s="558"/>
      <c r="BC54" s="558"/>
      <c r="BD54" s="558"/>
      <c r="BE54" s="558"/>
      <c r="BF54" s="558"/>
      <c r="BG54" s="558"/>
      <c r="BH54" s="558"/>
      <c r="BI54" s="558"/>
      <c r="BJ54" s="558"/>
      <c r="BK54" s="558"/>
      <c r="BL54" s="558"/>
      <c r="BM54" s="558"/>
      <c r="BN54" s="558"/>
      <c r="BO54" s="558"/>
      <c r="BP54" s="558"/>
      <c r="BQ54" s="558"/>
      <c r="BR54" s="127"/>
      <c r="BS54" s="127"/>
    </row>
    <row r="55" spans="1:71" s="128" customFormat="1" ht="9" customHeight="1" x14ac:dyDescent="0.25">
      <c r="A55" s="558"/>
      <c r="B55" s="558"/>
      <c r="C55" s="558"/>
      <c r="D55" s="558"/>
      <c r="E55" s="558"/>
      <c r="F55" s="558"/>
      <c r="G55" s="558"/>
      <c r="H55" s="558"/>
      <c r="I55" s="558"/>
      <c r="J55" s="558"/>
      <c r="K55" s="558"/>
      <c r="L55" s="558"/>
      <c r="M55" s="558"/>
      <c r="N55" s="558"/>
      <c r="O55" s="558"/>
      <c r="P55" s="558"/>
      <c r="Q55" s="558"/>
      <c r="R55" s="558"/>
      <c r="S55" s="558"/>
      <c r="T55" s="558"/>
      <c r="U55" s="558"/>
      <c r="V55" s="558"/>
      <c r="W55" s="558"/>
      <c r="X55" s="558"/>
      <c r="Y55" s="558"/>
      <c r="Z55" s="558"/>
      <c r="AA55" s="558"/>
      <c r="AB55" s="558"/>
      <c r="AC55" s="558"/>
      <c r="AD55" s="558"/>
      <c r="AE55" s="558"/>
      <c r="AF55" s="558"/>
      <c r="AG55" s="558"/>
      <c r="AH55" s="558"/>
      <c r="AI55" s="558"/>
      <c r="AJ55" s="558"/>
      <c r="AK55" s="558"/>
      <c r="AL55" s="558"/>
      <c r="AM55" s="558"/>
      <c r="AN55" s="558"/>
      <c r="AO55" s="558"/>
      <c r="AP55" s="558"/>
      <c r="AQ55" s="558"/>
      <c r="AR55" s="558"/>
      <c r="AS55" s="558"/>
      <c r="AT55" s="558"/>
      <c r="AU55" s="558"/>
      <c r="AV55" s="558"/>
      <c r="AW55" s="558"/>
      <c r="AX55" s="558"/>
      <c r="AY55" s="558"/>
      <c r="AZ55" s="558"/>
      <c r="BA55" s="558"/>
      <c r="BB55" s="558"/>
      <c r="BC55" s="558"/>
      <c r="BD55" s="558"/>
      <c r="BE55" s="558"/>
      <c r="BF55" s="558"/>
      <c r="BG55" s="558"/>
      <c r="BH55" s="558"/>
      <c r="BI55" s="558"/>
      <c r="BJ55" s="558"/>
      <c r="BK55" s="558"/>
      <c r="BL55" s="558"/>
      <c r="BM55" s="558"/>
      <c r="BN55" s="558"/>
      <c r="BO55" s="558"/>
      <c r="BP55" s="558"/>
      <c r="BQ55" s="558"/>
      <c r="BR55" s="127"/>
      <c r="BS55" s="127"/>
    </row>
    <row r="56" spans="1:71" s="128" customFormat="1" ht="9" customHeight="1" x14ac:dyDescent="0.25">
      <c r="A56" s="558"/>
      <c r="B56" s="558"/>
      <c r="C56" s="558"/>
      <c r="D56" s="558"/>
      <c r="E56" s="558"/>
      <c r="F56" s="558"/>
      <c r="G56" s="558"/>
      <c r="H56" s="558"/>
      <c r="I56" s="558"/>
      <c r="J56" s="558"/>
      <c r="K56" s="558"/>
      <c r="L56" s="558"/>
      <c r="M56" s="558"/>
      <c r="N56" s="558"/>
      <c r="O56" s="558"/>
      <c r="P56" s="558"/>
      <c r="Q56" s="558"/>
      <c r="R56" s="558"/>
      <c r="S56" s="558"/>
      <c r="T56" s="558"/>
      <c r="U56" s="558"/>
      <c r="V56" s="558"/>
      <c r="W56" s="558"/>
      <c r="X56" s="558"/>
      <c r="Y56" s="558"/>
      <c r="Z56" s="558"/>
      <c r="AA56" s="558"/>
      <c r="AB56" s="558"/>
      <c r="AC56" s="558"/>
      <c r="AD56" s="558"/>
      <c r="AE56" s="558"/>
      <c r="AF56" s="558"/>
      <c r="AG56" s="558"/>
      <c r="AH56" s="558"/>
      <c r="AI56" s="558"/>
      <c r="AJ56" s="558"/>
      <c r="AK56" s="558"/>
      <c r="AL56" s="558"/>
      <c r="AM56" s="558"/>
      <c r="AN56" s="558"/>
      <c r="AO56" s="558"/>
      <c r="AP56" s="558"/>
      <c r="AQ56" s="558"/>
      <c r="AR56" s="558"/>
      <c r="AS56" s="558"/>
      <c r="AT56" s="558"/>
      <c r="AU56" s="558"/>
      <c r="AV56" s="558"/>
      <c r="AW56" s="558"/>
      <c r="AX56" s="558"/>
      <c r="AY56" s="558"/>
      <c r="AZ56" s="558"/>
      <c r="BA56" s="558"/>
      <c r="BB56" s="558"/>
      <c r="BC56" s="558"/>
      <c r="BD56" s="558"/>
      <c r="BE56" s="558"/>
      <c r="BF56" s="558"/>
      <c r="BG56" s="558"/>
      <c r="BH56" s="558"/>
      <c r="BI56" s="558"/>
      <c r="BJ56" s="558"/>
      <c r="BK56" s="558"/>
      <c r="BL56" s="558"/>
      <c r="BM56" s="558"/>
      <c r="BN56" s="558"/>
      <c r="BO56" s="558"/>
      <c r="BP56" s="558"/>
      <c r="BQ56" s="558"/>
      <c r="BR56" s="127"/>
      <c r="BS56" s="127"/>
    </row>
    <row r="57" spans="1:71" s="128" customFormat="1" ht="9" customHeight="1" x14ac:dyDescent="0.25">
      <c r="A57" s="558"/>
      <c r="B57" s="558"/>
      <c r="C57" s="558"/>
      <c r="D57" s="558"/>
      <c r="E57" s="558"/>
      <c r="F57" s="558"/>
      <c r="G57" s="558"/>
      <c r="H57" s="558"/>
      <c r="I57" s="558"/>
      <c r="J57" s="558"/>
      <c r="K57" s="558"/>
      <c r="L57" s="558"/>
      <c r="M57" s="558"/>
      <c r="N57" s="558"/>
      <c r="O57" s="558"/>
      <c r="P57" s="558"/>
      <c r="Q57" s="558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8"/>
      <c r="AH57" s="558"/>
      <c r="AI57" s="558"/>
      <c r="AJ57" s="558"/>
      <c r="AK57" s="558"/>
      <c r="AL57" s="558"/>
      <c r="AM57" s="558"/>
      <c r="AN57" s="558"/>
      <c r="AO57" s="558"/>
      <c r="AP57" s="558"/>
      <c r="AQ57" s="558"/>
      <c r="AR57" s="558"/>
      <c r="AS57" s="558"/>
      <c r="AT57" s="558"/>
      <c r="AU57" s="558"/>
      <c r="AV57" s="558"/>
      <c r="AW57" s="558"/>
      <c r="AX57" s="558"/>
      <c r="AY57" s="558"/>
      <c r="AZ57" s="558"/>
      <c r="BA57" s="558"/>
      <c r="BB57" s="558"/>
      <c r="BC57" s="558"/>
      <c r="BD57" s="558"/>
      <c r="BE57" s="558"/>
      <c r="BF57" s="558"/>
      <c r="BG57" s="558"/>
      <c r="BH57" s="558"/>
      <c r="BI57" s="558"/>
      <c r="BJ57" s="558"/>
      <c r="BK57" s="558"/>
      <c r="BL57" s="558"/>
      <c r="BM57" s="558"/>
      <c r="BN57" s="558"/>
      <c r="BO57" s="558"/>
      <c r="BP57" s="558"/>
      <c r="BQ57" s="558"/>
      <c r="BR57" s="127"/>
      <c r="BS57" s="127"/>
    </row>
    <row r="58" spans="1:71" s="128" customFormat="1" ht="9" customHeight="1" x14ac:dyDescent="0.25">
      <c r="A58" s="558"/>
      <c r="B58" s="558"/>
      <c r="C58" s="558"/>
      <c r="D58" s="558"/>
      <c r="E58" s="558"/>
      <c r="F58" s="558"/>
      <c r="G58" s="558"/>
      <c r="H58" s="558"/>
      <c r="I58" s="558"/>
      <c r="J58" s="558"/>
      <c r="K58" s="558"/>
      <c r="L58" s="558"/>
      <c r="M58" s="558"/>
      <c r="N58" s="558"/>
      <c r="O58" s="558"/>
      <c r="P58" s="558"/>
      <c r="Q58" s="558"/>
      <c r="R58" s="558"/>
      <c r="S58" s="558"/>
      <c r="T58" s="558"/>
      <c r="U58" s="558"/>
      <c r="V58" s="558"/>
      <c r="W58" s="558"/>
      <c r="X58" s="558"/>
      <c r="Y58" s="558"/>
      <c r="Z58" s="558"/>
      <c r="AA58" s="558"/>
      <c r="AB58" s="558"/>
      <c r="AC58" s="558"/>
      <c r="AD58" s="558"/>
      <c r="AE58" s="558"/>
      <c r="AF58" s="558"/>
      <c r="AG58" s="558"/>
      <c r="AH58" s="558"/>
      <c r="AI58" s="558"/>
      <c r="AJ58" s="558"/>
      <c r="AK58" s="558"/>
      <c r="AL58" s="558"/>
      <c r="AM58" s="558"/>
      <c r="AN58" s="558"/>
      <c r="AO58" s="558"/>
      <c r="AP58" s="558"/>
      <c r="AQ58" s="558"/>
      <c r="AR58" s="558"/>
      <c r="AS58" s="558"/>
      <c r="AT58" s="558"/>
      <c r="AU58" s="558"/>
      <c r="AV58" s="558"/>
      <c r="AW58" s="558"/>
      <c r="AX58" s="558"/>
      <c r="AY58" s="558"/>
      <c r="AZ58" s="558"/>
      <c r="BA58" s="558"/>
      <c r="BB58" s="558"/>
      <c r="BC58" s="558"/>
      <c r="BD58" s="558"/>
      <c r="BE58" s="558"/>
      <c r="BF58" s="558"/>
      <c r="BG58" s="558"/>
      <c r="BH58" s="558"/>
      <c r="BI58" s="558"/>
      <c r="BJ58" s="558"/>
      <c r="BK58" s="558"/>
      <c r="BL58" s="558"/>
      <c r="BM58" s="558"/>
      <c r="BN58" s="558"/>
      <c r="BO58" s="558"/>
      <c r="BP58" s="558"/>
      <c r="BQ58" s="558"/>
      <c r="BR58" s="127"/>
      <c r="BS58" s="127"/>
    </row>
    <row r="59" spans="1:71" s="124" customFormat="1" ht="9" customHeight="1" x14ac:dyDescent="0.25">
      <c r="A59" s="558"/>
      <c r="B59" s="558"/>
      <c r="C59" s="558"/>
      <c r="D59" s="558"/>
      <c r="E59" s="558"/>
      <c r="F59" s="558"/>
      <c r="G59" s="558"/>
      <c r="H59" s="558"/>
      <c r="I59" s="558"/>
      <c r="J59" s="558"/>
      <c r="K59" s="558"/>
      <c r="L59" s="558"/>
      <c r="M59" s="558"/>
      <c r="N59" s="558"/>
      <c r="O59" s="558"/>
      <c r="P59" s="558"/>
      <c r="Q59" s="558"/>
      <c r="R59" s="558"/>
      <c r="S59" s="558"/>
      <c r="T59" s="558"/>
      <c r="U59" s="558"/>
      <c r="V59" s="558"/>
      <c r="W59" s="558"/>
      <c r="X59" s="558"/>
      <c r="Y59" s="558"/>
      <c r="Z59" s="558"/>
      <c r="AA59" s="558"/>
      <c r="AB59" s="558"/>
      <c r="AC59" s="558"/>
      <c r="AD59" s="558"/>
      <c r="AE59" s="558"/>
      <c r="AF59" s="558"/>
      <c r="AG59" s="558"/>
      <c r="AH59" s="558"/>
      <c r="AI59" s="558"/>
      <c r="AJ59" s="558"/>
      <c r="AK59" s="558"/>
      <c r="AL59" s="558"/>
      <c r="AM59" s="558"/>
      <c r="AN59" s="558"/>
      <c r="AO59" s="558"/>
      <c r="AP59" s="558"/>
      <c r="AQ59" s="558"/>
      <c r="AR59" s="558"/>
      <c r="AS59" s="558"/>
      <c r="AT59" s="558"/>
      <c r="AU59" s="558"/>
      <c r="AV59" s="558"/>
      <c r="AW59" s="558"/>
      <c r="AX59" s="558"/>
      <c r="AY59" s="558"/>
      <c r="AZ59" s="558"/>
      <c r="BA59" s="558"/>
      <c r="BB59" s="558"/>
      <c r="BC59" s="558"/>
      <c r="BD59" s="558"/>
      <c r="BE59" s="558"/>
      <c r="BF59" s="558"/>
      <c r="BG59" s="558"/>
      <c r="BH59" s="558"/>
      <c r="BI59" s="558"/>
      <c r="BJ59" s="558"/>
      <c r="BK59" s="558"/>
      <c r="BL59" s="558"/>
      <c r="BM59" s="558"/>
      <c r="BN59" s="558"/>
      <c r="BO59" s="558"/>
      <c r="BP59" s="558"/>
      <c r="BQ59" s="558"/>
      <c r="BR59" s="123"/>
      <c r="BS59" s="123"/>
    </row>
    <row r="60" spans="1:71" s="124" customFormat="1" ht="9" customHeight="1" x14ac:dyDescent="0.25">
      <c r="A60" s="558"/>
      <c r="B60" s="558"/>
      <c r="C60" s="558"/>
      <c r="D60" s="558"/>
      <c r="E60" s="558"/>
      <c r="F60" s="558"/>
      <c r="G60" s="558"/>
      <c r="H60" s="558"/>
      <c r="I60" s="558"/>
      <c r="J60" s="558"/>
      <c r="K60" s="558"/>
      <c r="L60" s="558"/>
      <c r="M60" s="558"/>
      <c r="N60" s="558"/>
      <c r="O60" s="558"/>
      <c r="P60" s="558"/>
      <c r="Q60" s="558"/>
      <c r="R60" s="558"/>
      <c r="S60" s="558"/>
      <c r="T60" s="558"/>
      <c r="U60" s="558"/>
      <c r="V60" s="558"/>
      <c r="W60" s="558"/>
      <c r="X60" s="558"/>
      <c r="Y60" s="558"/>
      <c r="Z60" s="558"/>
      <c r="AA60" s="558"/>
      <c r="AB60" s="558"/>
      <c r="AC60" s="558"/>
      <c r="AD60" s="558"/>
      <c r="AE60" s="558"/>
      <c r="AF60" s="558"/>
      <c r="AG60" s="558"/>
      <c r="AH60" s="558"/>
      <c r="AI60" s="558"/>
      <c r="AJ60" s="558"/>
      <c r="AK60" s="558"/>
      <c r="AL60" s="558"/>
      <c r="AM60" s="558"/>
      <c r="AN60" s="558"/>
      <c r="AO60" s="558"/>
      <c r="AP60" s="558"/>
      <c r="AQ60" s="558"/>
      <c r="AR60" s="558"/>
      <c r="AS60" s="558"/>
      <c r="AT60" s="558"/>
      <c r="AU60" s="558"/>
      <c r="AV60" s="558"/>
      <c r="AW60" s="558"/>
      <c r="AX60" s="558"/>
      <c r="AY60" s="558"/>
      <c r="AZ60" s="558"/>
      <c r="BA60" s="558"/>
      <c r="BB60" s="558"/>
      <c r="BC60" s="558"/>
      <c r="BD60" s="558"/>
      <c r="BE60" s="558"/>
      <c r="BF60" s="558"/>
      <c r="BG60" s="558"/>
      <c r="BH60" s="558"/>
      <c r="BI60" s="558"/>
      <c r="BJ60" s="558"/>
      <c r="BK60" s="558"/>
      <c r="BL60" s="558"/>
      <c r="BM60" s="558"/>
      <c r="BN60" s="558"/>
      <c r="BO60" s="558"/>
      <c r="BP60" s="558"/>
      <c r="BQ60" s="558"/>
      <c r="BR60" s="123"/>
      <c r="BS60" s="123"/>
    </row>
    <row r="61" spans="1:71" s="124" customFormat="1" ht="9" customHeight="1" x14ac:dyDescent="0.25">
      <c r="A61" s="558"/>
      <c r="B61" s="558"/>
      <c r="C61" s="558"/>
      <c r="D61" s="558"/>
      <c r="E61" s="558"/>
      <c r="F61" s="558"/>
      <c r="G61" s="558"/>
      <c r="H61" s="558"/>
      <c r="I61" s="558"/>
      <c r="J61" s="558"/>
      <c r="K61" s="558"/>
      <c r="L61" s="558"/>
      <c r="M61" s="558"/>
      <c r="N61" s="558"/>
      <c r="O61" s="558"/>
      <c r="P61" s="558"/>
      <c r="Q61" s="558"/>
      <c r="R61" s="558"/>
      <c r="S61" s="558"/>
      <c r="T61" s="558"/>
      <c r="U61" s="558"/>
      <c r="V61" s="558"/>
      <c r="W61" s="558"/>
      <c r="X61" s="558"/>
      <c r="Y61" s="558"/>
      <c r="Z61" s="558"/>
      <c r="AA61" s="558"/>
      <c r="AB61" s="558"/>
      <c r="AC61" s="558"/>
      <c r="AD61" s="558"/>
      <c r="AE61" s="558"/>
      <c r="AF61" s="558"/>
      <c r="AG61" s="558"/>
      <c r="AH61" s="558"/>
      <c r="AI61" s="558"/>
      <c r="AJ61" s="558"/>
      <c r="AK61" s="558"/>
      <c r="AL61" s="558"/>
      <c r="AM61" s="558"/>
      <c r="AN61" s="558"/>
      <c r="AO61" s="558"/>
      <c r="AP61" s="558"/>
      <c r="AQ61" s="558"/>
      <c r="AR61" s="558"/>
      <c r="AS61" s="558"/>
      <c r="AT61" s="558"/>
      <c r="AU61" s="558"/>
      <c r="AV61" s="558"/>
      <c r="AW61" s="558"/>
      <c r="AX61" s="558"/>
      <c r="AY61" s="558"/>
      <c r="AZ61" s="558"/>
      <c r="BA61" s="558"/>
      <c r="BB61" s="558"/>
      <c r="BC61" s="558"/>
      <c r="BD61" s="558"/>
      <c r="BE61" s="558"/>
      <c r="BF61" s="558"/>
      <c r="BG61" s="558"/>
      <c r="BH61" s="558"/>
      <c r="BI61" s="558"/>
      <c r="BJ61" s="558"/>
      <c r="BK61" s="558"/>
      <c r="BL61" s="558"/>
      <c r="BM61" s="558"/>
      <c r="BN61" s="558"/>
      <c r="BO61" s="558"/>
      <c r="BP61" s="558"/>
      <c r="BQ61" s="558"/>
      <c r="BR61" s="123"/>
      <c r="BS61" s="123"/>
    </row>
    <row r="62" spans="1:71" s="124" customFormat="1" ht="10.5" customHeight="1" x14ac:dyDescent="0.25">
      <c r="A62" s="558"/>
      <c r="B62" s="558"/>
      <c r="C62" s="558"/>
      <c r="D62" s="558"/>
      <c r="E62" s="558"/>
      <c r="F62" s="558"/>
      <c r="G62" s="558"/>
      <c r="H62" s="558"/>
      <c r="I62" s="558"/>
      <c r="J62" s="558"/>
      <c r="K62" s="558"/>
      <c r="L62" s="558"/>
      <c r="M62" s="558"/>
      <c r="N62" s="558"/>
      <c r="O62" s="558"/>
      <c r="P62" s="558"/>
      <c r="Q62" s="558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558"/>
      <c r="AH62" s="558"/>
      <c r="AI62" s="558"/>
      <c r="AJ62" s="558"/>
      <c r="AK62" s="558"/>
      <c r="AL62" s="558"/>
      <c r="AM62" s="558"/>
      <c r="AN62" s="558"/>
      <c r="AO62" s="558"/>
      <c r="AP62" s="558"/>
      <c r="AQ62" s="558"/>
      <c r="AR62" s="558"/>
      <c r="AS62" s="558"/>
      <c r="AT62" s="558"/>
      <c r="AU62" s="558"/>
      <c r="AV62" s="558"/>
      <c r="AW62" s="558"/>
      <c r="AX62" s="558"/>
      <c r="AY62" s="558"/>
      <c r="AZ62" s="558"/>
      <c r="BA62" s="558"/>
      <c r="BB62" s="558"/>
      <c r="BC62" s="558"/>
      <c r="BD62" s="558"/>
      <c r="BE62" s="558"/>
      <c r="BF62" s="558"/>
      <c r="BG62" s="558"/>
      <c r="BH62" s="558"/>
      <c r="BI62" s="558"/>
      <c r="BJ62" s="558"/>
      <c r="BK62" s="558"/>
      <c r="BL62" s="558"/>
      <c r="BM62" s="558"/>
      <c r="BN62" s="558"/>
      <c r="BO62" s="558"/>
      <c r="BP62" s="558"/>
      <c r="BQ62" s="558"/>
      <c r="BR62" s="123"/>
      <c r="BS62" s="123"/>
    </row>
    <row r="63" spans="1:71" s="124" customFormat="1" ht="9" customHeight="1" x14ac:dyDescent="0.25">
      <c r="A63" s="558"/>
      <c r="B63" s="558"/>
      <c r="C63" s="558"/>
      <c r="D63" s="558"/>
      <c r="E63" s="558"/>
      <c r="F63" s="558"/>
      <c r="G63" s="558"/>
      <c r="H63" s="558"/>
      <c r="I63" s="558"/>
      <c r="J63" s="558"/>
      <c r="K63" s="558"/>
      <c r="L63" s="558"/>
      <c r="M63" s="558"/>
      <c r="N63" s="558"/>
      <c r="O63" s="558"/>
      <c r="P63" s="558"/>
      <c r="Q63" s="558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558"/>
      <c r="AH63" s="558"/>
      <c r="AI63" s="558"/>
      <c r="AJ63" s="558"/>
      <c r="AK63" s="558"/>
      <c r="AL63" s="558"/>
      <c r="AM63" s="558"/>
      <c r="AN63" s="558"/>
      <c r="AO63" s="558"/>
      <c r="AP63" s="558"/>
      <c r="AQ63" s="558"/>
      <c r="AR63" s="558"/>
      <c r="AS63" s="558"/>
      <c r="AT63" s="558"/>
      <c r="AU63" s="558"/>
      <c r="AV63" s="558"/>
      <c r="AW63" s="558"/>
      <c r="AX63" s="558"/>
      <c r="AY63" s="558"/>
      <c r="AZ63" s="558"/>
      <c r="BA63" s="558"/>
      <c r="BB63" s="558"/>
      <c r="BC63" s="558"/>
      <c r="BD63" s="558"/>
      <c r="BE63" s="558"/>
      <c r="BF63" s="558"/>
      <c r="BG63" s="558"/>
      <c r="BH63" s="558"/>
      <c r="BI63" s="558"/>
      <c r="BJ63" s="558"/>
      <c r="BK63" s="558"/>
      <c r="BL63" s="558"/>
      <c r="BM63" s="558"/>
      <c r="BN63" s="558"/>
      <c r="BO63" s="558"/>
      <c r="BP63" s="558"/>
      <c r="BQ63" s="558"/>
      <c r="BR63" s="123"/>
      <c r="BS63" s="123"/>
    </row>
    <row r="64" spans="1:71" s="124" customFormat="1" ht="9" customHeight="1" x14ac:dyDescent="0.25">
      <c r="A64" s="558"/>
      <c r="B64" s="558"/>
      <c r="C64" s="558"/>
      <c r="D64" s="558"/>
      <c r="E64" s="558"/>
      <c r="F64" s="558"/>
      <c r="G64" s="558"/>
      <c r="H64" s="558"/>
      <c r="I64" s="558"/>
      <c r="J64" s="558"/>
      <c r="K64" s="558"/>
      <c r="L64" s="558"/>
      <c r="M64" s="558"/>
      <c r="N64" s="558"/>
      <c r="O64" s="558"/>
      <c r="P64" s="558"/>
      <c r="Q64" s="558"/>
      <c r="R64" s="558"/>
      <c r="S64" s="558"/>
      <c r="T64" s="558"/>
      <c r="U64" s="558"/>
      <c r="V64" s="558"/>
      <c r="W64" s="558"/>
      <c r="X64" s="558"/>
      <c r="Y64" s="558"/>
      <c r="Z64" s="558"/>
      <c r="AA64" s="558"/>
      <c r="AB64" s="558"/>
      <c r="AC64" s="558"/>
      <c r="AD64" s="558"/>
      <c r="AE64" s="558"/>
      <c r="AF64" s="558"/>
      <c r="AG64" s="558"/>
      <c r="AH64" s="558"/>
      <c r="AI64" s="558"/>
      <c r="AJ64" s="558"/>
      <c r="AK64" s="558"/>
      <c r="AL64" s="558"/>
      <c r="AM64" s="558"/>
      <c r="AN64" s="558"/>
      <c r="AO64" s="558"/>
      <c r="AP64" s="558"/>
      <c r="AQ64" s="558"/>
      <c r="AR64" s="558"/>
      <c r="AS64" s="558"/>
      <c r="AT64" s="558"/>
      <c r="AU64" s="558"/>
      <c r="AV64" s="558"/>
      <c r="AW64" s="558"/>
      <c r="AX64" s="558"/>
      <c r="AY64" s="558"/>
      <c r="AZ64" s="558"/>
      <c r="BA64" s="558"/>
      <c r="BB64" s="558"/>
      <c r="BC64" s="558"/>
      <c r="BD64" s="558"/>
      <c r="BE64" s="558"/>
      <c r="BF64" s="558"/>
      <c r="BG64" s="558"/>
      <c r="BH64" s="558"/>
      <c r="BI64" s="558"/>
      <c r="BJ64" s="558"/>
      <c r="BK64" s="558"/>
      <c r="BL64" s="558"/>
      <c r="BM64" s="558"/>
      <c r="BN64" s="558"/>
      <c r="BO64" s="558"/>
      <c r="BP64" s="558"/>
      <c r="BQ64" s="558"/>
      <c r="BR64" s="123"/>
      <c r="BS64" s="123"/>
    </row>
    <row r="65" spans="1:79" s="124" customFormat="1" ht="9" customHeight="1" x14ac:dyDescent="0.25">
      <c r="A65" s="558"/>
      <c r="B65" s="558"/>
      <c r="C65" s="558"/>
      <c r="D65" s="558"/>
      <c r="E65" s="558"/>
      <c r="F65" s="558"/>
      <c r="G65" s="558"/>
      <c r="H65" s="558"/>
      <c r="I65" s="558"/>
      <c r="J65" s="558"/>
      <c r="K65" s="558"/>
      <c r="L65" s="558"/>
      <c r="M65" s="558"/>
      <c r="N65" s="558"/>
      <c r="O65" s="558"/>
      <c r="P65" s="558"/>
      <c r="Q65" s="558"/>
      <c r="R65" s="558"/>
      <c r="S65" s="558"/>
      <c r="T65" s="558"/>
      <c r="U65" s="558"/>
      <c r="V65" s="558"/>
      <c r="W65" s="558"/>
      <c r="X65" s="558"/>
      <c r="Y65" s="558"/>
      <c r="Z65" s="558"/>
      <c r="AA65" s="558"/>
      <c r="AB65" s="558"/>
      <c r="AC65" s="558"/>
      <c r="AD65" s="558"/>
      <c r="AE65" s="558"/>
      <c r="AF65" s="558"/>
      <c r="AG65" s="558"/>
      <c r="AH65" s="558"/>
      <c r="AI65" s="558"/>
      <c r="AJ65" s="558"/>
      <c r="AK65" s="558"/>
      <c r="AL65" s="558"/>
      <c r="AM65" s="558"/>
      <c r="AN65" s="558"/>
      <c r="AO65" s="558"/>
      <c r="AP65" s="558"/>
      <c r="AQ65" s="558"/>
      <c r="AR65" s="558"/>
      <c r="AS65" s="558"/>
      <c r="AT65" s="558"/>
      <c r="AU65" s="558"/>
      <c r="AV65" s="558"/>
      <c r="AW65" s="558"/>
      <c r="AX65" s="558"/>
      <c r="AY65" s="558"/>
      <c r="AZ65" s="558"/>
      <c r="BA65" s="558"/>
      <c r="BB65" s="558"/>
      <c r="BC65" s="558"/>
      <c r="BD65" s="558"/>
      <c r="BE65" s="558"/>
      <c r="BF65" s="558"/>
      <c r="BG65" s="558"/>
      <c r="BH65" s="558"/>
      <c r="BI65" s="558"/>
      <c r="BJ65" s="558"/>
      <c r="BK65" s="558"/>
      <c r="BL65" s="558"/>
      <c r="BM65" s="558"/>
      <c r="BN65" s="558"/>
      <c r="BO65" s="558"/>
      <c r="BP65" s="558"/>
      <c r="BQ65" s="558"/>
      <c r="BR65" s="123"/>
      <c r="BS65" s="123"/>
    </row>
    <row r="66" spans="1:79" s="124" customFormat="1" ht="9" customHeight="1" x14ac:dyDescent="0.25">
      <c r="A66" s="558"/>
      <c r="B66" s="558"/>
      <c r="C66" s="558"/>
      <c r="D66" s="558"/>
      <c r="E66" s="558"/>
      <c r="F66" s="558"/>
      <c r="G66" s="558"/>
      <c r="H66" s="558"/>
      <c r="I66" s="558"/>
      <c r="J66" s="558"/>
      <c r="K66" s="558"/>
      <c r="L66" s="558"/>
      <c r="M66" s="558"/>
      <c r="N66" s="558"/>
      <c r="O66" s="558"/>
      <c r="P66" s="558"/>
      <c r="Q66" s="558"/>
      <c r="R66" s="558"/>
      <c r="S66" s="558"/>
      <c r="T66" s="558"/>
      <c r="U66" s="558"/>
      <c r="V66" s="558"/>
      <c r="W66" s="558"/>
      <c r="X66" s="558"/>
      <c r="Y66" s="558"/>
      <c r="Z66" s="558"/>
      <c r="AA66" s="558"/>
      <c r="AB66" s="558"/>
      <c r="AC66" s="558"/>
      <c r="AD66" s="558"/>
      <c r="AE66" s="558"/>
      <c r="AF66" s="558"/>
      <c r="AG66" s="558"/>
      <c r="AH66" s="558"/>
      <c r="AI66" s="558"/>
      <c r="AJ66" s="558"/>
      <c r="AK66" s="558"/>
      <c r="AL66" s="558"/>
      <c r="AM66" s="558"/>
      <c r="AN66" s="558"/>
      <c r="AO66" s="558"/>
      <c r="AP66" s="558"/>
      <c r="AQ66" s="558"/>
      <c r="AR66" s="558"/>
      <c r="AS66" s="558"/>
      <c r="AT66" s="558"/>
      <c r="AU66" s="558"/>
      <c r="AV66" s="558"/>
      <c r="AW66" s="558"/>
      <c r="AX66" s="558"/>
      <c r="AY66" s="558"/>
      <c r="AZ66" s="558"/>
      <c r="BA66" s="558"/>
      <c r="BB66" s="558"/>
      <c r="BC66" s="558"/>
      <c r="BD66" s="558"/>
      <c r="BE66" s="558"/>
      <c r="BF66" s="558"/>
      <c r="BG66" s="558"/>
      <c r="BH66" s="558"/>
      <c r="BI66" s="558"/>
      <c r="BJ66" s="558"/>
      <c r="BK66" s="558"/>
      <c r="BL66" s="558"/>
      <c r="BM66" s="558"/>
      <c r="BN66" s="558"/>
      <c r="BO66" s="558"/>
      <c r="BP66" s="558"/>
      <c r="BQ66" s="558"/>
      <c r="BR66" s="123"/>
      <c r="BS66" s="123"/>
    </row>
    <row r="67" spans="1:79" s="124" customFormat="1" ht="9" customHeight="1" x14ac:dyDescent="0.25">
      <c r="A67" s="558"/>
      <c r="B67" s="558"/>
      <c r="C67" s="558"/>
      <c r="D67" s="558"/>
      <c r="E67" s="558"/>
      <c r="F67" s="558"/>
      <c r="G67" s="558"/>
      <c r="H67" s="558"/>
      <c r="I67" s="558"/>
      <c r="J67" s="558"/>
      <c r="K67" s="558"/>
      <c r="L67" s="558"/>
      <c r="M67" s="558"/>
      <c r="N67" s="558"/>
      <c r="O67" s="558"/>
      <c r="P67" s="558"/>
      <c r="Q67" s="558"/>
      <c r="R67" s="558"/>
      <c r="S67" s="558"/>
      <c r="T67" s="558"/>
      <c r="U67" s="558"/>
      <c r="V67" s="558"/>
      <c r="W67" s="558"/>
      <c r="X67" s="558"/>
      <c r="Y67" s="558"/>
      <c r="Z67" s="558"/>
      <c r="AA67" s="558"/>
      <c r="AB67" s="558"/>
      <c r="AC67" s="558"/>
      <c r="AD67" s="558"/>
      <c r="AE67" s="558"/>
      <c r="AF67" s="558"/>
      <c r="AG67" s="558"/>
      <c r="AH67" s="558"/>
      <c r="AI67" s="558"/>
      <c r="AJ67" s="558"/>
      <c r="AK67" s="558"/>
      <c r="AL67" s="558"/>
      <c r="AM67" s="558"/>
      <c r="AN67" s="558"/>
      <c r="AO67" s="558"/>
      <c r="AP67" s="558"/>
      <c r="AQ67" s="558"/>
      <c r="AR67" s="558"/>
      <c r="AS67" s="558"/>
      <c r="AT67" s="558"/>
      <c r="AU67" s="558"/>
      <c r="AV67" s="558"/>
      <c r="AW67" s="558"/>
      <c r="AX67" s="558"/>
      <c r="AY67" s="558"/>
      <c r="AZ67" s="558"/>
      <c r="BA67" s="558"/>
      <c r="BB67" s="558"/>
      <c r="BC67" s="558"/>
      <c r="BD67" s="558"/>
      <c r="BE67" s="558"/>
      <c r="BF67" s="558"/>
      <c r="BG67" s="558"/>
      <c r="BH67" s="558"/>
      <c r="BI67" s="558"/>
      <c r="BJ67" s="558"/>
      <c r="BK67" s="558"/>
      <c r="BL67" s="558"/>
      <c r="BM67" s="558"/>
      <c r="BN67" s="558"/>
      <c r="BO67" s="558"/>
      <c r="BP67" s="558"/>
      <c r="BQ67" s="558"/>
      <c r="BR67" s="123"/>
      <c r="BS67" s="123"/>
    </row>
    <row r="68" spans="1:79" s="124" customFormat="1" ht="9" customHeight="1" x14ac:dyDescent="0.25">
      <c r="A68" s="558"/>
      <c r="B68" s="558"/>
      <c r="C68" s="558"/>
      <c r="D68" s="558"/>
      <c r="E68" s="558"/>
      <c r="F68" s="558"/>
      <c r="G68" s="558"/>
      <c r="H68" s="558"/>
      <c r="I68" s="558"/>
      <c r="J68" s="558"/>
      <c r="K68" s="558"/>
      <c r="L68" s="558"/>
      <c r="M68" s="558"/>
      <c r="N68" s="558"/>
      <c r="O68" s="558"/>
      <c r="P68" s="558"/>
      <c r="Q68" s="558"/>
      <c r="R68" s="558"/>
      <c r="S68" s="558"/>
      <c r="T68" s="558"/>
      <c r="U68" s="558"/>
      <c r="V68" s="558"/>
      <c r="W68" s="558"/>
      <c r="X68" s="558"/>
      <c r="Y68" s="558"/>
      <c r="Z68" s="558"/>
      <c r="AA68" s="558"/>
      <c r="AB68" s="558"/>
      <c r="AC68" s="558"/>
      <c r="AD68" s="558"/>
      <c r="AE68" s="558"/>
      <c r="AF68" s="558"/>
      <c r="AG68" s="558"/>
      <c r="AH68" s="558"/>
      <c r="AI68" s="558"/>
      <c r="AJ68" s="558"/>
      <c r="AK68" s="558"/>
      <c r="AL68" s="558"/>
      <c r="AM68" s="558"/>
      <c r="AN68" s="558"/>
      <c r="AO68" s="558"/>
      <c r="AP68" s="558"/>
      <c r="AQ68" s="558"/>
      <c r="AR68" s="558"/>
      <c r="AS68" s="558"/>
      <c r="AT68" s="558"/>
      <c r="AU68" s="558"/>
      <c r="AV68" s="558"/>
      <c r="AW68" s="558"/>
      <c r="AX68" s="558"/>
      <c r="AY68" s="558"/>
      <c r="AZ68" s="558"/>
      <c r="BA68" s="558"/>
      <c r="BB68" s="558"/>
      <c r="BC68" s="558"/>
      <c r="BD68" s="558"/>
      <c r="BE68" s="558"/>
      <c r="BF68" s="558"/>
      <c r="BG68" s="558"/>
      <c r="BH68" s="558"/>
      <c r="BI68" s="558"/>
      <c r="BJ68" s="558"/>
      <c r="BK68" s="558"/>
      <c r="BL68" s="558"/>
      <c r="BM68" s="558"/>
      <c r="BN68" s="558"/>
      <c r="BO68" s="558"/>
      <c r="BP68" s="558"/>
      <c r="BQ68" s="558"/>
      <c r="BR68" s="123"/>
      <c r="BS68" s="123"/>
    </row>
    <row r="69" spans="1:79" s="124" customFormat="1" ht="9" customHeight="1" x14ac:dyDescent="0.25">
      <c r="A69" s="558"/>
      <c r="B69" s="558"/>
      <c r="C69" s="558"/>
      <c r="D69" s="558"/>
      <c r="E69" s="558"/>
      <c r="F69" s="558"/>
      <c r="G69" s="558"/>
      <c r="H69" s="558"/>
      <c r="I69" s="558"/>
      <c r="J69" s="558"/>
      <c r="K69" s="558"/>
      <c r="L69" s="558"/>
      <c r="M69" s="558"/>
      <c r="N69" s="558"/>
      <c r="O69" s="558"/>
      <c r="P69" s="558"/>
      <c r="Q69" s="558"/>
      <c r="R69" s="558"/>
      <c r="S69" s="558"/>
      <c r="T69" s="558"/>
      <c r="U69" s="558"/>
      <c r="V69" s="558"/>
      <c r="W69" s="558"/>
      <c r="X69" s="558"/>
      <c r="Y69" s="558"/>
      <c r="Z69" s="558"/>
      <c r="AA69" s="558"/>
      <c r="AB69" s="558"/>
      <c r="AC69" s="558"/>
      <c r="AD69" s="558"/>
      <c r="AE69" s="558"/>
      <c r="AF69" s="558"/>
      <c r="AG69" s="558"/>
      <c r="AH69" s="558"/>
      <c r="AI69" s="558"/>
      <c r="AJ69" s="558"/>
      <c r="AK69" s="558"/>
      <c r="AL69" s="558"/>
      <c r="AM69" s="558"/>
      <c r="AN69" s="558"/>
      <c r="AO69" s="558"/>
      <c r="AP69" s="558"/>
      <c r="AQ69" s="558"/>
      <c r="AR69" s="558"/>
      <c r="AS69" s="558"/>
      <c r="AT69" s="558"/>
      <c r="AU69" s="558"/>
      <c r="AV69" s="558"/>
      <c r="AW69" s="558"/>
      <c r="AX69" s="558"/>
      <c r="AY69" s="558"/>
      <c r="AZ69" s="558"/>
      <c r="BA69" s="558"/>
      <c r="BB69" s="558"/>
      <c r="BC69" s="558"/>
      <c r="BD69" s="558"/>
      <c r="BE69" s="558"/>
      <c r="BF69" s="558"/>
      <c r="BG69" s="558"/>
      <c r="BH69" s="558"/>
      <c r="BI69" s="558"/>
      <c r="BJ69" s="558"/>
      <c r="BK69" s="558"/>
      <c r="BL69" s="558"/>
      <c r="BM69" s="558"/>
      <c r="BN69" s="558"/>
      <c r="BO69" s="558"/>
      <c r="BP69" s="558"/>
      <c r="BQ69" s="558"/>
      <c r="BR69" s="123"/>
      <c r="BS69" s="123"/>
    </row>
    <row r="70" spans="1:79" s="124" customFormat="1" ht="9" customHeight="1" x14ac:dyDescent="0.25">
      <c r="A70" s="558"/>
      <c r="B70" s="558"/>
      <c r="C70" s="558"/>
      <c r="D70" s="558"/>
      <c r="E70" s="558"/>
      <c r="F70" s="558"/>
      <c r="G70" s="558"/>
      <c r="H70" s="558"/>
      <c r="I70" s="558"/>
      <c r="J70" s="558"/>
      <c r="K70" s="558"/>
      <c r="L70" s="558"/>
      <c r="M70" s="558"/>
      <c r="N70" s="558"/>
      <c r="O70" s="558"/>
      <c r="P70" s="558"/>
      <c r="Q70" s="558"/>
      <c r="R70" s="558"/>
      <c r="S70" s="558"/>
      <c r="T70" s="558"/>
      <c r="U70" s="558"/>
      <c r="V70" s="558"/>
      <c r="W70" s="558"/>
      <c r="X70" s="558"/>
      <c r="Y70" s="558"/>
      <c r="Z70" s="558"/>
      <c r="AA70" s="558"/>
      <c r="AB70" s="558"/>
      <c r="AC70" s="558"/>
      <c r="AD70" s="558"/>
      <c r="AE70" s="558"/>
      <c r="AF70" s="558"/>
      <c r="AG70" s="558"/>
      <c r="AH70" s="558"/>
      <c r="AI70" s="558"/>
      <c r="AJ70" s="558"/>
      <c r="AK70" s="558"/>
      <c r="AL70" s="558"/>
      <c r="AM70" s="558"/>
      <c r="AN70" s="558"/>
      <c r="AO70" s="558"/>
      <c r="AP70" s="558"/>
      <c r="AQ70" s="558"/>
      <c r="AR70" s="558"/>
      <c r="AS70" s="558"/>
      <c r="AT70" s="558"/>
      <c r="AU70" s="558"/>
      <c r="AV70" s="558"/>
      <c r="AW70" s="558"/>
      <c r="AX70" s="558"/>
      <c r="AY70" s="558"/>
      <c r="AZ70" s="558"/>
      <c r="BA70" s="558"/>
      <c r="BB70" s="558"/>
      <c r="BC70" s="558"/>
      <c r="BD70" s="558"/>
      <c r="BE70" s="558"/>
      <c r="BF70" s="558"/>
      <c r="BG70" s="558"/>
      <c r="BH70" s="558"/>
      <c r="BI70" s="558"/>
      <c r="BJ70" s="558"/>
      <c r="BK70" s="558"/>
      <c r="BL70" s="558"/>
      <c r="BM70" s="558"/>
      <c r="BN70" s="558"/>
      <c r="BO70" s="558"/>
      <c r="BP70" s="558"/>
      <c r="BQ70" s="558"/>
      <c r="BR70" s="123"/>
      <c r="BS70" s="123"/>
    </row>
    <row r="71" spans="1:79" s="124" customFormat="1" ht="9" customHeight="1" x14ac:dyDescent="0.25">
      <c r="A71" s="558"/>
      <c r="B71" s="558"/>
      <c r="C71" s="558"/>
      <c r="D71" s="558"/>
      <c r="E71" s="558"/>
      <c r="F71" s="558"/>
      <c r="G71" s="558"/>
      <c r="H71" s="558"/>
      <c r="I71" s="558"/>
      <c r="J71" s="558"/>
      <c r="K71" s="558"/>
      <c r="L71" s="558"/>
      <c r="M71" s="558"/>
      <c r="N71" s="558"/>
      <c r="O71" s="558"/>
      <c r="P71" s="558"/>
      <c r="Q71" s="558"/>
      <c r="R71" s="558"/>
      <c r="S71" s="558"/>
      <c r="T71" s="558"/>
      <c r="U71" s="558"/>
      <c r="V71" s="558"/>
      <c r="W71" s="558"/>
      <c r="X71" s="558"/>
      <c r="Y71" s="558"/>
      <c r="Z71" s="558"/>
      <c r="AA71" s="558"/>
      <c r="AB71" s="558"/>
      <c r="AC71" s="558"/>
      <c r="AD71" s="558"/>
      <c r="AE71" s="558"/>
      <c r="AF71" s="558"/>
      <c r="AG71" s="558"/>
      <c r="AH71" s="558"/>
      <c r="AI71" s="558"/>
      <c r="AJ71" s="558"/>
      <c r="AK71" s="558"/>
      <c r="AL71" s="558"/>
      <c r="AM71" s="558"/>
      <c r="AN71" s="558"/>
      <c r="AO71" s="558"/>
      <c r="AP71" s="558"/>
      <c r="AQ71" s="558"/>
      <c r="AR71" s="558"/>
      <c r="AS71" s="558"/>
      <c r="AT71" s="558"/>
      <c r="AU71" s="558"/>
      <c r="AV71" s="558"/>
      <c r="AW71" s="558"/>
      <c r="AX71" s="558"/>
      <c r="AY71" s="558"/>
      <c r="AZ71" s="558"/>
      <c r="BA71" s="558"/>
      <c r="BB71" s="558"/>
      <c r="BC71" s="558"/>
      <c r="BD71" s="558"/>
      <c r="BE71" s="558"/>
      <c r="BF71" s="558"/>
      <c r="BG71" s="558"/>
      <c r="BH71" s="558"/>
      <c r="BI71" s="558"/>
      <c r="BJ71" s="558"/>
      <c r="BK71" s="558"/>
      <c r="BL71" s="558"/>
      <c r="BM71" s="558"/>
      <c r="BN71" s="558"/>
      <c r="BO71" s="558"/>
      <c r="BP71" s="558"/>
      <c r="BQ71" s="558"/>
      <c r="BR71" s="123"/>
      <c r="BS71" s="123"/>
    </row>
    <row r="72" spans="1:79" s="128" customFormat="1" ht="9" customHeight="1" x14ac:dyDescent="0.25">
      <c r="A72" s="558"/>
      <c r="B72" s="558"/>
      <c r="C72" s="558"/>
      <c r="D72" s="558"/>
      <c r="E72" s="558"/>
      <c r="F72" s="558"/>
      <c r="G72" s="558"/>
      <c r="H72" s="558"/>
      <c r="I72" s="558"/>
      <c r="J72" s="558"/>
      <c r="K72" s="558"/>
      <c r="L72" s="558"/>
      <c r="M72" s="558"/>
      <c r="N72" s="558"/>
      <c r="O72" s="558"/>
      <c r="P72" s="558"/>
      <c r="Q72" s="558"/>
      <c r="R72" s="558"/>
      <c r="S72" s="558"/>
      <c r="T72" s="558"/>
      <c r="U72" s="558"/>
      <c r="V72" s="558"/>
      <c r="W72" s="558"/>
      <c r="X72" s="558"/>
      <c r="Y72" s="558"/>
      <c r="Z72" s="558"/>
      <c r="AA72" s="558"/>
      <c r="AB72" s="558"/>
      <c r="AC72" s="558"/>
      <c r="AD72" s="558"/>
      <c r="AE72" s="558"/>
      <c r="AF72" s="558"/>
      <c r="AG72" s="558"/>
      <c r="AH72" s="558"/>
      <c r="AI72" s="558"/>
      <c r="AJ72" s="558"/>
      <c r="AK72" s="558"/>
      <c r="AL72" s="558"/>
      <c r="AM72" s="558"/>
      <c r="AN72" s="558"/>
      <c r="AO72" s="558"/>
      <c r="AP72" s="558"/>
      <c r="AQ72" s="558"/>
      <c r="AR72" s="558"/>
      <c r="AS72" s="558"/>
      <c r="AT72" s="558"/>
      <c r="AU72" s="558"/>
      <c r="AV72" s="558"/>
      <c r="AW72" s="558"/>
      <c r="AX72" s="558"/>
      <c r="AY72" s="558"/>
      <c r="AZ72" s="558"/>
      <c r="BA72" s="558"/>
      <c r="BB72" s="558"/>
      <c r="BC72" s="558"/>
      <c r="BD72" s="558"/>
      <c r="BE72" s="558"/>
      <c r="BF72" s="558"/>
      <c r="BG72" s="558"/>
      <c r="BH72" s="558"/>
      <c r="BI72" s="558"/>
      <c r="BJ72" s="558"/>
      <c r="BK72" s="558"/>
      <c r="BL72" s="558"/>
      <c r="BM72" s="558"/>
      <c r="BN72" s="558"/>
      <c r="BO72" s="558"/>
      <c r="BP72" s="558"/>
      <c r="BQ72" s="558"/>
      <c r="BR72" s="127"/>
      <c r="BS72" s="127"/>
    </row>
    <row r="73" spans="1:79" s="124" customFormat="1" ht="8.25" customHeight="1" x14ac:dyDescent="0.25">
      <c r="A73" s="558"/>
      <c r="B73" s="558"/>
      <c r="C73" s="558"/>
      <c r="D73" s="558"/>
      <c r="E73" s="558"/>
      <c r="F73" s="558"/>
      <c r="G73" s="558"/>
      <c r="H73" s="558"/>
      <c r="I73" s="558"/>
      <c r="J73" s="558"/>
      <c r="K73" s="558"/>
      <c r="L73" s="558"/>
      <c r="M73" s="558"/>
      <c r="N73" s="558"/>
      <c r="O73" s="558"/>
      <c r="P73" s="558"/>
      <c r="Q73" s="558"/>
      <c r="R73" s="558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8"/>
      <c r="AM73" s="558"/>
      <c r="AN73" s="558"/>
      <c r="AO73" s="558"/>
      <c r="AP73" s="558"/>
      <c r="AQ73" s="558"/>
      <c r="AR73" s="558"/>
      <c r="AS73" s="558"/>
      <c r="AT73" s="558"/>
      <c r="AU73" s="558"/>
      <c r="AV73" s="558"/>
      <c r="AW73" s="558"/>
      <c r="AX73" s="558"/>
      <c r="AY73" s="558"/>
      <c r="AZ73" s="558"/>
      <c r="BA73" s="558"/>
      <c r="BB73" s="558"/>
      <c r="BC73" s="558"/>
      <c r="BD73" s="558"/>
      <c r="BE73" s="558"/>
      <c r="BF73" s="558"/>
      <c r="BG73" s="558"/>
      <c r="BH73" s="558"/>
      <c r="BI73" s="558"/>
      <c r="BJ73" s="558"/>
      <c r="BK73" s="558"/>
      <c r="BL73" s="558"/>
      <c r="BM73" s="558"/>
      <c r="BN73" s="558"/>
      <c r="BO73" s="558"/>
      <c r="BP73" s="558"/>
      <c r="BQ73" s="558"/>
      <c r="BR73" s="123"/>
      <c r="BS73" s="123"/>
    </row>
    <row r="74" spans="1:79" s="124" customFormat="1" ht="9" customHeight="1" x14ac:dyDescent="0.25">
      <c r="A74" s="558"/>
      <c r="B74" s="558"/>
      <c r="C74" s="558"/>
      <c r="D74" s="558"/>
      <c r="E74" s="558"/>
      <c r="F74" s="558"/>
      <c r="G74" s="558"/>
      <c r="H74" s="558"/>
      <c r="I74" s="558"/>
      <c r="J74" s="558"/>
      <c r="K74" s="558"/>
      <c r="L74" s="558"/>
      <c r="M74" s="558"/>
      <c r="N74" s="558"/>
      <c r="O74" s="558"/>
      <c r="P74" s="558"/>
      <c r="Q74" s="558"/>
      <c r="R74" s="558"/>
      <c r="S74" s="558"/>
      <c r="T74" s="558"/>
      <c r="U74" s="558"/>
      <c r="V74" s="558"/>
      <c r="W74" s="558"/>
      <c r="X74" s="558"/>
      <c r="Y74" s="558"/>
      <c r="Z74" s="558"/>
      <c r="AA74" s="558"/>
      <c r="AB74" s="558"/>
      <c r="AC74" s="558"/>
      <c r="AD74" s="558"/>
      <c r="AE74" s="558"/>
      <c r="AF74" s="558"/>
      <c r="AG74" s="558"/>
      <c r="AH74" s="558"/>
      <c r="AI74" s="558"/>
      <c r="AJ74" s="558"/>
      <c r="AK74" s="558"/>
      <c r="AL74" s="558"/>
      <c r="AM74" s="558"/>
      <c r="AN74" s="558"/>
      <c r="AO74" s="558"/>
      <c r="AP74" s="558"/>
      <c r="AQ74" s="558"/>
      <c r="AR74" s="558"/>
      <c r="AS74" s="558"/>
      <c r="AT74" s="558"/>
      <c r="AU74" s="558"/>
      <c r="AV74" s="558"/>
      <c r="AW74" s="558"/>
      <c r="AX74" s="558"/>
      <c r="AY74" s="558"/>
      <c r="AZ74" s="558"/>
      <c r="BA74" s="558"/>
      <c r="BB74" s="558"/>
      <c r="BC74" s="558"/>
      <c r="BD74" s="558"/>
      <c r="BE74" s="558"/>
      <c r="BF74" s="558"/>
      <c r="BG74" s="558"/>
      <c r="BH74" s="558"/>
      <c r="BI74" s="558"/>
      <c r="BJ74" s="558"/>
      <c r="BK74" s="558"/>
      <c r="BL74" s="558"/>
      <c r="BM74" s="558"/>
      <c r="BN74" s="558"/>
      <c r="BO74" s="558"/>
      <c r="BP74" s="558"/>
      <c r="BQ74" s="558"/>
      <c r="BR74" s="123"/>
      <c r="BS74" s="123"/>
    </row>
    <row r="75" spans="1:79" s="124" customFormat="1" ht="9" customHeight="1" x14ac:dyDescent="0.25">
      <c r="A75" s="558"/>
      <c r="B75" s="558"/>
      <c r="C75" s="558"/>
      <c r="D75" s="558"/>
      <c r="E75" s="558"/>
      <c r="F75" s="558"/>
      <c r="G75" s="558"/>
      <c r="H75" s="558"/>
      <c r="I75" s="558"/>
      <c r="J75" s="558"/>
      <c r="K75" s="558"/>
      <c r="L75" s="558"/>
      <c r="M75" s="558"/>
      <c r="N75" s="558"/>
      <c r="O75" s="558"/>
      <c r="P75" s="558"/>
      <c r="Q75" s="558"/>
      <c r="R75" s="558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8"/>
      <c r="AM75" s="558"/>
      <c r="AN75" s="558"/>
      <c r="AO75" s="558"/>
      <c r="AP75" s="558"/>
      <c r="AQ75" s="558"/>
      <c r="AR75" s="558"/>
      <c r="AS75" s="558"/>
      <c r="AT75" s="558"/>
      <c r="AU75" s="558"/>
      <c r="AV75" s="558"/>
      <c r="AW75" s="558"/>
      <c r="AX75" s="558"/>
      <c r="AY75" s="558"/>
      <c r="AZ75" s="558"/>
      <c r="BA75" s="558"/>
      <c r="BB75" s="558"/>
      <c r="BC75" s="558"/>
      <c r="BD75" s="558"/>
      <c r="BE75" s="558"/>
      <c r="BF75" s="558"/>
      <c r="BG75" s="558"/>
      <c r="BH75" s="558"/>
      <c r="BI75" s="558"/>
      <c r="BJ75" s="558"/>
      <c r="BK75" s="558"/>
      <c r="BL75" s="558"/>
      <c r="BM75" s="558"/>
      <c r="BN75" s="558"/>
      <c r="BO75" s="558"/>
      <c r="BP75" s="558"/>
      <c r="BQ75" s="558"/>
      <c r="BR75" s="123"/>
      <c r="BS75" s="123"/>
    </row>
    <row r="76" spans="1:79" s="124" customFormat="1" ht="1.5" customHeight="1" x14ac:dyDescent="0.25">
      <c r="A76" s="558"/>
      <c r="B76" s="558"/>
      <c r="C76" s="558"/>
      <c r="D76" s="558"/>
      <c r="E76" s="558"/>
      <c r="F76" s="558"/>
      <c r="G76" s="558"/>
      <c r="H76" s="558"/>
      <c r="I76" s="558"/>
      <c r="J76" s="558"/>
      <c r="K76" s="558"/>
      <c r="L76" s="558"/>
      <c r="M76" s="558"/>
      <c r="N76" s="558"/>
      <c r="O76" s="558"/>
      <c r="P76" s="558"/>
      <c r="Q76" s="558"/>
      <c r="R76" s="558"/>
      <c r="S76" s="558"/>
      <c r="T76" s="558"/>
      <c r="U76" s="558"/>
      <c r="V76" s="558"/>
      <c r="W76" s="558"/>
      <c r="X76" s="558"/>
      <c r="Y76" s="558"/>
      <c r="Z76" s="558"/>
      <c r="AA76" s="558"/>
      <c r="AB76" s="558"/>
      <c r="AC76" s="558"/>
      <c r="AD76" s="558"/>
      <c r="AE76" s="558"/>
      <c r="AF76" s="558"/>
      <c r="AG76" s="558"/>
      <c r="AH76" s="558"/>
      <c r="AI76" s="558"/>
      <c r="AJ76" s="558"/>
      <c r="AK76" s="558"/>
      <c r="AL76" s="558"/>
      <c r="AM76" s="558"/>
      <c r="AN76" s="558"/>
      <c r="AO76" s="558"/>
      <c r="AP76" s="558"/>
      <c r="AQ76" s="558"/>
      <c r="AR76" s="558"/>
      <c r="AS76" s="558"/>
      <c r="AT76" s="558"/>
      <c r="AU76" s="558"/>
      <c r="AV76" s="558"/>
      <c r="AW76" s="558"/>
      <c r="AX76" s="558"/>
      <c r="AY76" s="558"/>
      <c r="AZ76" s="558"/>
      <c r="BA76" s="558"/>
      <c r="BB76" s="558"/>
      <c r="BC76" s="558"/>
      <c r="BD76" s="558"/>
      <c r="BE76" s="558"/>
      <c r="BF76" s="558"/>
      <c r="BG76" s="558"/>
      <c r="BH76" s="558"/>
      <c r="BI76" s="558"/>
      <c r="BJ76" s="558"/>
      <c r="BK76" s="558"/>
      <c r="BL76" s="558"/>
      <c r="BM76" s="558"/>
      <c r="BN76" s="558"/>
      <c r="BO76" s="558"/>
      <c r="BP76" s="558"/>
      <c r="BQ76" s="558"/>
      <c r="BR76" s="123"/>
      <c r="BS76" s="123"/>
    </row>
    <row r="77" spans="1:79" s="124" customFormat="1" ht="9" customHeight="1" x14ac:dyDescent="0.25">
      <c r="A77" s="558"/>
      <c r="B77" s="558"/>
      <c r="C77" s="558"/>
      <c r="D77" s="558"/>
      <c r="E77" s="558"/>
      <c r="F77" s="558"/>
      <c r="G77" s="558"/>
      <c r="H77" s="558"/>
      <c r="I77" s="558"/>
      <c r="J77" s="558"/>
      <c r="K77" s="558"/>
      <c r="L77" s="558"/>
      <c r="M77" s="558"/>
      <c r="N77" s="558"/>
      <c r="O77" s="558"/>
      <c r="P77" s="558"/>
      <c r="Q77" s="558"/>
      <c r="R77" s="558"/>
      <c r="S77" s="558"/>
      <c r="T77" s="558"/>
      <c r="U77" s="558"/>
      <c r="V77" s="558"/>
      <c r="W77" s="558"/>
      <c r="X77" s="558"/>
      <c r="Y77" s="558"/>
      <c r="Z77" s="558"/>
      <c r="AA77" s="558"/>
      <c r="AB77" s="558"/>
      <c r="AC77" s="558"/>
      <c r="AD77" s="558"/>
      <c r="AE77" s="558"/>
      <c r="AF77" s="558"/>
      <c r="AG77" s="558"/>
      <c r="AH77" s="558"/>
      <c r="AI77" s="558"/>
      <c r="AJ77" s="558"/>
      <c r="AK77" s="558"/>
      <c r="AL77" s="558"/>
      <c r="AM77" s="558"/>
      <c r="AN77" s="558"/>
      <c r="AO77" s="558"/>
      <c r="AP77" s="558"/>
      <c r="AQ77" s="558"/>
      <c r="AR77" s="558"/>
      <c r="AS77" s="558"/>
      <c r="AT77" s="558"/>
      <c r="AU77" s="558"/>
      <c r="AV77" s="558"/>
      <c r="AW77" s="558"/>
      <c r="AX77" s="558"/>
      <c r="AY77" s="558"/>
      <c r="AZ77" s="558"/>
      <c r="BA77" s="558"/>
      <c r="BB77" s="558"/>
      <c r="BC77" s="558"/>
      <c r="BD77" s="558"/>
      <c r="BE77" s="558"/>
      <c r="BF77" s="558"/>
      <c r="BG77" s="558"/>
      <c r="BH77" s="558"/>
      <c r="BI77" s="558"/>
      <c r="BJ77" s="558"/>
      <c r="BK77" s="558"/>
      <c r="BL77" s="558"/>
      <c r="BM77" s="558"/>
      <c r="BN77" s="558"/>
      <c r="BO77" s="558"/>
      <c r="BP77" s="558"/>
      <c r="BQ77" s="558"/>
      <c r="BR77" s="123"/>
      <c r="BS77" s="556"/>
      <c r="BT77" s="556"/>
      <c r="BU77" s="556"/>
      <c r="BV77" s="556"/>
      <c r="BW77" s="556"/>
      <c r="BX77" s="556"/>
      <c r="BY77" s="556"/>
      <c r="BZ77" s="556"/>
      <c r="CA77" s="556"/>
    </row>
    <row r="78" spans="1:79" s="124" customFormat="1" ht="9.75" x14ac:dyDescent="0.25">
      <c r="A78" s="129"/>
      <c r="B78" s="127"/>
      <c r="C78" s="127"/>
      <c r="D78" s="127"/>
      <c r="E78" s="127"/>
      <c r="F78" s="127"/>
      <c r="G78" s="127"/>
      <c r="H78" s="127"/>
      <c r="I78" s="127"/>
      <c r="J78" s="123"/>
      <c r="K78" s="127"/>
      <c r="L78" s="127"/>
      <c r="M78" s="127"/>
      <c r="N78" s="127"/>
      <c r="O78" s="127"/>
      <c r="P78" s="127"/>
      <c r="Q78" s="127"/>
      <c r="R78" s="127"/>
      <c r="S78" s="127"/>
      <c r="T78" s="123"/>
      <c r="U78" s="127"/>
      <c r="V78" s="127"/>
      <c r="W78" s="127"/>
      <c r="X78" s="127"/>
      <c r="Y78" s="127"/>
      <c r="Z78" s="127"/>
      <c r="AA78" s="127"/>
      <c r="AB78" s="127"/>
      <c r="AC78" s="127"/>
      <c r="AD78" s="123"/>
      <c r="AE78" s="127"/>
      <c r="AF78" s="127"/>
      <c r="AG78" s="127"/>
      <c r="AH78" s="127"/>
      <c r="AI78" s="127"/>
      <c r="AJ78" s="127"/>
      <c r="AK78" s="127"/>
      <c r="AL78" s="127"/>
      <c r="AM78" s="127"/>
      <c r="AN78" s="123"/>
      <c r="AO78" s="127"/>
      <c r="AP78" s="127"/>
      <c r="AQ78" s="127"/>
      <c r="AR78" s="127"/>
      <c r="AS78" s="127"/>
      <c r="AT78" s="127"/>
      <c r="AU78" s="127"/>
      <c r="AV78" s="127"/>
      <c r="AW78" s="127"/>
      <c r="AX78" s="123"/>
      <c r="AY78" s="127"/>
      <c r="AZ78" s="127"/>
      <c r="BA78" s="127"/>
      <c r="BB78" s="127"/>
      <c r="BC78" s="127"/>
      <c r="BD78" s="127"/>
      <c r="BE78" s="127"/>
      <c r="BF78" s="127"/>
      <c r="BG78" s="127"/>
      <c r="BH78" s="127"/>
      <c r="BI78" s="127"/>
      <c r="BJ78" s="127"/>
      <c r="BK78" s="127"/>
      <c r="BL78" s="127"/>
      <c r="BM78" s="127"/>
      <c r="BN78" s="127"/>
      <c r="BO78" s="127"/>
      <c r="BP78" s="127"/>
      <c r="BQ78" s="130"/>
      <c r="BR78" s="123"/>
    </row>
    <row r="79" spans="1:79" s="124" customFormat="1" ht="9.75" x14ac:dyDescent="0.25">
      <c r="A79" s="557"/>
      <c r="B79" s="558"/>
      <c r="C79" s="558"/>
      <c r="D79" s="558"/>
      <c r="E79" s="558"/>
      <c r="F79" s="558"/>
      <c r="G79" s="558"/>
      <c r="H79" s="558"/>
      <c r="I79" s="558"/>
      <c r="J79" s="558"/>
      <c r="K79" s="558"/>
      <c r="L79" s="558"/>
      <c r="M79" s="558"/>
      <c r="N79" s="558"/>
      <c r="O79" s="558"/>
      <c r="P79" s="558"/>
      <c r="Q79" s="558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8"/>
      <c r="AM79" s="558"/>
      <c r="AN79" s="558"/>
      <c r="AO79" s="558"/>
      <c r="AP79" s="558"/>
      <c r="AQ79" s="558"/>
      <c r="AR79" s="558"/>
      <c r="AS79" s="558"/>
      <c r="AT79" s="558"/>
      <c r="AU79" s="558"/>
      <c r="AV79" s="558"/>
      <c r="AW79" s="558"/>
      <c r="AX79" s="558"/>
      <c r="AY79" s="558"/>
      <c r="AZ79" s="558"/>
      <c r="BA79" s="558"/>
      <c r="BB79" s="558"/>
      <c r="BC79" s="558"/>
      <c r="BD79" s="558"/>
      <c r="BE79" s="558"/>
      <c r="BF79" s="558"/>
      <c r="BG79" s="558"/>
      <c r="BH79" s="558"/>
      <c r="BI79" s="558"/>
      <c r="BJ79" s="558"/>
      <c r="BK79" s="558"/>
      <c r="BL79" s="558"/>
      <c r="BM79" s="558"/>
      <c r="BN79" s="558"/>
      <c r="BO79" s="558"/>
      <c r="BP79" s="558"/>
      <c r="BQ79" s="559"/>
      <c r="BR79" s="123"/>
    </row>
    <row r="80" spans="1:79" s="124" customFormat="1" ht="9.75" x14ac:dyDescent="0.25">
      <c r="A80" s="557"/>
      <c r="B80" s="558"/>
      <c r="C80" s="558"/>
      <c r="D80" s="558"/>
      <c r="E80" s="558"/>
      <c r="F80" s="558"/>
      <c r="G80" s="558"/>
      <c r="H80" s="558"/>
      <c r="I80" s="558"/>
      <c r="J80" s="558"/>
      <c r="K80" s="558"/>
      <c r="L80" s="558"/>
      <c r="M80" s="558"/>
      <c r="N80" s="558"/>
      <c r="O80" s="558"/>
      <c r="P80" s="558"/>
      <c r="Q80" s="558"/>
      <c r="R80" s="558"/>
      <c r="S80" s="558"/>
      <c r="T80" s="558"/>
      <c r="U80" s="558"/>
      <c r="V80" s="558"/>
      <c r="W80" s="558"/>
      <c r="X80" s="558"/>
      <c r="Y80" s="558"/>
      <c r="Z80" s="558"/>
      <c r="AA80" s="558"/>
      <c r="AB80" s="558"/>
      <c r="AC80" s="558"/>
      <c r="AD80" s="558"/>
      <c r="AE80" s="558"/>
      <c r="AF80" s="558"/>
      <c r="AG80" s="558"/>
      <c r="AH80" s="558"/>
      <c r="AI80" s="558"/>
      <c r="AJ80" s="558"/>
      <c r="AK80" s="558"/>
      <c r="AL80" s="558"/>
      <c r="AM80" s="558"/>
      <c r="AN80" s="558"/>
      <c r="AO80" s="558"/>
      <c r="AP80" s="558"/>
      <c r="AQ80" s="558"/>
      <c r="AR80" s="558"/>
      <c r="AS80" s="558"/>
      <c r="AT80" s="558"/>
      <c r="AU80" s="558"/>
      <c r="AV80" s="558"/>
      <c r="AW80" s="558"/>
      <c r="AX80" s="558"/>
      <c r="AY80" s="558"/>
      <c r="AZ80" s="558"/>
      <c r="BA80" s="558"/>
      <c r="BB80" s="558"/>
      <c r="BC80" s="558"/>
      <c r="BD80" s="558"/>
      <c r="BE80" s="558"/>
      <c r="BF80" s="558"/>
      <c r="BG80" s="558"/>
      <c r="BH80" s="558"/>
      <c r="BI80" s="558"/>
      <c r="BJ80" s="558"/>
      <c r="BK80" s="558"/>
      <c r="BL80" s="558"/>
      <c r="BM80" s="558"/>
      <c r="BN80" s="558"/>
      <c r="BO80" s="558"/>
      <c r="BP80" s="558"/>
      <c r="BQ80" s="559"/>
      <c r="BR80" s="123"/>
    </row>
    <row r="81" spans="1:70" s="124" customFormat="1" ht="9.75" x14ac:dyDescent="0.25">
      <c r="A81" s="557"/>
      <c r="B81" s="558"/>
      <c r="C81" s="558"/>
      <c r="D81" s="558"/>
      <c r="E81" s="558"/>
      <c r="F81" s="558"/>
      <c r="G81" s="558"/>
      <c r="H81" s="558"/>
      <c r="I81" s="558"/>
      <c r="J81" s="558"/>
      <c r="K81" s="558"/>
      <c r="L81" s="558"/>
      <c r="M81" s="558"/>
      <c r="N81" s="558"/>
      <c r="O81" s="558"/>
      <c r="P81" s="558"/>
      <c r="Q81" s="558"/>
      <c r="R81" s="558"/>
      <c r="S81" s="558"/>
      <c r="T81" s="558"/>
      <c r="U81" s="558"/>
      <c r="V81" s="558"/>
      <c r="W81" s="558"/>
      <c r="X81" s="558"/>
      <c r="Y81" s="558"/>
      <c r="Z81" s="558"/>
      <c r="AA81" s="558"/>
      <c r="AB81" s="558"/>
      <c r="AC81" s="558"/>
      <c r="AD81" s="558"/>
      <c r="AE81" s="558"/>
      <c r="AF81" s="558"/>
      <c r="AG81" s="558"/>
      <c r="AH81" s="558"/>
      <c r="AI81" s="558"/>
      <c r="AJ81" s="558"/>
      <c r="AK81" s="558"/>
      <c r="AL81" s="558"/>
      <c r="AM81" s="558"/>
      <c r="AN81" s="558"/>
      <c r="AO81" s="558"/>
      <c r="AP81" s="558"/>
      <c r="AQ81" s="558"/>
      <c r="AR81" s="558"/>
      <c r="AS81" s="558"/>
      <c r="AT81" s="558"/>
      <c r="AU81" s="558"/>
      <c r="AV81" s="558"/>
      <c r="AW81" s="558"/>
      <c r="AX81" s="558"/>
      <c r="AY81" s="558"/>
      <c r="AZ81" s="558"/>
      <c r="BA81" s="558"/>
      <c r="BB81" s="558"/>
      <c r="BC81" s="558"/>
      <c r="BD81" s="558"/>
      <c r="BE81" s="558"/>
      <c r="BF81" s="558"/>
      <c r="BG81" s="558"/>
      <c r="BH81" s="558"/>
      <c r="BI81" s="558"/>
      <c r="BJ81" s="558"/>
      <c r="BK81" s="558"/>
      <c r="BL81" s="558"/>
      <c r="BM81" s="558"/>
      <c r="BN81" s="558"/>
      <c r="BO81" s="558"/>
      <c r="BP81" s="558"/>
      <c r="BQ81" s="559"/>
      <c r="BR81" s="123"/>
    </row>
    <row r="82" spans="1:70" s="124" customFormat="1" ht="9.75" x14ac:dyDescent="0.25">
      <c r="A82" s="557"/>
      <c r="B82" s="558"/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  <c r="Q82" s="558"/>
      <c r="R82" s="558"/>
      <c r="S82" s="558"/>
      <c r="T82" s="558"/>
      <c r="U82" s="558"/>
      <c r="V82" s="558"/>
      <c r="W82" s="558"/>
      <c r="X82" s="558"/>
      <c r="Y82" s="558"/>
      <c r="Z82" s="558"/>
      <c r="AA82" s="558"/>
      <c r="AB82" s="558"/>
      <c r="AC82" s="558"/>
      <c r="AD82" s="558"/>
      <c r="AE82" s="558"/>
      <c r="AF82" s="558"/>
      <c r="AG82" s="558"/>
      <c r="AH82" s="558"/>
      <c r="AI82" s="558"/>
      <c r="AJ82" s="558"/>
      <c r="AK82" s="558"/>
      <c r="AL82" s="558"/>
      <c r="AM82" s="558"/>
      <c r="AN82" s="558"/>
      <c r="AO82" s="558"/>
      <c r="AP82" s="558"/>
      <c r="AQ82" s="558"/>
      <c r="AR82" s="558"/>
      <c r="AS82" s="558"/>
      <c r="AT82" s="558"/>
      <c r="AU82" s="558"/>
      <c r="AV82" s="558"/>
      <c r="AW82" s="558"/>
      <c r="AX82" s="558"/>
      <c r="AY82" s="558"/>
      <c r="AZ82" s="558"/>
      <c r="BA82" s="558"/>
      <c r="BB82" s="558"/>
      <c r="BC82" s="558"/>
      <c r="BD82" s="558"/>
      <c r="BE82" s="558"/>
      <c r="BF82" s="558"/>
      <c r="BG82" s="558"/>
      <c r="BH82" s="558"/>
      <c r="BI82" s="558"/>
      <c r="BJ82" s="558"/>
      <c r="BK82" s="558"/>
      <c r="BL82" s="558"/>
      <c r="BM82" s="558"/>
      <c r="BN82" s="558"/>
      <c r="BO82" s="558"/>
      <c r="BP82" s="558"/>
      <c r="BQ82" s="559"/>
      <c r="BR82" s="123"/>
    </row>
    <row r="83" spans="1:70" s="124" customFormat="1" ht="9.75" x14ac:dyDescent="0.25">
      <c r="A83" s="557"/>
      <c r="B83" s="558"/>
      <c r="C83" s="558"/>
      <c r="D83" s="558"/>
      <c r="E83" s="558"/>
      <c r="F83" s="558"/>
      <c r="G83" s="558"/>
      <c r="H83" s="558"/>
      <c r="I83" s="558"/>
      <c r="J83" s="558"/>
      <c r="K83" s="558"/>
      <c r="L83" s="558"/>
      <c r="M83" s="558"/>
      <c r="N83" s="558"/>
      <c r="O83" s="558"/>
      <c r="P83" s="558"/>
      <c r="Q83" s="558"/>
      <c r="R83" s="558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8"/>
      <c r="AM83" s="558"/>
      <c r="AN83" s="558"/>
      <c r="AO83" s="558"/>
      <c r="AP83" s="558"/>
      <c r="AQ83" s="558"/>
      <c r="AR83" s="558"/>
      <c r="AS83" s="558"/>
      <c r="AT83" s="558"/>
      <c r="AU83" s="558"/>
      <c r="AV83" s="558"/>
      <c r="AW83" s="558"/>
      <c r="AX83" s="558"/>
      <c r="AY83" s="558"/>
      <c r="AZ83" s="558"/>
      <c r="BA83" s="558"/>
      <c r="BB83" s="558"/>
      <c r="BC83" s="558"/>
      <c r="BD83" s="558"/>
      <c r="BE83" s="558"/>
      <c r="BF83" s="558"/>
      <c r="BG83" s="558"/>
      <c r="BH83" s="558"/>
      <c r="BI83" s="558"/>
      <c r="BJ83" s="558"/>
      <c r="BK83" s="558"/>
      <c r="BL83" s="558"/>
      <c r="BM83" s="558"/>
      <c r="BN83" s="558"/>
      <c r="BO83" s="558"/>
      <c r="BP83" s="558"/>
      <c r="BQ83" s="559"/>
      <c r="BR83" s="123"/>
    </row>
    <row r="84" spans="1:70" s="124" customFormat="1" ht="9.75" x14ac:dyDescent="0.25">
      <c r="A84" s="557"/>
      <c r="B84" s="558"/>
      <c r="C84" s="558"/>
      <c r="D84" s="558"/>
      <c r="E84" s="558"/>
      <c r="F84" s="558"/>
      <c r="G84" s="558"/>
      <c r="H84" s="558"/>
      <c r="I84" s="558"/>
      <c r="J84" s="558"/>
      <c r="K84" s="558"/>
      <c r="L84" s="558"/>
      <c r="M84" s="558"/>
      <c r="N84" s="558"/>
      <c r="O84" s="558"/>
      <c r="P84" s="558"/>
      <c r="Q84" s="558"/>
      <c r="R84" s="558"/>
      <c r="S84" s="558"/>
      <c r="T84" s="558"/>
      <c r="U84" s="558"/>
      <c r="V84" s="558"/>
      <c r="W84" s="558"/>
      <c r="X84" s="558"/>
      <c r="Y84" s="558"/>
      <c r="Z84" s="558"/>
      <c r="AA84" s="558"/>
      <c r="AB84" s="558"/>
      <c r="AC84" s="558"/>
      <c r="AD84" s="558"/>
      <c r="AE84" s="558"/>
      <c r="AF84" s="558"/>
      <c r="AG84" s="558"/>
      <c r="AH84" s="558"/>
      <c r="AI84" s="558"/>
      <c r="AJ84" s="558"/>
      <c r="AK84" s="558"/>
      <c r="AL84" s="558"/>
      <c r="AM84" s="558"/>
      <c r="AN84" s="558"/>
      <c r="AO84" s="558"/>
      <c r="AP84" s="558"/>
      <c r="AQ84" s="558"/>
      <c r="AR84" s="558"/>
      <c r="AS84" s="558"/>
      <c r="AT84" s="558"/>
      <c r="AU84" s="558"/>
      <c r="AV84" s="558"/>
      <c r="AW84" s="558"/>
      <c r="AX84" s="558"/>
      <c r="AY84" s="558"/>
      <c r="AZ84" s="558"/>
      <c r="BA84" s="558"/>
      <c r="BB84" s="558"/>
      <c r="BC84" s="558"/>
      <c r="BD84" s="558"/>
      <c r="BE84" s="558"/>
      <c r="BF84" s="558"/>
      <c r="BG84" s="558"/>
      <c r="BH84" s="558"/>
      <c r="BI84" s="558"/>
      <c r="BJ84" s="558"/>
      <c r="BK84" s="558"/>
      <c r="BL84" s="558"/>
      <c r="BM84" s="558"/>
      <c r="BN84" s="558"/>
      <c r="BO84" s="558"/>
      <c r="BP84" s="558"/>
      <c r="BQ84" s="559"/>
      <c r="BR84" s="123"/>
    </row>
    <row r="85" spans="1:70" s="124" customFormat="1" ht="9.75" x14ac:dyDescent="0.25">
      <c r="A85" s="557" t="s">
        <v>732</v>
      </c>
      <c r="B85" s="558"/>
      <c r="C85" s="558"/>
      <c r="D85" s="558"/>
      <c r="E85" s="558"/>
      <c r="F85" s="558"/>
      <c r="G85" s="558"/>
      <c r="H85" s="558"/>
      <c r="I85" s="558"/>
      <c r="J85" s="558"/>
      <c r="K85" s="558"/>
      <c r="L85" s="558"/>
      <c r="M85" s="558"/>
      <c r="N85" s="558"/>
      <c r="O85" s="558"/>
      <c r="P85" s="558"/>
      <c r="Q85" s="558"/>
      <c r="R85" s="558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8"/>
      <c r="AM85" s="558"/>
      <c r="AN85" s="558"/>
      <c r="AO85" s="558"/>
      <c r="AP85" s="558"/>
      <c r="AQ85" s="558"/>
      <c r="AR85" s="558"/>
      <c r="AS85" s="558"/>
      <c r="AT85" s="558"/>
      <c r="AU85" s="558"/>
      <c r="AV85" s="558"/>
      <c r="AW85" s="558"/>
      <c r="AX85" s="558"/>
      <c r="AY85" s="558"/>
      <c r="AZ85" s="558"/>
      <c r="BA85" s="558"/>
      <c r="BB85" s="558"/>
      <c r="BC85" s="558"/>
      <c r="BD85" s="558"/>
      <c r="BE85" s="558"/>
      <c r="BF85" s="558"/>
      <c r="BG85" s="558"/>
      <c r="BH85" s="558"/>
      <c r="BI85" s="558"/>
      <c r="BJ85" s="558"/>
      <c r="BK85" s="558"/>
      <c r="BL85" s="558"/>
      <c r="BM85" s="558"/>
      <c r="BN85" s="558"/>
      <c r="BO85" s="558"/>
      <c r="BP85" s="558"/>
      <c r="BQ85" s="559"/>
      <c r="BR85" s="123"/>
    </row>
    <row r="86" spans="1:70" s="124" customFormat="1" ht="1.5" customHeight="1" x14ac:dyDescent="0.25">
      <c r="A86" s="570"/>
      <c r="B86" s="570"/>
      <c r="C86" s="570"/>
      <c r="D86" s="570"/>
      <c r="E86" s="570"/>
      <c r="F86" s="556"/>
      <c r="G86" s="556"/>
      <c r="H86" s="556"/>
      <c r="I86" s="556"/>
      <c r="J86" s="123"/>
      <c r="K86" s="571"/>
      <c r="L86" s="571"/>
      <c r="M86" s="571"/>
      <c r="N86" s="571"/>
      <c r="O86" s="571"/>
      <c r="P86" s="556"/>
      <c r="Q86" s="556"/>
      <c r="R86" s="556"/>
      <c r="S86" s="556"/>
      <c r="T86" s="123"/>
      <c r="U86" s="571"/>
      <c r="V86" s="571"/>
      <c r="W86" s="571"/>
      <c r="X86" s="571"/>
      <c r="Y86" s="571"/>
      <c r="Z86" s="556"/>
      <c r="AA86" s="556"/>
      <c r="AB86" s="556"/>
      <c r="AC86" s="556"/>
      <c r="AD86" s="123"/>
      <c r="AE86" s="571"/>
      <c r="AF86" s="571"/>
      <c r="AG86" s="571"/>
      <c r="AH86" s="571"/>
      <c r="AI86" s="571"/>
      <c r="AJ86" s="556"/>
      <c r="AK86" s="556"/>
      <c r="AL86" s="556"/>
      <c r="AM86" s="556"/>
      <c r="AN86" s="123"/>
      <c r="AO86" s="571"/>
      <c r="AP86" s="571"/>
      <c r="AQ86" s="571"/>
      <c r="AR86" s="571"/>
      <c r="AS86" s="571"/>
      <c r="AT86" s="556"/>
      <c r="AU86" s="556"/>
      <c r="AV86" s="556"/>
      <c r="AW86" s="556"/>
      <c r="AX86" s="123"/>
      <c r="AY86" s="571"/>
      <c r="AZ86" s="571"/>
      <c r="BA86" s="571"/>
      <c r="BB86" s="571"/>
      <c r="BC86" s="571"/>
      <c r="BD86" s="556"/>
      <c r="BE86" s="556"/>
      <c r="BF86" s="556"/>
      <c r="BG86" s="556"/>
      <c r="BH86" s="123"/>
      <c r="BI86" s="571"/>
      <c r="BJ86" s="571"/>
      <c r="BK86" s="571"/>
      <c r="BL86" s="571"/>
      <c r="BM86" s="571"/>
      <c r="BN86" s="556"/>
      <c r="BO86" s="556"/>
      <c r="BP86" s="556"/>
      <c r="BQ86" s="556"/>
      <c r="BR86" s="123"/>
    </row>
    <row r="87" spans="1:70" x14ac:dyDescent="0.25">
      <c r="A87" s="120"/>
      <c r="B87" s="120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  <c r="AX87" s="120"/>
      <c r="AY87" s="120"/>
      <c r="AZ87" s="120"/>
      <c r="BA87" s="120"/>
      <c r="BB87" s="120"/>
      <c r="BC87" s="120"/>
      <c r="BD87" s="120"/>
      <c r="BE87" s="120"/>
      <c r="BF87" s="120"/>
      <c r="BG87" s="120"/>
      <c r="BH87" s="120"/>
      <c r="BI87" s="120"/>
      <c r="BJ87" s="120"/>
      <c r="BK87" s="120"/>
      <c r="BL87" s="120"/>
      <c r="BM87" s="120"/>
      <c r="BN87" s="120"/>
      <c r="BO87" s="120"/>
      <c r="BP87" s="120"/>
      <c r="BQ87" s="120"/>
      <c r="BR87" s="120"/>
    </row>
    <row r="88" spans="1:70" x14ac:dyDescent="0.25">
      <c r="A88" s="120"/>
      <c r="B88" s="120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120"/>
      <c r="AK88" s="120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  <c r="AX88" s="120"/>
      <c r="AY88" s="120"/>
      <c r="AZ88" s="120"/>
      <c r="BA88" s="120"/>
      <c r="BB88" s="120"/>
      <c r="BC88" s="120"/>
      <c r="BD88" s="120"/>
      <c r="BE88" s="120"/>
      <c r="BF88" s="120"/>
      <c r="BG88" s="120"/>
      <c r="BH88" s="120"/>
      <c r="BI88" s="120"/>
      <c r="BJ88" s="120"/>
      <c r="BK88" s="120"/>
      <c r="BL88" s="120"/>
      <c r="BM88" s="120"/>
      <c r="BN88" s="120"/>
      <c r="BO88" s="120"/>
      <c r="BP88" s="120"/>
      <c r="BQ88" s="120"/>
      <c r="BR88" s="120"/>
    </row>
    <row r="89" spans="1:70" x14ac:dyDescent="0.25">
      <c r="A89" s="120"/>
      <c r="B89" s="120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120"/>
      <c r="AI89" s="120"/>
      <c r="AJ89" s="120"/>
      <c r="AK89" s="120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  <c r="AX89" s="120"/>
      <c r="AY89" s="120"/>
      <c r="AZ89" s="120"/>
      <c r="BA89" s="120"/>
      <c r="BB89" s="120"/>
      <c r="BC89" s="120"/>
      <c r="BD89" s="120"/>
      <c r="BE89" s="120"/>
      <c r="BF89" s="120"/>
      <c r="BG89" s="120"/>
      <c r="BH89" s="120"/>
      <c r="BI89" s="120"/>
      <c r="BJ89" s="120"/>
      <c r="BK89" s="120"/>
      <c r="BL89" s="120"/>
      <c r="BM89" s="120"/>
      <c r="BN89" s="120"/>
      <c r="BO89" s="120"/>
      <c r="BP89" s="120"/>
      <c r="BQ89" s="120"/>
      <c r="BR89" s="120"/>
    </row>
    <row r="90" spans="1:70" x14ac:dyDescent="0.25">
      <c r="A90" s="120"/>
      <c r="B90" s="120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120"/>
      <c r="AI90" s="120"/>
      <c r="AJ90" s="120"/>
      <c r="AK90" s="120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  <c r="AX90" s="120"/>
      <c r="AY90" s="120"/>
      <c r="AZ90" s="120"/>
      <c r="BA90" s="120"/>
      <c r="BB90" s="120"/>
      <c r="BC90" s="120"/>
      <c r="BD90" s="120"/>
      <c r="BE90" s="120"/>
      <c r="BF90" s="120"/>
      <c r="BG90" s="120"/>
      <c r="BH90" s="120"/>
      <c r="BI90" s="120"/>
      <c r="BJ90" s="120"/>
      <c r="BK90" s="120"/>
      <c r="BL90" s="120"/>
      <c r="BM90" s="120"/>
      <c r="BN90" s="120"/>
      <c r="BO90" s="120"/>
      <c r="BP90" s="120"/>
      <c r="BQ90" s="120"/>
      <c r="BR90" s="120"/>
    </row>
    <row r="91" spans="1:70" x14ac:dyDescent="0.25">
      <c r="A91" s="120"/>
      <c r="B91" s="120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120"/>
      <c r="AI91" s="120"/>
      <c r="AJ91" s="120"/>
      <c r="AK91" s="120"/>
      <c r="AL91" s="120"/>
      <c r="AM91" s="120"/>
      <c r="AN91" s="120"/>
      <c r="AO91" s="120"/>
      <c r="AP91" s="120"/>
      <c r="AQ91" s="120"/>
      <c r="AR91" s="120"/>
      <c r="AS91" s="120"/>
      <c r="AT91" s="120"/>
      <c r="AU91" s="120"/>
      <c r="AV91" s="120"/>
      <c r="AW91" s="120"/>
      <c r="AX91" s="120"/>
      <c r="AY91" s="120"/>
      <c r="AZ91" s="120"/>
      <c r="BA91" s="120"/>
      <c r="BB91" s="120"/>
      <c r="BC91" s="120"/>
      <c r="BD91" s="120"/>
      <c r="BE91" s="120"/>
      <c r="BF91" s="120"/>
      <c r="BG91" s="120"/>
      <c r="BH91" s="120"/>
      <c r="BI91" s="120"/>
      <c r="BJ91" s="120"/>
      <c r="BK91" s="120"/>
      <c r="BL91" s="120"/>
      <c r="BM91" s="120"/>
      <c r="BN91" s="120"/>
      <c r="BO91" s="120"/>
      <c r="BP91" s="120"/>
      <c r="BQ91" s="120"/>
      <c r="BR91" s="120"/>
    </row>
    <row r="92" spans="1:70" x14ac:dyDescent="0.25">
      <c r="A92" s="120"/>
      <c r="B92" s="120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120"/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  <c r="AY92" s="120"/>
      <c r="AZ92" s="120"/>
      <c r="BA92" s="120"/>
      <c r="BB92" s="120"/>
      <c r="BC92" s="120"/>
      <c r="BD92" s="120"/>
      <c r="BE92" s="120"/>
      <c r="BF92" s="120"/>
      <c r="BG92" s="120"/>
      <c r="BH92" s="120"/>
      <c r="BI92" s="120"/>
      <c r="BJ92" s="120"/>
      <c r="BK92" s="120"/>
      <c r="BL92" s="120"/>
      <c r="BM92" s="120"/>
      <c r="BN92" s="120"/>
      <c r="BO92" s="120"/>
      <c r="BP92" s="120"/>
      <c r="BQ92" s="120"/>
      <c r="BR92" s="120"/>
    </row>
    <row r="93" spans="1:70" x14ac:dyDescent="0.25">
      <c r="A93" s="120"/>
      <c r="B93" s="120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  <c r="AY93" s="120"/>
      <c r="AZ93" s="120"/>
      <c r="BA93" s="120"/>
      <c r="BB93" s="120"/>
      <c r="BC93" s="120"/>
      <c r="BD93" s="120"/>
      <c r="BE93" s="120"/>
      <c r="BF93" s="120"/>
      <c r="BG93" s="120"/>
      <c r="BH93" s="120"/>
      <c r="BI93" s="120"/>
      <c r="BJ93" s="120"/>
      <c r="BK93" s="120"/>
      <c r="BL93" s="120"/>
      <c r="BM93" s="120"/>
      <c r="BN93" s="120"/>
      <c r="BO93" s="120"/>
      <c r="BP93" s="120"/>
      <c r="BQ93" s="120"/>
      <c r="BR93" s="120"/>
    </row>
    <row r="94" spans="1:70" x14ac:dyDescent="0.25">
      <c r="A94" s="120"/>
      <c r="B94" s="120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  <c r="AZ94" s="120"/>
      <c r="BA94" s="120"/>
      <c r="BB94" s="120"/>
      <c r="BC94" s="120"/>
      <c r="BD94" s="120"/>
      <c r="BE94" s="120"/>
      <c r="BF94" s="120"/>
      <c r="BG94" s="120"/>
      <c r="BH94" s="120"/>
      <c r="BI94" s="120"/>
      <c r="BJ94" s="120"/>
      <c r="BK94" s="120"/>
      <c r="BL94" s="120"/>
      <c r="BM94" s="120"/>
      <c r="BN94" s="120"/>
      <c r="BO94" s="120"/>
      <c r="BP94" s="120"/>
      <c r="BQ94" s="120"/>
      <c r="BR94" s="120"/>
    </row>
    <row r="95" spans="1:70" x14ac:dyDescent="0.25">
      <c r="A95" s="120"/>
      <c r="B95" s="120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120"/>
      <c r="AI95" s="120"/>
      <c r="AJ95" s="120"/>
      <c r="AK95" s="120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  <c r="AX95" s="120"/>
      <c r="AY95" s="120"/>
      <c r="AZ95" s="120"/>
      <c r="BA95" s="120"/>
      <c r="BB95" s="120"/>
      <c r="BC95" s="120"/>
      <c r="BD95" s="120"/>
      <c r="BE95" s="120"/>
      <c r="BF95" s="120"/>
      <c r="BG95" s="120"/>
      <c r="BH95" s="120"/>
      <c r="BI95" s="120"/>
      <c r="BJ95" s="120"/>
      <c r="BK95" s="120"/>
      <c r="BL95" s="120"/>
      <c r="BM95" s="120"/>
      <c r="BN95" s="120"/>
      <c r="BO95" s="120"/>
      <c r="BP95" s="120"/>
      <c r="BQ95" s="120"/>
      <c r="BR95" s="120"/>
    </row>
    <row r="96" spans="1:70" x14ac:dyDescent="0.25">
      <c r="A96" s="120"/>
      <c r="B96" s="120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  <c r="AY96" s="120"/>
      <c r="AZ96" s="120"/>
      <c r="BA96" s="120"/>
      <c r="BB96" s="120"/>
      <c r="BC96" s="120"/>
      <c r="BD96" s="120"/>
      <c r="BE96" s="120"/>
      <c r="BF96" s="120"/>
      <c r="BG96" s="120"/>
      <c r="BH96" s="120"/>
      <c r="BI96" s="120"/>
      <c r="BJ96" s="120"/>
      <c r="BK96" s="120"/>
      <c r="BL96" s="120"/>
      <c r="BM96" s="120"/>
      <c r="BN96" s="120"/>
      <c r="BO96" s="120"/>
      <c r="BP96" s="120"/>
      <c r="BQ96" s="120"/>
      <c r="BR96" s="120"/>
    </row>
    <row r="97" spans="1:70" x14ac:dyDescent="0.25">
      <c r="A97" s="120"/>
      <c r="B97" s="120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120"/>
      <c r="AI97" s="120"/>
      <c r="AJ97" s="120"/>
      <c r="AK97" s="120"/>
      <c r="AL97" s="120"/>
      <c r="AM97" s="120"/>
      <c r="AN97" s="120"/>
      <c r="AO97" s="120"/>
      <c r="AP97" s="120"/>
      <c r="AQ97" s="120"/>
      <c r="AR97" s="120"/>
      <c r="AS97" s="120"/>
      <c r="AT97" s="120"/>
      <c r="AU97" s="120"/>
      <c r="AV97" s="120"/>
      <c r="AW97" s="120"/>
      <c r="AX97" s="120"/>
      <c r="AY97" s="120"/>
      <c r="AZ97" s="120"/>
      <c r="BA97" s="120"/>
      <c r="BB97" s="120"/>
      <c r="BC97" s="120"/>
      <c r="BD97" s="120"/>
      <c r="BE97" s="120"/>
      <c r="BF97" s="120"/>
      <c r="BG97" s="120"/>
      <c r="BH97" s="120"/>
      <c r="BI97" s="120"/>
      <c r="BJ97" s="120"/>
      <c r="BK97" s="120"/>
      <c r="BL97" s="120"/>
      <c r="BM97" s="120"/>
      <c r="BN97" s="120"/>
      <c r="BO97" s="120"/>
      <c r="BP97" s="120"/>
      <c r="BQ97" s="120"/>
      <c r="BR97" s="120"/>
    </row>
    <row r="98" spans="1:70" x14ac:dyDescent="0.25">
      <c r="A98" s="120"/>
      <c r="B98" s="120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  <c r="AX98" s="120"/>
      <c r="AY98" s="120"/>
      <c r="AZ98" s="120"/>
      <c r="BA98" s="120"/>
      <c r="BB98" s="120"/>
      <c r="BC98" s="120"/>
      <c r="BD98" s="120"/>
      <c r="BE98" s="120"/>
      <c r="BF98" s="120"/>
      <c r="BG98" s="120"/>
      <c r="BH98" s="120"/>
      <c r="BI98" s="120"/>
      <c r="BJ98" s="120"/>
      <c r="BK98" s="120"/>
      <c r="BL98" s="120"/>
      <c r="BM98" s="120"/>
      <c r="BN98" s="120"/>
      <c r="BO98" s="120"/>
      <c r="BP98" s="120"/>
      <c r="BQ98" s="120"/>
      <c r="BR98" s="120"/>
    </row>
    <row r="99" spans="1:70" x14ac:dyDescent="0.25">
      <c r="A99" s="120"/>
      <c r="B99" s="120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  <c r="AX99" s="120"/>
      <c r="AY99" s="120"/>
      <c r="AZ99" s="120"/>
      <c r="BA99" s="120"/>
      <c r="BB99" s="120"/>
      <c r="BC99" s="120"/>
      <c r="BD99" s="120"/>
      <c r="BE99" s="120"/>
      <c r="BF99" s="120"/>
      <c r="BG99" s="120"/>
      <c r="BH99" s="120"/>
      <c r="BI99" s="120"/>
      <c r="BJ99" s="120"/>
      <c r="BK99" s="120"/>
      <c r="BL99" s="120"/>
      <c r="BM99" s="120"/>
      <c r="BN99" s="120"/>
      <c r="BO99" s="120"/>
      <c r="BP99" s="120"/>
      <c r="BQ99" s="120"/>
      <c r="BR99" s="120"/>
    </row>
    <row r="100" spans="1:70" x14ac:dyDescent="0.25">
      <c r="A100" s="120"/>
      <c r="B100" s="120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  <c r="AX100" s="120"/>
      <c r="AY100" s="120"/>
      <c r="AZ100" s="120"/>
      <c r="BA100" s="120"/>
      <c r="BB100" s="120"/>
      <c r="BC100" s="120"/>
      <c r="BD100" s="120"/>
      <c r="BE100" s="120"/>
      <c r="BF100" s="120"/>
      <c r="BG100" s="120"/>
      <c r="BH100" s="120"/>
      <c r="BI100" s="120"/>
      <c r="BJ100" s="120"/>
      <c r="BK100" s="120"/>
      <c r="BL100" s="120"/>
      <c r="BM100" s="120"/>
      <c r="BN100" s="120"/>
      <c r="BO100" s="120"/>
      <c r="BP100" s="120"/>
      <c r="BQ100" s="120"/>
      <c r="BR100" s="120"/>
    </row>
    <row r="101" spans="1:70" x14ac:dyDescent="0.25">
      <c r="A101" s="120"/>
      <c r="B101" s="120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  <c r="AX101" s="120"/>
      <c r="AY101" s="120"/>
      <c r="AZ101" s="120"/>
      <c r="BA101" s="120"/>
      <c r="BB101" s="120"/>
      <c r="BC101" s="120"/>
      <c r="BD101" s="120"/>
      <c r="BE101" s="120"/>
      <c r="BF101" s="120"/>
      <c r="BG101" s="120"/>
      <c r="BH101" s="120"/>
      <c r="BI101" s="120"/>
      <c r="BJ101" s="120"/>
      <c r="BK101" s="120"/>
      <c r="BL101" s="120"/>
      <c r="BM101" s="120"/>
      <c r="BN101" s="120"/>
      <c r="BO101" s="120"/>
      <c r="BP101" s="120"/>
      <c r="BQ101" s="120"/>
      <c r="BR101" s="120"/>
    </row>
    <row r="102" spans="1:70" x14ac:dyDescent="0.25">
      <c r="A102" s="120"/>
      <c r="B102" s="120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  <c r="AX102" s="120"/>
      <c r="AY102" s="120"/>
      <c r="AZ102" s="120"/>
      <c r="BA102" s="120"/>
      <c r="BB102" s="120"/>
      <c r="BC102" s="120"/>
      <c r="BD102" s="120"/>
      <c r="BE102" s="120"/>
      <c r="BF102" s="120"/>
      <c r="BG102" s="120"/>
      <c r="BH102" s="120"/>
      <c r="BI102" s="120"/>
      <c r="BJ102" s="120"/>
      <c r="BK102" s="120"/>
      <c r="BL102" s="120"/>
      <c r="BM102" s="120"/>
      <c r="BN102" s="120"/>
      <c r="BO102" s="120"/>
      <c r="BP102" s="120"/>
      <c r="BQ102" s="120"/>
      <c r="BR102" s="120"/>
    </row>
    <row r="103" spans="1:70" x14ac:dyDescent="0.25">
      <c r="A103" s="120"/>
      <c r="B103" s="120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20"/>
      <c r="AW103" s="120"/>
      <c r="AX103" s="120"/>
      <c r="AY103" s="120"/>
      <c r="AZ103" s="120"/>
      <c r="BA103" s="120"/>
      <c r="BB103" s="120"/>
      <c r="BC103" s="120"/>
      <c r="BD103" s="120"/>
      <c r="BE103" s="120"/>
      <c r="BF103" s="120"/>
      <c r="BG103" s="120"/>
      <c r="BH103" s="120"/>
      <c r="BI103" s="120"/>
      <c r="BJ103" s="120"/>
      <c r="BK103" s="120"/>
      <c r="BL103" s="120"/>
      <c r="BM103" s="120"/>
      <c r="BN103" s="120"/>
      <c r="BO103" s="120"/>
      <c r="BP103" s="120"/>
      <c r="BQ103" s="120"/>
      <c r="BR103" s="120"/>
    </row>
    <row r="104" spans="1:70" x14ac:dyDescent="0.25">
      <c r="A104" s="120"/>
      <c r="B104" s="120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  <c r="BB104" s="120"/>
      <c r="BC104" s="120"/>
      <c r="BD104" s="120"/>
      <c r="BE104" s="120"/>
      <c r="BF104" s="120"/>
      <c r="BG104" s="120"/>
      <c r="BH104" s="120"/>
      <c r="BI104" s="120"/>
      <c r="BJ104" s="120"/>
      <c r="BK104" s="120"/>
      <c r="BL104" s="120"/>
      <c r="BM104" s="120"/>
      <c r="BN104" s="120"/>
      <c r="BO104" s="120"/>
      <c r="BP104" s="120"/>
      <c r="BQ104" s="120"/>
      <c r="BR104" s="120"/>
    </row>
    <row r="105" spans="1:70" x14ac:dyDescent="0.25">
      <c r="A105" s="120"/>
      <c r="B105" s="120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  <c r="BB105" s="120"/>
      <c r="BC105" s="120"/>
      <c r="BD105" s="120"/>
      <c r="BE105" s="120"/>
      <c r="BF105" s="120"/>
      <c r="BG105" s="120"/>
      <c r="BH105" s="120"/>
      <c r="BI105" s="120"/>
      <c r="BJ105" s="120"/>
      <c r="BK105" s="120"/>
      <c r="BL105" s="120"/>
      <c r="BM105" s="120"/>
      <c r="BN105" s="120"/>
      <c r="BO105" s="120"/>
      <c r="BP105" s="120"/>
      <c r="BQ105" s="120"/>
      <c r="BR105" s="120"/>
    </row>
    <row r="106" spans="1:70" x14ac:dyDescent="0.25">
      <c r="A106" s="120"/>
      <c r="B106" s="120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  <c r="BB106" s="120"/>
      <c r="BC106" s="120"/>
      <c r="BD106" s="120"/>
      <c r="BE106" s="120"/>
      <c r="BF106" s="120"/>
      <c r="BG106" s="120"/>
      <c r="BH106" s="120"/>
      <c r="BI106" s="120"/>
      <c r="BJ106" s="120"/>
      <c r="BK106" s="120"/>
      <c r="BL106" s="120"/>
      <c r="BM106" s="120"/>
      <c r="BN106" s="120"/>
      <c r="BO106" s="120"/>
      <c r="BP106" s="120"/>
      <c r="BQ106" s="120"/>
      <c r="BR106" s="120"/>
    </row>
    <row r="107" spans="1:70" x14ac:dyDescent="0.25">
      <c r="A107" s="120"/>
      <c r="B107" s="120"/>
      <c r="C107" s="120"/>
      <c r="D107" s="120"/>
      <c r="E107" s="120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  <c r="AX107" s="120"/>
      <c r="AY107" s="120"/>
      <c r="AZ107" s="120"/>
      <c r="BA107" s="120"/>
      <c r="BB107" s="120"/>
      <c r="BC107" s="120"/>
      <c r="BD107" s="120"/>
      <c r="BE107" s="120"/>
      <c r="BF107" s="120"/>
      <c r="BG107" s="120"/>
      <c r="BH107" s="120"/>
      <c r="BI107" s="120"/>
      <c r="BJ107" s="120"/>
      <c r="BK107" s="120"/>
      <c r="BL107" s="120"/>
      <c r="BM107" s="120"/>
      <c r="BN107" s="120"/>
      <c r="BO107" s="120"/>
      <c r="BP107" s="120"/>
      <c r="BQ107" s="120"/>
      <c r="BR107" s="120"/>
    </row>
    <row r="108" spans="1:70" x14ac:dyDescent="0.25">
      <c r="A108" s="120"/>
      <c r="B108" s="120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  <c r="AY108" s="120"/>
      <c r="AZ108" s="120"/>
      <c r="BA108" s="120"/>
      <c r="BB108" s="120"/>
      <c r="BC108" s="120"/>
      <c r="BD108" s="120"/>
      <c r="BE108" s="120"/>
      <c r="BF108" s="120"/>
      <c r="BG108" s="120"/>
      <c r="BH108" s="120"/>
      <c r="BI108" s="120"/>
      <c r="BJ108" s="120"/>
      <c r="BK108" s="120"/>
      <c r="BL108" s="120"/>
      <c r="BM108" s="120"/>
      <c r="BN108" s="120"/>
      <c r="BO108" s="120"/>
      <c r="BP108" s="120"/>
      <c r="BQ108" s="120"/>
      <c r="BR108" s="120"/>
    </row>
    <row r="109" spans="1:70" x14ac:dyDescent="0.25">
      <c r="A109" s="120"/>
      <c r="B109" s="120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120"/>
      <c r="AG109" s="120"/>
      <c r="AH109" s="120"/>
      <c r="AI109" s="120"/>
      <c r="AJ109" s="120"/>
      <c r="AK109" s="120"/>
      <c r="AL109" s="120"/>
      <c r="AM109" s="120"/>
      <c r="AN109" s="120"/>
      <c r="AO109" s="120"/>
      <c r="AP109" s="120"/>
      <c r="AQ109" s="120"/>
      <c r="AR109" s="120"/>
      <c r="AS109" s="120"/>
      <c r="AT109" s="120"/>
      <c r="AU109" s="120"/>
      <c r="AV109" s="120"/>
      <c r="AW109" s="120"/>
      <c r="AX109" s="120"/>
      <c r="AY109" s="120"/>
      <c r="AZ109" s="120"/>
      <c r="BA109" s="120"/>
      <c r="BB109" s="120"/>
      <c r="BC109" s="120"/>
      <c r="BD109" s="120"/>
      <c r="BE109" s="120"/>
      <c r="BF109" s="120"/>
      <c r="BG109" s="120"/>
      <c r="BH109" s="120"/>
      <c r="BI109" s="120"/>
      <c r="BJ109" s="120"/>
      <c r="BK109" s="120"/>
      <c r="BL109" s="120"/>
      <c r="BM109" s="120"/>
      <c r="BN109" s="120"/>
      <c r="BO109" s="120"/>
      <c r="BP109" s="120"/>
      <c r="BQ109" s="120"/>
      <c r="BR109" s="120"/>
    </row>
    <row r="110" spans="1:70" x14ac:dyDescent="0.25">
      <c r="A110" s="120"/>
      <c r="B110" s="120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  <c r="AX110" s="120"/>
      <c r="AY110" s="120"/>
      <c r="AZ110" s="120"/>
      <c r="BA110" s="120"/>
      <c r="BB110" s="120"/>
      <c r="BC110" s="120"/>
      <c r="BD110" s="120"/>
      <c r="BE110" s="120"/>
      <c r="BF110" s="120"/>
      <c r="BG110" s="120"/>
      <c r="BH110" s="120"/>
      <c r="BI110" s="120"/>
      <c r="BJ110" s="120"/>
      <c r="BK110" s="120"/>
      <c r="BL110" s="120"/>
      <c r="BM110" s="120"/>
      <c r="BN110" s="120"/>
      <c r="BO110" s="120"/>
      <c r="BP110" s="120"/>
      <c r="BQ110" s="120"/>
      <c r="BR110" s="120"/>
    </row>
    <row r="111" spans="1:70" x14ac:dyDescent="0.25">
      <c r="A111" s="120"/>
      <c r="B111" s="120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20"/>
      <c r="AM111" s="120"/>
      <c r="AN111" s="120"/>
      <c r="AO111" s="120"/>
      <c r="AP111" s="120"/>
      <c r="AQ111" s="120"/>
      <c r="AR111" s="120"/>
      <c r="AS111" s="120"/>
      <c r="AT111" s="120"/>
      <c r="AU111" s="120"/>
      <c r="AV111" s="120"/>
      <c r="AW111" s="120"/>
      <c r="AX111" s="120"/>
      <c r="AY111" s="120"/>
      <c r="AZ111" s="120"/>
      <c r="BA111" s="120"/>
      <c r="BB111" s="120"/>
      <c r="BC111" s="120"/>
      <c r="BD111" s="120"/>
      <c r="BE111" s="120"/>
      <c r="BF111" s="120"/>
      <c r="BG111" s="120"/>
      <c r="BH111" s="120"/>
      <c r="BI111" s="120"/>
      <c r="BJ111" s="120"/>
      <c r="BK111" s="120"/>
      <c r="BL111" s="120"/>
      <c r="BM111" s="120"/>
      <c r="BN111" s="120"/>
      <c r="BO111" s="120"/>
      <c r="BP111" s="120"/>
      <c r="BQ111" s="120"/>
      <c r="BR111" s="120"/>
    </row>
    <row r="112" spans="1:70" x14ac:dyDescent="0.25">
      <c r="A112" s="120"/>
      <c r="B112" s="120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20"/>
      <c r="BA112" s="120"/>
      <c r="BB112" s="120"/>
      <c r="BC112" s="120"/>
      <c r="BD112" s="120"/>
      <c r="BE112" s="120"/>
      <c r="BF112" s="120"/>
      <c r="BG112" s="120"/>
      <c r="BH112" s="120"/>
      <c r="BI112" s="120"/>
      <c r="BJ112" s="120"/>
      <c r="BK112" s="120"/>
      <c r="BL112" s="120"/>
      <c r="BM112" s="120"/>
      <c r="BN112" s="120"/>
      <c r="BO112" s="120"/>
      <c r="BP112" s="120"/>
      <c r="BQ112" s="120"/>
      <c r="BR112" s="120"/>
    </row>
    <row r="113" spans="1:70" x14ac:dyDescent="0.25">
      <c r="A113" s="120"/>
      <c r="B113" s="120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20"/>
      <c r="AM113" s="120"/>
      <c r="AN113" s="120"/>
      <c r="AO113" s="120"/>
      <c r="AP113" s="120"/>
      <c r="AQ113" s="120"/>
      <c r="AR113" s="120"/>
      <c r="AS113" s="120"/>
      <c r="AT113" s="120"/>
      <c r="AU113" s="120"/>
      <c r="AV113" s="120"/>
      <c r="AW113" s="120"/>
      <c r="AX113" s="120"/>
      <c r="AY113" s="120"/>
      <c r="AZ113" s="120"/>
      <c r="BA113" s="120"/>
      <c r="BB113" s="120"/>
      <c r="BC113" s="120"/>
      <c r="BD113" s="120"/>
      <c r="BE113" s="120"/>
      <c r="BF113" s="120"/>
      <c r="BG113" s="120"/>
      <c r="BH113" s="120"/>
      <c r="BI113" s="120"/>
      <c r="BJ113" s="120"/>
      <c r="BK113" s="120"/>
      <c r="BL113" s="120"/>
      <c r="BM113" s="120"/>
      <c r="BN113" s="120"/>
      <c r="BO113" s="120"/>
      <c r="BP113" s="120"/>
      <c r="BQ113" s="120"/>
      <c r="BR113" s="120"/>
    </row>
    <row r="114" spans="1:70" x14ac:dyDescent="0.25">
      <c r="A114" s="120"/>
      <c r="B114" s="120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  <c r="BB114" s="120"/>
      <c r="BC114" s="120"/>
      <c r="BD114" s="120"/>
      <c r="BE114" s="120"/>
      <c r="BF114" s="120"/>
      <c r="BG114" s="120"/>
      <c r="BH114" s="120"/>
      <c r="BI114" s="120"/>
      <c r="BJ114" s="120"/>
      <c r="BK114" s="120"/>
      <c r="BL114" s="120"/>
      <c r="BM114" s="120"/>
      <c r="BN114" s="120"/>
      <c r="BO114" s="120"/>
      <c r="BP114" s="120"/>
      <c r="BQ114" s="120"/>
      <c r="BR114" s="120"/>
    </row>
    <row r="115" spans="1:70" x14ac:dyDescent="0.25">
      <c r="A115" s="120"/>
      <c r="B115" s="120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/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0"/>
      <c r="BJ115" s="120"/>
      <c r="BK115" s="120"/>
      <c r="BL115" s="120"/>
      <c r="BM115" s="120"/>
      <c r="BN115" s="120"/>
      <c r="BO115" s="120"/>
      <c r="BP115" s="120"/>
      <c r="BQ115" s="120"/>
      <c r="BR115" s="120"/>
    </row>
    <row r="116" spans="1:70" x14ac:dyDescent="0.25">
      <c r="A116" s="120"/>
      <c r="B116" s="120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20"/>
      <c r="AK116" s="120"/>
      <c r="AL116" s="120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20"/>
      <c r="AW116" s="120"/>
      <c r="AX116" s="120"/>
      <c r="AY116" s="120"/>
      <c r="AZ116" s="120"/>
      <c r="BA116" s="120"/>
      <c r="BB116" s="120"/>
      <c r="BC116" s="120"/>
      <c r="BD116" s="120"/>
      <c r="BE116" s="120"/>
      <c r="BF116" s="120"/>
      <c r="BG116" s="120"/>
      <c r="BH116" s="120"/>
      <c r="BI116" s="120"/>
      <c r="BJ116" s="120"/>
      <c r="BK116" s="120"/>
      <c r="BL116" s="120"/>
      <c r="BM116" s="120"/>
      <c r="BN116" s="120"/>
      <c r="BO116" s="120"/>
      <c r="BP116" s="120"/>
      <c r="BQ116" s="120"/>
      <c r="BR116" s="120"/>
    </row>
    <row r="117" spans="1:70" x14ac:dyDescent="0.25">
      <c r="A117" s="120"/>
      <c r="B117" s="120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120"/>
      <c r="AK117" s="120"/>
      <c r="AL117" s="120"/>
      <c r="AM117" s="120"/>
      <c r="AN117" s="120"/>
      <c r="AO117" s="120"/>
      <c r="AP117" s="120"/>
      <c r="AQ117" s="120"/>
      <c r="AR117" s="120"/>
      <c r="AS117" s="120"/>
      <c r="AT117" s="120"/>
      <c r="AU117" s="120"/>
      <c r="AV117" s="120"/>
      <c r="AW117" s="120"/>
      <c r="AX117" s="120"/>
      <c r="AY117" s="120"/>
      <c r="AZ117" s="120"/>
      <c r="BA117" s="120"/>
      <c r="BB117" s="120"/>
      <c r="BC117" s="120"/>
      <c r="BD117" s="120"/>
      <c r="BE117" s="120"/>
      <c r="BF117" s="120"/>
      <c r="BG117" s="120"/>
      <c r="BH117" s="120"/>
      <c r="BI117" s="120"/>
      <c r="BJ117" s="120"/>
      <c r="BK117" s="120"/>
      <c r="BL117" s="120"/>
      <c r="BM117" s="120"/>
      <c r="BN117" s="120"/>
      <c r="BO117" s="120"/>
      <c r="BP117" s="120"/>
      <c r="BQ117" s="120"/>
      <c r="BR117" s="120"/>
    </row>
    <row r="118" spans="1:70" x14ac:dyDescent="0.25">
      <c r="A118" s="120"/>
      <c r="B118" s="120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  <c r="Z118" s="120"/>
      <c r="AA118" s="120"/>
      <c r="AB118" s="120"/>
      <c r="AC118" s="120"/>
      <c r="AD118" s="120"/>
      <c r="AE118" s="120"/>
      <c r="AF118" s="120"/>
      <c r="AG118" s="120"/>
      <c r="AH118" s="120"/>
      <c r="AI118" s="120"/>
      <c r="AJ118" s="120"/>
      <c r="AK118" s="120"/>
      <c r="AL118" s="120"/>
      <c r="AM118" s="120"/>
      <c r="AN118" s="120"/>
      <c r="AO118" s="120"/>
      <c r="AP118" s="120"/>
      <c r="AQ118" s="120"/>
      <c r="AR118" s="120"/>
      <c r="AS118" s="120"/>
      <c r="AT118" s="120"/>
      <c r="AU118" s="120"/>
      <c r="AV118" s="120"/>
      <c r="AW118" s="120"/>
      <c r="AX118" s="120"/>
      <c r="AY118" s="120"/>
      <c r="AZ118" s="120"/>
      <c r="BA118" s="120"/>
      <c r="BB118" s="120"/>
      <c r="BC118" s="120"/>
      <c r="BD118" s="120"/>
      <c r="BE118" s="120"/>
      <c r="BF118" s="120"/>
      <c r="BG118" s="120"/>
      <c r="BH118" s="120"/>
      <c r="BI118" s="120"/>
      <c r="BJ118" s="120"/>
      <c r="BK118" s="120"/>
      <c r="BL118" s="120"/>
      <c r="BM118" s="120"/>
      <c r="BN118" s="120"/>
      <c r="BO118" s="120"/>
      <c r="BP118" s="120"/>
      <c r="BQ118" s="120"/>
      <c r="BR118" s="120"/>
    </row>
    <row r="119" spans="1:70" x14ac:dyDescent="0.25">
      <c r="A119" s="120"/>
      <c r="B119" s="120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/>
      <c r="AW119" s="120"/>
      <c r="AX119" s="120"/>
      <c r="AY119" s="120"/>
      <c r="AZ119" s="120"/>
      <c r="BA119" s="120"/>
      <c r="BB119" s="120"/>
      <c r="BC119" s="120"/>
      <c r="BD119" s="120"/>
      <c r="BE119" s="120"/>
      <c r="BF119" s="120"/>
      <c r="BG119" s="120"/>
      <c r="BH119" s="120"/>
      <c r="BI119" s="120"/>
      <c r="BJ119" s="120"/>
      <c r="BK119" s="120"/>
      <c r="BL119" s="120"/>
      <c r="BM119" s="120"/>
      <c r="BN119" s="120"/>
      <c r="BO119" s="120"/>
      <c r="BP119" s="120"/>
      <c r="BQ119" s="120"/>
      <c r="BR119" s="120"/>
    </row>
    <row r="120" spans="1:70" x14ac:dyDescent="0.25">
      <c r="A120" s="120"/>
      <c r="B120" s="120"/>
      <c r="C120" s="120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  <c r="Z120" s="120"/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  <c r="AX120" s="120"/>
      <c r="AY120" s="120"/>
      <c r="AZ120" s="120"/>
      <c r="BA120" s="120"/>
      <c r="BB120" s="120"/>
      <c r="BC120" s="120"/>
      <c r="BD120" s="120"/>
      <c r="BE120" s="120"/>
      <c r="BF120" s="120"/>
      <c r="BG120" s="120"/>
      <c r="BH120" s="120"/>
      <c r="BI120" s="120"/>
      <c r="BJ120" s="120"/>
      <c r="BK120" s="120"/>
      <c r="BL120" s="120"/>
      <c r="BM120" s="120"/>
      <c r="BN120" s="120"/>
      <c r="BO120" s="120"/>
      <c r="BP120" s="120"/>
      <c r="BQ120" s="120"/>
      <c r="BR120" s="120"/>
    </row>
    <row r="121" spans="1:70" x14ac:dyDescent="0.25">
      <c r="A121" s="120"/>
      <c r="B121" s="120"/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  <c r="BA121" s="120"/>
      <c r="BB121" s="120"/>
      <c r="BC121" s="120"/>
      <c r="BD121" s="120"/>
      <c r="BE121" s="120"/>
      <c r="BF121" s="120"/>
      <c r="BG121" s="120"/>
      <c r="BH121" s="120"/>
      <c r="BI121" s="120"/>
      <c r="BJ121" s="120"/>
      <c r="BK121" s="120"/>
      <c r="BL121" s="120"/>
      <c r="BM121" s="120"/>
      <c r="BN121" s="120"/>
      <c r="BO121" s="120"/>
      <c r="BP121" s="120"/>
      <c r="BQ121" s="120"/>
      <c r="BR121" s="120"/>
    </row>
    <row r="122" spans="1:70" x14ac:dyDescent="0.25">
      <c r="A122" s="120"/>
      <c r="B122" s="120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0"/>
      <c r="BD122" s="120"/>
      <c r="BE122" s="120"/>
      <c r="BF122" s="120"/>
      <c r="BG122" s="120"/>
      <c r="BH122" s="120"/>
      <c r="BI122" s="120"/>
      <c r="BJ122" s="120"/>
      <c r="BK122" s="120"/>
      <c r="BL122" s="120"/>
      <c r="BM122" s="120"/>
      <c r="BN122" s="120"/>
      <c r="BO122" s="120"/>
      <c r="BP122" s="120"/>
      <c r="BQ122" s="120"/>
      <c r="BR122" s="120"/>
    </row>
    <row r="123" spans="1:70" x14ac:dyDescent="0.25">
      <c r="A123" s="120"/>
      <c r="B123" s="120"/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  <c r="BA123" s="120"/>
      <c r="BB123" s="120"/>
      <c r="BC123" s="120"/>
      <c r="BD123" s="120"/>
      <c r="BE123" s="120"/>
      <c r="BF123" s="120"/>
      <c r="BG123" s="120"/>
      <c r="BH123" s="120"/>
      <c r="BI123" s="120"/>
      <c r="BJ123" s="120"/>
      <c r="BK123" s="120"/>
      <c r="BL123" s="120"/>
      <c r="BM123" s="120"/>
      <c r="BN123" s="120"/>
      <c r="BO123" s="120"/>
      <c r="BP123" s="120"/>
      <c r="BQ123" s="120"/>
      <c r="BR123" s="120"/>
    </row>
    <row r="124" spans="1:70" x14ac:dyDescent="0.25">
      <c r="A124" s="120"/>
      <c r="B124" s="120"/>
      <c r="C124" s="120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  <c r="Y124" s="120"/>
      <c r="Z124" s="120"/>
      <c r="AA124" s="120"/>
      <c r="AB124" s="120"/>
      <c r="AC124" s="120"/>
      <c r="AD124" s="120"/>
      <c r="AE124" s="120"/>
      <c r="AF124" s="120"/>
      <c r="AG124" s="120"/>
      <c r="AH124" s="120"/>
      <c r="AI124" s="120"/>
      <c r="AJ124" s="120"/>
      <c r="AK124" s="120"/>
      <c r="AL124" s="120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20"/>
      <c r="AW124" s="120"/>
      <c r="AX124" s="120"/>
      <c r="AY124" s="120"/>
      <c r="AZ124" s="120"/>
      <c r="BA124" s="120"/>
      <c r="BB124" s="120"/>
      <c r="BC124" s="120"/>
      <c r="BD124" s="120"/>
      <c r="BE124" s="120"/>
      <c r="BF124" s="120"/>
      <c r="BG124" s="120"/>
      <c r="BH124" s="120"/>
      <c r="BI124" s="120"/>
      <c r="BJ124" s="120"/>
      <c r="BK124" s="120"/>
      <c r="BL124" s="120"/>
      <c r="BM124" s="120"/>
      <c r="BN124" s="120"/>
      <c r="BO124" s="120"/>
      <c r="BP124" s="120"/>
      <c r="BQ124" s="120"/>
      <c r="BR124" s="120"/>
    </row>
    <row r="125" spans="1:70" x14ac:dyDescent="0.25">
      <c r="A125" s="120"/>
      <c r="B125" s="120"/>
      <c r="C125" s="120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  <c r="Y125" s="120"/>
      <c r="Z125" s="120"/>
      <c r="AA125" s="120"/>
      <c r="AB125" s="120"/>
      <c r="AC125" s="120"/>
      <c r="AD125" s="120"/>
      <c r="AE125" s="120"/>
      <c r="AF125" s="120"/>
      <c r="AG125" s="120"/>
      <c r="AH125" s="120"/>
      <c r="AI125" s="120"/>
      <c r="AJ125" s="120"/>
      <c r="AK125" s="120"/>
      <c r="AL125" s="120"/>
      <c r="AM125" s="120"/>
      <c r="AN125" s="120"/>
      <c r="AO125" s="120"/>
      <c r="AP125" s="120"/>
      <c r="AQ125" s="120"/>
      <c r="AR125" s="120"/>
      <c r="AS125" s="120"/>
      <c r="AT125" s="120"/>
      <c r="AU125" s="120"/>
      <c r="AV125" s="120"/>
      <c r="AW125" s="120"/>
      <c r="AX125" s="120"/>
      <c r="AY125" s="120"/>
      <c r="AZ125" s="120"/>
      <c r="BA125" s="120"/>
      <c r="BB125" s="120"/>
      <c r="BC125" s="120"/>
      <c r="BD125" s="120"/>
      <c r="BE125" s="120"/>
      <c r="BF125" s="120"/>
      <c r="BG125" s="120"/>
      <c r="BH125" s="120"/>
      <c r="BI125" s="120"/>
      <c r="BJ125" s="120"/>
      <c r="BK125" s="120"/>
      <c r="BL125" s="120"/>
      <c r="BM125" s="120"/>
      <c r="BN125" s="120"/>
      <c r="BO125" s="120"/>
      <c r="BP125" s="120"/>
      <c r="BQ125" s="120"/>
      <c r="BR125" s="120"/>
    </row>
    <row r="126" spans="1:70" x14ac:dyDescent="0.25">
      <c r="A126" s="120"/>
      <c r="B126" s="120"/>
      <c r="C126" s="120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  <c r="Z126" s="120"/>
      <c r="AA126" s="120"/>
      <c r="AB126" s="120"/>
      <c r="AC126" s="120"/>
      <c r="AD126" s="120"/>
      <c r="AE126" s="120"/>
      <c r="AF126" s="120"/>
      <c r="AG126" s="120"/>
      <c r="AH126" s="120"/>
      <c r="AI126" s="120"/>
      <c r="AJ126" s="120"/>
      <c r="AK126" s="120"/>
      <c r="AL126" s="120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20"/>
      <c r="AW126" s="120"/>
      <c r="AX126" s="120"/>
      <c r="AY126" s="120"/>
      <c r="AZ126" s="120"/>
      <c r="BA126" s="120"/>
      <c r="BB126" s="120"/>
      <c r="BC126" s="120"/>
      <c r="BD126" s="120"/>
      <c r="BE126" s="120"/>
      <c r="BF126" s="120"/>
      <c r="BG126" s="120"/>
      <c r="BH126" s="120"/>
      <c r="BI126" s="120"/>
      <c r="BJ126" s="120"/>
      <c r="BK126" s="120"/>
      <c r="BL126" s="120"/>
      <c r="BM126" s="120"/>
      <c r="BN126" s="120"/>
      <c r="BO126" s="120"/>
      <c r="BP126" s="120"/>
      <c r="BQ126" s="120"/>
      <c r="BR126" s="120"/>
    </row>
    <row r="127" spans="1:70" x14ac:dyDescent="0.25">
      <c r="A127" s="120"/>
      <c r="B127" s="120"/>
      <c r="C127" s="120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120"/>
      <c r="AG127" s="120"/>
      <c r="AH127" s="120"/>
      <c r="AI127" s="120"/>
      <c r="AJ127" s="120"/>
      <c r="AK127" s="120"/>
      <c r="AL127" s="120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20"/>
      <c r="AW127" s="120"/>
      <c r="AX127" s="120"/>
      <c r="AY127" s="120"/>
      <c r="AZ127" s="120"/>
      <c r="BA127" s="120"/>
      <c r="BB127" s="120"/>
      <c r="BC127" s="120"/>
      <c r="BD127" s="120"/>
      <c r="BE127" s="120"/>
      <c r="BF127" s="120"/>
      <c r="BG127" s="120"/>
      <c r="BH127" s="120"/>
      <c r="BI127" s="120"/>
      <c r="BJ127" s="120"/>
      <c r="BK127" s="120"/>
      <c r="BL127" s="120"/>
      <c r="BM127" s="120"/>
      <c r="BN127" s="120"/>
      <c r="BO127" s="120"/>
      <c r="BP127" s="120"/>
      <c r="BQ127" s="120"/>
      <c r="BR127" s="120"/>
    </row>
    <row r="128" spans="1:70" x14ac:dyDescent="0.25">
      <c r="A128" s="120"/>
      <c r="B128" s="120"/>
      <c r="C128" s="120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0"/>
      <c r="AF128" s="120"/>
      <c r="AG128" s="120"/>
      <c r="AH128" s="120"/>
      <c r="AI128" s="120"/>
      <c r="AJ128" s="120"/>
      <c r="AK128" s="120"/>
      <c r="AL128" s="120"/>
      <c r="AM128" s="120"/>
      <c r="AN128" s="120"/>
      <c r="AO128" s="120"/>
      <c r="AP128" s="120"/>
      <c r="AQ128" s="120"/>
      <c r="AR128" s="120"/>
      <c r="AS128" s="120"/>
      <c r="AT128" s="120"/>
      <c r="AU128" s="120"/>
      <c r="AV128" s="120"/>
      <c r="AW128" s="120"/>
      <c r="AX128" s="120"/>
      <c r="AY128" s="120"/>
      <c r="AZ128" s="120"/>
      <c r="BA128" s="120"/>
      <c r="BB128" s="120"/>
      <c r="BC128" s="120"/>
      <c r="BD128" s="120"/>
      <c r="BE128" s="120"/>
      <c r="BF128" s="120"/>
      <c r="BG128" s="120"/>
      <c r="BH128" s="120"/>
      <c r="BI128" s="120"/>
      <c r="BJ128" s="120"/>
      <c r="BK128" s="120"/>
      <c r="BL128" s="120"/>
      <c r="BM128" s="120"/>
      <c r="BN128" s="120"/>
      <c r="BO128" s="120"/>
      <c r="BP128" s="120"/>
      <c r="BQ128" s="120"/>
      <c r="BR128" s="120"/>
    </row>
    <row r="129" spans="1:70" x14ac:dyDescent="0.25">
      <c r="A129" s="120"/>
      <c r="B129" s="120"/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/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/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20"/>
      <c r="BK129" s="120"/>
      <c r="BL129" s="120"/>
      <c r="BM129" s="120"/>
      <c r="BN129" s="120"/>
      <c r="BO129" s="120"/>
      <c r="BP129" s="120"/>
      <c r="BQ129" s="120"/>
      <c r="BR129" s="120"/>
    </row>
    <row r="130" spans="1:70" x14ac:dyDescent="0.25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120"/>
      <c r="AK130" s="120"/>
      <c r="AL130" s="120"/>
      <c r="AM130" s="120"/>
      <c r="AN130" s="120"/>
      <c r="AO130" s="120"/>
      <c r="AP130" s="120"/>
      <c r="AQ130" s="120"/>
      <c r="AR130" s="120"/>
      <c r="AS130" s="120"/>
      <c r="AT130" s="120"/>
      <c r="AU130" s="120"/>
      <c r="AV130" s="120"/>
      <c r="AW130" s="120"/>
      <c r="AX130" s="120"/>
      <c r="AY130" s="120"/>
      <c r="AZ130" s="120"/>
      <c r="BA130" s="120"/>
      <c r="BB130" s="120"/>
      <c r="BC130" s="120"/>
      <c r="BD130" s="120"/>
      <c r="BE130" s="120"/>
      <c r="BF130" s="120"/>
      <c r="BG130" s="120"/>
      <c r="BH130" s="120"/>
      <c r="BI130" s="120"/>
      <c r="BJ130" s="120"/>
      <c r="BK130" s="120"/>
      <c r="BL130" s="120"/>
      <c r="BM130" s="120"/>
      <c r="BN130" s="120"/>
      <c r="BO130" s="120"/>
      <c r="BP130" s="120"/>
      <c r="BQ130" s="120"/>
      <c r="BR130" s="120"/>
    </row>
    <row r="131" spans="1:70" x14ac:dyDescent="0.25">
      <c r="A131" s="120"/>
      <c r="B131" s="120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  <c r="AA131" s="120"/>
      <c r="AB131" s="120"/>
      <c r="AC131" s="120"/>
      <c r="AD131" s="120"/>
      <c r="AE131" s="120"/>
      <c r="AF131" s="120"/>
      <c r="AG131" s="120"/>
      <c r="AH131" s="120"/>
      <c r="AI131" s="120"/>
      <c r="AJ131" s="120"/>
      <c r="AK131" s="120"/>
      <c r="AL131" s="120"/>
      <c r="AM131" s="120"/>
      <c r="AN131" s="120"/>
      <c r="AO131" s="120"/>
      <c r="AP131" s="120"/>
      <c r="AQ131" s="120"/>
      <c r="AR131" s="120"/>
      <c r="AS131" s="120"/>
      <c r="AT131" s="120"/>
      <c r="AU131" s="120"/>
      <c r="AV131" s="120"/>
      <c r="AW131" s="120"/>
      <c r="AX131" s="120"/>
      <c r="AY131" s="120"/>
      <c r="AZ131" s="120"/>
      <c r="BA131" s="120"/>
      <c r="BB131" s="120"/>
      <c r="BC131" s="120"/>
      <c r="BD131" s="120"/>
      <c r="BE131" s="120"/>
      <c r="BF131" s="120"/>
      <c r="BG131" s="120"/>
      <c r="BH131" s="120"/>
      <c r="BI131" s="120"/>
      <c r="BJ131" s="120"/>
      <c r="BK131" s="120"/>
      <c r="BL131" s="120"/>
      <c r="BM131" s="120"/>
      <c r="BN131" s="120"/>
      <c r="BO131" s="120"/>
      <c r="BP131" s="120"/>
      <c r="BQ131" s="120"/>
      <c r="BR131" s="120"/>
    </row>
    <row r="132" spans="1:70" x14ac:dyDescent="0.25">
      <c r="A132" s="120"/>
      <c r="B132" s="120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0"/>
      <c r="Z132" s="120"/>
      <c r="AA132" s="120"/>
      <c r="AB132" s="120"/>
      <c r="AC132" s="120"/>
      <c r="AD132" s="120"/>
      <c r="AE132" s="120"/>
      <c r="AF132" s="120"/>
      <c r="AG132" s="120"/>
      <c r="AH132" s="120"/>
      <c r="AI132" s="120"/>
      <c r="AJ132" s="120"/>
      <c r="AK132" s="120"/>
      <c r="AL132" s="120"/>
      <c r="AM132" s="120"/>
      <c r="AN132" s="120"/>
      <c r="AO132" s="120"/>
      <c r="AP132" s="120"/>
      <c r="AQ132" s="120"/>
      <c r="AR132" s="120"/>
      <c r="AS132" s="120"/>
      <c r="AT132" s="120"/>
      <c r="AU132" s="120"/>
      <c r="AV132" s="120"/>
      <c r="AW132" s="120"/>
      <c r="AX132" s="120"/>
      <c r="AY132" s="120"/>
      <c r="AZ132" s="120"/>
      <c r="BA132" s="120"/>
      <c r="BB132" s="120"/>
      <c r="BC132" s="120"/>
      <c r="BD132" s="120"/>
      <c r="BE132" s="120"/>
      <c r="BF132" s="120"/>
      <c r="BG132" s="120"/>
      <c r="BH132" s="120"/>
      <c r="BI132" s="120"/>
      <c r="BJ132" s="120"/>
      <c r="BK132" s="120"/>
      <c r="BL132" s="120"/>
      <c r="BM132" s="120"/>
      <c r="BN132" s="120"/>
      <c r="BO132" s="120"/>
      <c r="BP132" s="120"/>
      <c r="BQ132" s="120"/>
      <c r="BR132" s="120"/>
    </row>
    <row r="133" spans="1:70" x14ac:dyDescent="0.25">
      <c r="A133" s="120"/>
      <c r="B133" s="120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20"/>
      <c r="BK133" s="120"/>
      <c r="BL133" s="120"/>
      <c r="BM133" s="120"/>
      <c r="BN133" s="120"/>
      <c r="BO133" s="120"/>
      <c r="BP133" s="120"/>
      <c r="BQ133" s="120"/>
      <c r="BR133" s="120"/>
    </row>
    <row r="134" spans="1:70" x14ac:dyDescent="0.25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/>
      <c r="AG134" s="120"/>
      <c r="AH134" s="120"/>
      <c r="AI134" s="120"/>
      <c r="AJ134" s="120"/>
      <c r="AK134" s="120"/>
      <c r="AL134" s="120"/>
      <c r="AM134" s="120"/>
      <c r="AN134" s="120"/>
      <c r="AO134" s="120"/>
      <c r="AP134" s="120"/>
      <c r="AQ134" s="120"/>
      <c r="AR134" s="120"/>
      <c r="AS134" s="120"/>
      <c r="AT134" s="120"/>
      <c r="AU134" s="120"/>
      <c r="AV134" s="120"/>
      <c r="AW134" s="120"/>
      <c r="AX134" s="120"/>
      <c r="AY134" s="120"/>
      <c r="AZ134" s="120"/>
      <c r="BA134" s="120"/>
      <c r="BB134" s="120"/>
      <c r="BC134" s="120"/>
      <c r="BD134" s="120"/>
      <c r="BE134" s="120"/>
      <c r="BF134" s="120"/>
      <c r="BG134" s="120"/>
      <c r="BH134" s="120"/>
      <c r="BI134" s="120"/>
      <c r="BJ134" s="120"/>
      <c r="BK134" s="120"/>
      <c r="BL134" s="120"/>
      <c r="BM134" s="120"/>
      <c r="BN134" s="120"/>
      <c r="BO134" s="120"/>
      <c r="BP134" s="120"/>
      <c r="BQ134" s="120"/>
      <c r="BR134" s="120"/>
    </row>
    <row r="135" spans="1:70" x14ac:dyDescent="0.25">
      <c r="A135" s="120"/>
      <c r="B135" s="120"/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/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/>
      <c r="AP135" s="120"/>
      <c r="AQ135" s="120"/>
      <c r="AR135" s="120"/>
      <c r="AS135" s="120"/>
      <c r="AT135" s="120"/>
      <c r="AU135" s="120"/>
      <c r="AV135" s="120"/>
      <c r="AW135" s="120"/>
      <c r="AX135" s="120"/>
      <c r="AY135" s="120"/>
      <c r="AZ135" s="120"/>
      <c r="BA135" s="120"/>
      <c r="BB135" s="120"/>
      <c r="BC135" s="120"/>
      <c r="BD135" s="120"/>
      <c r="BE135" s="120"/>
      <c r="BF135" s="120"/>
      <c r="BG135" s="120"/>
      <c r="BH135" s="120"/>
      <c r="BI135" s="120"/>
      <c r="BJ135" s="120"/>
      <c r="BK135" s="120"/>
      <c r="BL135" s="120"/>
      <c r="BM135" s="120"/>
      <c r="BN135" s="120"/>
      <c r="BO135" s="120"/>
      <c r="BP135" s="120"/>
      <c r="BQ135" s="120"/>
      <c r="BR135" s="120"/>
    </row>
    <row r="136" spans="1:70" x14ac:dyDescent="0.25">
      <c r="A136" s="120"/>
      <c r="B136" s="120"/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120"/>
      <c r="BM136" s="120"/>
      <c r="BN136" s="120"/>
      <c r="BO136" s="120"/>
      <c r="BP136" s="120"/>
      <c r="BQ136" s="120"/>
      <c r="BR136" s="120"/>
    </row>
    <row r="137" spans="1:70" x14ac:dyDescent="0.25">
      <c r="A137" s="120"/>
      <c r="B137" s="120"/>
      <c r="C137" s="120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/>
      <c r="AV137" s="120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120"/>
      <c r="BM137" s="120"/>
      <c r="BN137" s="120"/>
      <c r="BO137" s="120"/>
      <c r="BP137" s="120"/>
      <c r="BQ137" s="120"/>
      <c r="BR137" s="120"/>
    </row>
    <row r="138" spans="1:70" x14ac:dyDescent="0.25">
      <c r="A138" s="120"/>
      <c r="B138" s="120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20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120"/>
      <c r="BM138" s="120"/>
      <c r="BN138" s="120"/>
      <c r="BO138" s="120"/>
      <c r="BP138" s="120"/>
      <c r="BQ138" s="120"/>
      <c r="BR138" s="120"/>
    </row>
    <row r="139" spans="1:70" x14ac:dyDescent="0.25">
      <c r="A139" s="120"/>
      <c r="B139" s="120"/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0"/>
      <c r="Z139" s="120"/>
      <c r="AA139" s="120"/>
      <c r="AB139" s="120"/>
      <c r="AC139" s="120"/>
      <c r="AD139" s="120"/>
      <c r="AE139" s="120"/>
      <c r="AF139" s="120"/>
      <c r="AG139" s="120"/>
      <c r="AH139" s="120"/>
      <c r="AI139" s="120"/>
      <c r="AJ139" s="120"/>
      <c r="AK139" s="120"/>
      <c r="AL139" s="120"/>
      <c r="AM139" s="120"/>
      <c r="AN139" s="120"/>
      <c r="AO139" s="120"/>
      <c r="AP139" s="120"/>
      <c r="AQ139" s="120"/>
      <c r="AR139" s="120"/>
      <c r="AS139" s="120"/>
      <c r="AT139" s="120"/>
      <c r="AU139" s="120"/>
      <c r="AV139" s="120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120"/>
      <c r="BM139" s="120"/>
      <c r="BN139" s="120"/>
      <c r="BO139" s="120"/>
      <c r="BP139" s="120"/>
      <c r="BQ139" s="120"/>
      <c r="BR139" s="120"/>
    </row>
    <row r="140" spans="1:70" x14ac:dyDescent="0.25">
      <c r="A140" s="120"/>
      <c r="B140" s="120"/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120"/>
      <c r="AA140" s="120"/>
      <c r="AB140" s="120"/>
      <c r="AC140" s="120"/>
      <c r="AD140" s="120"/>
      <c r="AE140" s="120"/>
      <c r="AF140" s="120"/>
      <c r="AG140" s="120"/>
      <c r="AH140" s="120"/>
      <c r="AI140" s="120"/>
      <c r="AJ140" s="120"/>
      <c r="AK140" s="120"/>
      <c r="AL140" s="120"/>
      <c r="AM140" s="120"/>
      <c r="AN140" s="120"/>
      <c r="AO140" s="120"/>
      <c r="AP140" s="120"/>
      <c r="AQ140" s="120"/>
      <c r="AR140" s="120"/>
      <c r="AS140" s="120"/>
      <c r="AT140" s="120"/>
      <c r="AU140" s="120"/>
      <c r="AV140" s="120"/>
      <c r="AW140" s="120"/>
      <c r="AX140" s="120"/>
      <c r="AY140" s="120"/>
      <c r="AZ140" s="120"/>
      <c r="BA140" s="120"/>
      <c r="BB140" s="120"/>
      <c r="BC140" s="120"/>
      <c r="BD140" s="120"/>
      <c r="BE140" s="120"/>
      <c r="BF140" s="120"/>
      <c r="BG140" s="120"/>
      <c r="BH140" s="120"/>
      <c r="BI140" s="120"/>
      <c r="BJ140" s="120"/>
      <c r="BK140" s="120"/>
      <c r="BL140" s="120"/>
      <c r="BM140" s="120"/>
      <c r="BN140" s="120"/>
      <c r="BO140" s="120"/>
      <c r="BP140" s="120"/>
      <c r="BQ140" s="120"/>
      <c r="BR140" s="120"/>
    </row>
    <row r="141" spans="1:70" x14ac:dyDescent="0.25">
      <c r="A141" s="120"/>
      <c r="B141" s="120"/>
      <c r="C141" s="120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  <c r="Z141" s="120"/>
      <c r="AA141" s="120"/>
      <c r="AB141" s="120"/>
      <c r="AC141" s="120"/>
      <c r="AD141" s="120"/>
      <c r="AE141" s="120"/>
      <c r="AF141" s="120"/>
      <c r="AG141" s="120"/>
      <c r="AH141" s="120"/>
      <c r="AI141" s="120"/>
      <c r="AJ141" s="120"/>
      <c r="AK141" s="120"/>
      <c r="AL141" s="120"/>
      <c r="AM141" s="120"/>
      <c r="AN141" s="120"/>
      <c r="AO141" s="120"/>
      <c r="AP141" s="120"/>
      <c r="AQ141" s="120"/>
      <c r="AR141" s="120"/>
      <c r="AS141" s="120"/>
      <c r="AT141" s="120"/>
      <c r="AU141" s="120"/>
      <c r="AV141" s="120"/>
      <c r="AW141" s="120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20"/>
      <c r="BK141" s="120"/>
      <c r="BL141" s="120"/>
      <c r="BM141" s="120"/>
      <c r="BN141" s="120"/>
      <c r="BO141" s="120"/>
      <c r="BP141" s="120"/>
      <c r="BQ141" s="120"/>
      <c r="BR141" s="120"/>
    </row>
    <row r="142" spans="1:70" x14ac:dyDescent="0.25">
      <c r="A142" s="120"/>
      <c r="B142" s="120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0"/>
      <c r="AF142" s="120"/>
      <c r="AG142" s="120"/>
      <c r="AH142" s="120"/>
      <c r="AI142" s="120"/>
      <c r="AJ142" s="120"/>
      <c r="AK142" s="120"/>
      <c r="AL142" s="120"/>
      <c r="AM142" s="120"/>
      <c r="AN142" s="120"/>
      <c r="AO142" s="120"/>
      <c r="AP142" s="120"/>
      <c r="AQ142" s="120"/>
      <c r="AR142" s="120"/>
      <c r="AS142" s="120"/>
      <c r="AT142" s="120"/>
      <c r="AU142" s="120"/>
      <c r="AV142" s="120"/>
      <c r="AW142" s="120"/>
      <c r="AX142" s="120"/>
      <c r="AY142" s="120"/>
      <c r="AZ142" s="120"/>
      <c r="BA142" s="120"/>
      <c r="BB142" s="120"/>
      <c r="BC142" s="120"/>
      <c r="BD142" s="120"/>
      <c r="BE142" s="120"/>
      <c r="BF142" s="120"/>
      <c r="BG142" s="120"/>
      <c r="BH142" s="120"/>
      <c r="BI142" s="120"/>
      <c r="BJ142" s="120"/>
      <c r="BK142" s="120"/>
      <c r="BL142" s="120"/>
      <c r="BM142" s="120"/>
      <c r="BN142" s="120"/>
      <c r="BO142" s="120"/>
      <c r="BP142" s="120"/>
      <c r="BQ142" s="120"/>
      <c r="BR142" s="120"/>
    </row>
    <row r="143" spans="1:70" x14ac:dyDescent="0.25">
      <c r="A143" s="120"/>
      <c r="B143" s="120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0"/>
      <c r="AF143" s="120"/>
      <c r="AG143" s="120"/>
      <c r="AH143" s="120"/>
      <c r="AI143" s="120"/>
      <c r="AJ143" s="120"/>
      <c r="AK143" s="120"/>
      <c r="AL143" s="120"/>
      <c r="AM143" s="120"/>
      <c r="AN143" s="120"/>
      <c r="AO143" s="120"/>
      <c r="AP143" s="120"/>
      <c r="AQ143" s="120"/>
      <c r="AR143" s="120"/>
      <c r="AS143" s="120"/>
      <c r="AT143" s="120"/>
      <c r="AU143" s="120"/>
      <c r="AV143" s="120"/>
      <c r="AW143" s="120"/>
      <c r="AX143" s="120"/>
      <c r="AY143" s="120"/>
      <c r="AZ143" s="120"/>
      <c r="BA143" s="120"/>
      <c r="BB143" s="120"/>
      <c r="BC143" s="120"/>
      <c r="BD143" s="120"/>
      <c r="BE143" s="120"/>
      <c r="BF143" s="120"/>
      <c r="BG143" s="120"/>
      <c r="BH143" s="120"/>
      <c r="BI143" s="120"/>
      <c r="BJ143" s="120"/>
      <c r="BK143" s="120"/>
      <c r="BL143" s="120"/>
      <c r="BM143" s="120"/>
      <c r="BN143" s="120"/>
      <c r="BO143" s="120"/>
      <c r="BP143" s="120"/>
      <c r="BQ143" s="120"/>
      <c r="BR143" s="120"/>
    </row>
    <row r="144" spans="1:70" x14ac:dyDescent="0.25">
      <c r="A144" s="120"/>
      <c r="B144" s="120"/>
      <c r="C144" s="120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20"/>
      <c r="AR144" s="120"/>
      <c r="AS144" s="120"/>
      <c r="AT144" s="120"/>
      <c r="AU144" s="120"/>
      <c r="AV144" s="120"/>
      <c r="AW144" s="120"/>
      <c r="AX144" s="120"/>
      <c r="AY144" s="120"/>
      <c r="AZ144" s="120"/>
      <c r="BA144" s="120"/>
      <c r="BB144" s="120"/>
      <c r="BC144" s="120"/>
      <c r="BD144" s="120"/>
      <c r="BE144" s="120"/>
      <c r="BF144" s="120"/>
      <c r="BG144" s="120"/>
      <c r="BH144" s="120"/>
      <c r="BI144" s="120"/>
      <c r="BJ144" s="120"/>
      <c r="BK144" s="120"/>
      <c r="BL144" s="120"/>
      <c r="BM144" s="120"/>
      <c r="BN144" s="120"/>
      <c r="BO144" s="120"/>
      <c r="BP144" s="120"/>
      <c r="BQ144" s="120"/>
      <c r="BR144" s="120"/>
    </row>
    <row r="145" spans="1:70" x14ac:dyDescent="0.25">
      <c r="A145" s="120"/>
      <c r="B145" s="120"/>
      <c r="C145" s="120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120"/>
      <c r="AU145" s="120"/>
      <c r="AV145" s="120"/>
      <c r="AW145" s="120"/>
      <c r="AX145" s="120"/>
      <c r="AY145" s="120"/>
      <c r="AZ145" s="120"/>
      <c r="BA145" s="120"/>
      <c r="BB145" s="120"/>
      <c r="BC145" s="120"/>
      <c r="BD145" s="120"/>
      <c r="BE145" s="120"/>
      <c r="BF145" s="120"/>
      <c r="BG145" s="120"/>
      <c r="BH145" s="120"/>
      <c r="BI145" s="120"/>
      <c r="BJ145" s="120"/>
      <c r="BK145" s="120"/>
      <c r="BL145" s="120"/>
      <c r="BM145" s="120"/>
      <c r="BN145" s="120"/>
      <c r="BO145" s="120"/>
      <c r="BP145" s="120"/>
      <c r="BQ145" s="120"/>
      <c r="BR145" s="120"/>
    </row>
    <row r="146" spans="1:70" x14ac:dyDescent="0.25">
      <c r="A146" s="120"/>
      <c r="B146" s="120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  <c r="AX146" s="120"/>
      <c r="AY146" s="120"/>
      <c r="AZ146" s="120"/>
      <c r="BA146" s="120"/>
      <c r="BB146" s="120"/>
      <c r="BC146" s="120"/>
      <c r="BD146" s="120"/>
      <c r="BE146" s="120"/>
      <c r="BF146" s="120"/>
      <c r="BG146" s="120"/>
      <c r="BH146" s="120"/>
      <c r="BI146" s="120"/>
      <c r="BJ146" s="120"/>
      <c r="BK146" s="120"/>
      <c r="BL146" s="120"/>
      <c r="BM146" s="120"/>
      <c r="BN146" s="120"/>
      <c r="BO146" s="120"/>
      <c r="BP146" s="120"/>
      <c r="BQ146" s="120"/>
      <c r="BR146" s="120"/>
    </row>
    <row r="147" spans="1:70" x14ac:dyDescent="0.25">
      <c r="A147" s="120"/>
      <c r="B147" s="120"/>
      <c r="C147" s="120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/>
      <c r="AV147" s="120"/>
      <c r="AW147" s="120"/>
      <c r="AX147" s="120"/>
      <c r="AY147" s="120"/>
      <c r="AZ147" s="120"/>
      <c r="BA147" s="120"/>
      <c r="BB147" s="120"/>
      <c r="BC147" s="120"/>
      <c r="BD147" s="120"/>
      <c r="BE147" s="120"/>
      <c r="BF147" s="120"/>
      <c r="BG147" s="120"/>
      <c r="BH147" s="120"/>
      <c r="BI147" s="120"/>
      <c r="BJ147" s="120"/>
      <c r="BK147" s="120"/>
      <c r="BL147" s="120"/>
      <c r="BM147" s="120"/>
      <c r="BN147" s="120"/>
      <c r="BO147" s="120"/>
      <c r="BP147" s="120"/>
      <c r="BQ147" s="120"/>
      <c r="BR147" s="120"/>
    </row>
    <row r="148" spans="1:70" x14ac:dyDescent="0.25">
      <c r="A148" s="120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/>
      <c r="AV148" s="120"/>
      <c r="AW148" s="120"/>
      <c r="AX148" s="120"/>
      <c r="AY148" s="120"/>
      <c r="AZ148" s="120"/>
      <c r="BA148" s="120"/>
      <c r="BB148" s="120"/>
      <c r="BC148" s="120"/>
      <c r="BD148" s="120"/>
      <c r="BE148" s="120"/>
      <c r="BF148" s="120"/>
      <c r="BG148" s="120"/>
      <c r="BH148" s="120"/>
      <c r="BI148" s="120"/>
      <c r="BJ148" s="120"/>
      <c r="BK148" s="120"/>
      <c r="BL148" s="120"/>
      <c r="BM148" s="120"/>
      <c r="BN148" s="120"/>
      <c r="BO148" s="120"/>
      <c r="BP148" s="120"/>
      <c r="BQ148" s="120"/>
      <c r="BR148" s="120"/>
    </row>
    <row r="149" spans="1:70" x14ac:dyDescent="0.25">
      <c r="A149" s="120"/>
      <c r="B149" s="120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/>
      <c r="AV149" s="120"/>
      <c r="AW149" s="120"/>
      <c r="AX149" s="120"/>
      <c r="AY149" s="120"/>
      <c r="AZ149" s="120"/>
      <c r="BA149" s="120"/>
      <c r="BB149" s="120"/>
      <c r="BC149" s="120"/>
      <c r="BD149" s="120"/>
      <c r="BE149" s="120"/>
      <c r="BF149" s="120"/>
      <c r="BG149" s="120"/>
      <c r="BH149" s="120"/>
      <c r="BI149" s="120"/>
      <c r="BJ149" s="120"/>
      <c r="BK149" s="120"/>
      <c r="BL149" s="120"/>
      <c r="BM149" s="120"/>
      <c r="BN149" s="120"/>
      <c r="BO149" s="120"/>
      <c r="BP149" s="120"/>
      <c r="BQ149" s="120"/>
      <c r="BR149" s="120"/>
    </row>
    <row r="150" spans="1:70" x14ac:dyDescent="0.25">
      <c r="A150" s="120"/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120"/>
      <c r="AU150" s="120"/>
      <c r="AV150" s="120"/>
      <c r="AW150" s="120"/>
      <c r="AX150" s="120"/>
      <c r="AY150" s="120"/>
      <c r="AZ150" s="120"/>
      <c r="BA150" s="120"/>
      <c r="BB150" s="120"/>
      <c r="BC150" s="120"/>
      <c r="BD150" s="120"/>
      <c r="BE150" s="120"/>
      <c r="BF150" s="120"/>
      <c r="BG150" s="120"/>
      <c r="BH150" s="120"/>
      <c r="BI150" s="120"/>
      <c r="BJ150" s="120"/>
      <c r="BK150" s="120"/>
      <c r="BL150" s="120"/>
      <c r="BM150" s="120"/>
      <c r="BN150" s="120"/>
      <c r="BO150" s="120"/>
      <c r="BP150" s="120"/>
      <c r="BQ150" s="120"/>
      <c r="BR150" s="120"/>
    </row>
    <row r="151" spans="1:70" x14ac:dyDescent="0.25">
      <c r="A151" s="120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</row>
    <row r="152" spans="1:70" x14ac:dyDescent="0.25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</row>
    <row r="153" spans="1:70" x14ac:dyDescent="0.25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</row>
    <row r="154" spans="1:70" x14ac:dyDescent="0.25">
      <c r="A154" s="120"/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  <c r="AX154" s="120"/>
      <c r="AY154" s="120"/>
      <c r="AZ154" s="120"/>
      <c r="BA154" s="120"/>
      <c r="BB154" s="120"/>
      <c r="BC154" s="120"/>
      <c r="BD154" s="120"/>
      <c r="BE154" s="120"/>
      <c r="BF154" s="120"/>
      <c r="BG154" s="120"/>
      <c r="BH154" s="120"/>
      <c r="BI154" s="120"/>
      <c r="BJ154" s="120"/>
      <c r="BK154" s="120"/>
      <c r="BL154" s="120"/>
      <c r="BM154" s="120"/>
      <c r="BN154" s="120"/>
      <c r="BO154" s="120"/>
      <c r="BP154" s="120"/>
      <c r="BQ154" s="120"/>
      <c r="BR154" s="120"/>
    </row>
    <row r="155" spans="1:70" x14ac:dyDescent="0.25">
      <c r="A155" s="120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</row>
    <row r="156" spans="1:70" x14ac:dyDescent="0.25">
      <c r="A156" s="120"/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  <c r="AX156" s="120"/>
      <c r="AY156" s="120"/>
      <c r="AZ156" s="120"/>
      <c r="BA156" s="120"/>
      <c r="BB156" s="120"/>
      <c r="BC156" s="120"/>
      <c r="BD156" s="120"/>
      <c r="BE156" s="120"/>
      <c r="BF156" s="120"/>
      <c r="BG156" s="120"/>
      <c r="BH156" s="120"/>
      <c r="BI156" s="120"/>
      <c r="BJ156" s="120"/>
      <c r="BK156" s="120"/>
      <c r="BL156" s="120"/>
      <c r="BM156" s="120"/>
      <c r="BN156" s="120"/>
      <c r="BO156" s="120"/>
      <c r="BP156" s="120"/>
      <c r="BQ156" s="120"/>
      <c r="BR156" s="120"/>
    </row>
    <row r="157" spans="1:70" x14ac:dyDescent="0.25">
      <c r="A157" s="120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</row>
    <row r="158" spans="1:70" x14ac:dyDescent="0.25">
      <c r="A158" s="120"/>
      <c r="B158" s="120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  <c r="AX158" s="120"/>
      <c r="AY158" s="120"/>
      <c r="AZ158" s="120"/>
      <c r="BA158" s="120"/>
      <c r="BB158" s="120"/>
      <c r="BC158" s="120"/>
      <c r="BD158" s="120"/>
      <c r="BE158" s="120"/>
      <c r="BF158" s="120"/>
      <c r="BG158" s="120"/>
      <c r="BH158" s="120"/>
      <c r="BI158" s="120"/>
      <c r="BJ158" s="120"/>
      <c r="BK158" s="120"/>
      <c r="BL158" s="120"/>
      <c r="BM158" s="120"/>
      <c r="BN158" s="120"/>
      <c r="BO158" s="120"/>
      <c r="BP158" s="120"/>
      <c r="BQ158" s="120"/>
      <c r="BR158" s="120"/>
    </row>
    <row r="159" spans="1:70" x14ac:dyDescent="0.25">
      <c r="A159" s="120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</row>
    <row r="160" spans="1:70" x14ac:dyDescent="0.25">
      <c r="A160" s="120"/>
      <c r="B160" s="120"/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  <c r="BA160" s="120"/>
      <c r="BB160" s="120"/>
      <c r="BC160" s="120"/>
      <c r="BD160" s="120"/>
      <c r="BE160" s="120"/>
      <c r="BF160" s="120"/>
      <c r="BG160" s="120"/>
      <c r="BH160" s="120"/>
      <c r="BI160" s="120"/>
      <c r="BJ160" s="120"/>
      <c r="BK160" s="120"/>
      <c r="BL160" s="120"/>
      <c r="BM160" s="120"/>
      <c r="BN160" s="120"/>
      <c r="BO160" s="120"/>
      <c r="BP160" s="120"/>
      <c r="BQ160" s="120"/>
      <c r="BR160" s="120"/>
    </row>
    <row r="161" spans="1:70" x14ac:dyDescent="0.25">
      <c r="A161" s="120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  <c r="BA161" s="120"/>
      <c r="BB161" s="120"/>
      <c r="BC161" s="120"/>
      <c r="BD161" s="120"/>
      <c r="BE161" s="120"/>
      <c r="BF161" s="120"/>
      <c r="BG161" s="120"/>
      <c r="BH161" s="120"/>
      <c r="BI161" s="120"/>
      <c r="BJ161" s="120"/>
      <c r="BK161" s="120"/>
      <c r="BL161" s="120"/>
      <c r="BM161" s="120"/>
      <c r="BN161" s="120"/>
      <c r="BO161" s="120"/>
      <c r="BP161" s="120"/>
      <c r="BQ161" s="120"/>
      <c r="BR161" s="120"/>
    </row>
    <row r="162" spans="1:70" x14ac:dyDescent="0.25">
      <c r="A162" s="120"/>
      <c r="B162" s="120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</row>
    <row r="163" spans="1:70" x14ac:dyDescent="0.25">
      <c r="A163" s="120"/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0"/>
      <c r="BN163" s="120"/>
      <c r="BO163" s="120"/>
      <c r="BP163" s="120"/>
      <c r="BQ163" s="120"/>
      <c r="BR163" s="120"/>
    </row>
    <row r="164" spans="1:70" x14ac:dyDescent="0.25">
      <c r="A164" s="120"/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  <c r="AX164" s="120"/>
      <c r="AY164" s="120"/>
      <c r="AZ164" s="120"/>
      <c r="BA164" s="120"/>
      <c r="BB164" s="120"/>
      <c r="BC164" s="120"/>
      <c r="BD164" s="120"/>
      <c r="BE164" s="120"/>
      <c r="BF164" s="120"/>
      <c r="BG164" s="120"/>
      <c r="BH164" s="120"/>
      <c r="BI164" s="120"/>
      <c r="BJ164" s="120"/>
      <c r="BK164" s="120"/>
      <c r="BL164" s="120"/>
      <c r="BM164" s="120"/>
      <c r="BN164" s="120"/>
      <c r="BO164" s="120"/>
      <c r="BP164" s="120"/>
      <c r="BQ164" s="120"/>
      <c r="BR164" s="120"/>
    </row>
    <row r="165" spans="1:70" x14ac:dyDescent="0.25">
      <c r="A165" s="120"/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  <c r="AX165" s="120"/>
      <c r="AY165" s="120"/>
      <c r="AZ165" s="120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20"/>
      <c r="BK165" s="120"/>
      <c r="BL165" s="120"/>
      <c r="BM165" s="120"/>
      <c r="BN165" s="120"/>
      <c r="BO165" s="120"/>
      <c r="BP165" s="120"/>
      <c r="BQ165" s="120"/>
      <c r="BR165" s="120"/>
    </row>
    <row r="166" spans="1:70" x14ac:dyDescent="0.25">
      <c r="A166" s="120"/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  <c r="AX166" s="120"/>
      <c r="AY166" s="120"/>
      <c r="AZ166" s="120"/>
      <c r="BA166" s="120"/>
      <c r="BB166" s="120"/>
      <c r="BC166" s="120"/>
      <c r="BD166" s="120"/>
      <c r="BE166" s="120"/>
      <c r="BF166" s="120"/>
      <c r="BG166" s="120"/>
      <c r="BH166" s="120"/>
      <c r="BI166" s="120"/>
      <c r="BJ166" s="120"/>
      <c r="BK166" s="120"/>
      <c r="BL166" s="120"/>
      <c r="BM166" s="120"/>
      <c r="BN166" s="120"/>
      <c r="BO166" s="120"/>
      <c r="BP166" s="120"/>
      <c r="BQ166" s="120"/>
      <c r="BR166" s="120"/>
    </row>
    <row r="167" spans="1:70" x14ac:dyDescent="0.25">
      <c r="A167" s="120"/>
      <c r="B167" s="120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  <c r="BA167" s="120"/>
      <c r="BB167" s="120"/>
      <c r="BC167" s="120"/>
      <c r="BD167" s="120"/>
      <c r="BE167" s="120"/>
      <c r="BF167" s="120"/>
      <c r="BG167" s="120"/>
      <c r="BH167" s="120"/>
      <c r="BI167" s="120"/>
      <c r="BJ167" s="120"/>
      <c r="BK167" s="120"/>
      <c r="BL167" s="120"/>
      <c r="BM167" s="120"/>
      <c r="BN167" s="120"/>
      <c r="BO167" s="120"/>
      <c r="BP167" s="120"/>
      <c r="BQ167" s="120"/>
      <c r="BR167" s="120"/>
    </row>
    <row r="168" spans="1:70" x14ac:dyDescent="0.25">
      <c r="A168" s="120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  <c r="BA168" s="120"/>
      <c r="BB168" s="120"/>
      <c r="BC168" s="120"/>
      <c r="BD168" s="120"/>
      <c r="BE168" s="120"/>
      <c r="BF168" s="120"/>
      <c r="BG168" s="120"/>
      <c r="BH168" s="120"/>
      <c r="BI168" s="120"/>
      <c r="BJ168" s="120"/>
      <c r="BK168" s="120"/>
      <c r="BL168" s="120"/>
      <c r="BM168" s="120"/>
      <c r="BN168" s="120"/>
      <c r="BO168" s="120"/>
      <c r="BP168" s="120"/>
      <c r="BQ168" s="120"/>
      <c r="BR168" s="120"/>
    </row>
    <row r="169" spans="1:70" x14ac:dyDescent="0.25">
      <c r="A169" s="120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</row>
    <row r="170" spans="1:70" x14ac:dyDescent="0.25">
      <c r="A170" s="120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  <c r="AX170" s="120"/>
      <c r="AY170" s="120"/>
      <c r="AZ170" s="120"/>
      <c r="BA170" s="120"/>
      <c r="BB170" s="120"/>
      <c r="BC170" s="120"/>
      <c r="BD170" s="120"/>
      <c r="BE170" s="120"/>
      <c r="BF170" s="120"/>
      <c r="BG170" s="120"/>
      <c r="BH170" s="120"/>
      <c r="BI170" s="120"/>
      <c r="BJ170" s="120"/>
      <c r="BK170" s="120"/>
      <c r="BL170" s="120"/>
      <c r="BM170" s="120"/>
      <c r="BN170" s="120"/>
      <c r="BO170" s="120"/>
      <c r="BP170" s="120"/>
      <c r="BQ170" s="120"/>
      <c r="BR170" s="120"/>
    </row>
    <row r="171" spans="1:70" x14ac:dyDescent="0.25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</row>
    <row r="172" spans="1:70" x14ac:dyDescent="0.25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  <c r="AX172" s="120"/>
      <c r="AY172" s="120"/>
      <c r="AZ172" s="120"/>
      <c r="BA172" s="120"/>
      <c r="BB172" s="120"/>
      <c r="BC172" s="120"/>
      <c r="BD172" s="120"/>
      <c r="BE172" s="120"/>
      <c r="BF172" s="120"/>
      <c r="BG172" s="120"/>
      <c r="BH172" s="120"/>
      <c r="BI172" s="120"/>
      <c r="BJ172" s="120"/>
      <c r="BK172" s="120"/>
      <c r="BL172" s="120"/>
      <c r="BM172" s="120"/>
      <c r="BN172" s="120"/>
      <c r="BO172" s="120"/>
      <c r="BP172" s="120"/>
      <c r="BQ172" s="120"/>
      <c r="BR172" s="120"/>
    </row>
    <row r="173" spans="1:70" x14ac:dyDescent="0.25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</row>
    <row r="174" spans="1:70" x14ac:dyDescent="0.25">
      <c r="A174" s="120"/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20"/>
      <c r="AW174" s="120"/>
      <c r="AX174" s="120"/>
      <c r="AY174" s="120"/>
      <c r="AZ174" s="120"/>
      <c r="BA174" s="120"/>
      <c r="BB174" s="120"/>
      <c r="BC174" s="120"/>
      <c r="BD174" s="120"/>
      <c r="BE174" s="120"/>
      <c r="BF174" s="120"/>
      <c r="BG174" s="120"/>
      <c r="BH174" s="120"/>
      <c r="BI174" s="120"/>
      <c r="BJ174" s="120"/>
      <c r="BK174" s="120"/>
      <c r="BL174" s="120"/>
      <c r="BM174" s="120"/>
      <c r="BN174" s="120"/>
      <c r="BO174" s="120"/>
      <c r="BP174" s="120"/>
      <c r="BQ174" s="120"/>
      <c r="BR174" s="120"/>
    </row>
    <row r="175" spans="1:70" x14ac:dyDescent="0.25">
      <c r="A175" s="120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  <c r="AX175" s="120"/>
      <c r="AY175" s="120"/>
      <c r="AZ175" s="120"/>
      <c r="BA175" s="120"/>
      <c r="BB175" s="120"/>
      <c r="BC175" s="120"/>
      <c r="BD175" s="120"/>
      <c r="BE175" s="120"/>
      <c r="BF175" s="120"/>
      <c r="BG175" s="120"/>
      <c r="BH175" s="120"/>
      <c r="BI175" s="120"/>
      <c r="BJ175" s="120"/>
      <c r="BK175" s="120"/>
      <c r="BL175" s="120"/>
      <c r="BM175" s="120"/>
      <c r="BN175" s="120"/>
      <c r="BO175" s="120"/>
      <c r="BP175" s="120"/>
      <c r="BQ175" s="120"/>
      <c r="BR175" s="120"/>
    </row>
    <row r="176" spans="1:70" x14ac:dyDescent="0.25">
      <c r="A176" s="120"/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20"/>
      <c r="AW176" s="120"/>
      <c r="AX176" s="120"/>
      <c r="AY176" s="120"/>
      <c r="AZ176" s="120"/>
      <c r="BA176" s="120"/>
      <c r="BB176" s="120"/>
      <c r="BC176" s="120"/>
      <c r="BD176" s="120"/>
      <c r="BE176" s="120"/>
      <c r="BF176" s="120"/>
      <c r="BG176" s="120"/>
      <c r="BH176" s="120"/>
      <c r="BI176" s="120"/>
      <c r="BJ176" s="120"/>
      <c r="BK176" s="120"/>
      <c r="BL176" s="120"/>
      <c r="BM176" s="120"/>
      <c r="BN176" s="120"/>
      <c r="BO176" s="120"/>
      <c r="BP176" s="120"/>
      <c r="BQ176" s="120"/>
      <c r="BR176" s="120"/>
    </row>
    <row r="177" spans="1:70" x14ac:dyDescent="0.25">
      <c r="A177" s="120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</row>
    <row r="178" spans="1:70" x14ac:dyDescent="0.25">
      <c r="A178" s="120"/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20"/>
      <c r="AW178" s="120"/>
      <c r="AX178" s="120"/>
      <c r="AY178" s="120"/>
      <c r="AZ178" s="120"/>
      <c r="BA178" s="120"/>
      <c r="BB178" s="120"/>
      <c r="BC178" s="120"/>
      <c r="BD178" s="120"/>
      <c r="BE178" s="120"/>
      <c r="BF178" s="120"/>
      <c r="BG178" s="120"/>
      <c r="BH178" s="120"/>
      <c r="BI178" s="120"/>
      <c r="BJ178" s="120"/>
      <c r="BK178" s="120"/>
      <c r="BL178" s="120"/>
      <c r="BM178" s="120"/>
      <c r="BN178" s="120"/>
      <c r="BO178" s="120"/>
      <c r="BP178" s="120"/>
      <c r="BQ178" s="120"/>
      <c r="BR178" s="120"/>
    </row>
    <row r="179" spans="1:70" x14ac:dyDescent="0.25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</row>
    <row r="180" spans="1:70" x14ac:dyDescent="0.25">
      <c r="A180" s="120"/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  <c r="BA180" s="120"/>
      <c r="BB180" s="120"/>
      <c r="BC180" s="120"/>
      <c r="BD180" s="120"/>
      <c r="BE180" s="120"/>
      <c r="BF180" s="120"/>
      <c r="BG180" s="120"/>
      <c r="BH180" s="120"/>
      <c r="BI180" s="120"/>
      <c r="BJ180" s="120"/>
      <c r="BK180" s="120"/>
      <c r="BL180" s="120"/>
      <c r="BM180" s="120"/>
      <c r="BN180" s="120"/>
      <c r="BO180" s="120"/>
      <c r="BP180" s="120"/>
      <c r="BQ180" s="120"/>
      <c r="BR180" s="120"/>
    </row>
    <row r="181" spans="1:70" x14ac:dyDescent="0.25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  <c r="AX181" s="120"/>
      <c r="AY181" s="120"/>
      <c r="AZ181" s="120"/>
      <c r="BA181" s="120"/>
      <c r="BB181" s="120"/>
      <c r="BC181" s="120"/>
      <c r="BD181" s="120"/>
      <c r="BE181" s="120"/>
      <c r="BF181" s="120"/>
      <c r="BG181" s="120"/>
      <c r="BH181" s="120"/>
      <c r="BI181" s="120"/>
      <c r="BJ181" s="120"/>
      <c r="BK181" s="120"/>
      <c r="BL181" s="120"/>
      <c r="BM181" s="120"/>
      <c r="BN181" s="120"/>
      <c r="BO181" s="120"/>
      <c r="BP181" s="120"/>
      <c r="BQ181" s="120"/>
      <c r="BR181" s="120"/>
    </row>
    <row r="182" spans="1:70" x14ac:dyDescent="0.25">
      <c r="A182" s="120"/>
      <c r="B182" s="120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20"/>
      <c r="BF182" s="120"/>
      <c r="BG182" s="120"/>
      <c r="BH182" s="120"/>
      <c r="BI182" s="120"/>
      <c r="BJ182" s="120"/>
      <c r="BK182" s="120"/>
      <c r="BL182" s="120"/>
      <c r="BM182" s="120"/>
      <c r="BN182" s="120"/>
      <c r="BO182" s="120"/>
      <c r="BP182" s="120"/>
      <c r="BQ182" s="120"/>
      <c r="BR182" s="120"/>
    </row>
    <row r="183" spans="1:70" x14ac:dyDescent="0.25">
      <c r="A183" s="120"/>
      <c r="B183" s="120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  <c r="AV183" s="120"/>
      <c r="AW183" s="120"/>
      <c r="AX183" s="120"/>
      <c r="AY183" s="120"/>
      <c r="AZ183" s="120"/>
      <c r="BA183" s="120"/>
      <c r="BB183" s="120"/>
      <c r="BC183" s="120"/>
      <c r="BD183" s="120"/>
      <c r="BE183" s="120"/>
      <c r="BF183" s="120"/>
      <c r="BG183" s="120"/>
      <c r="BH183" s="120"/>
      <c r="BI183" s="120"/>
      <c r="BJ183" s="120"/>
      <c r="BK183" s="120"/>
      <c r="BL183" s="120"/>
      <c r="BM183" s="120"/>
      <c r="BN183" s="120"/>
      <c r="BO183" s="120"/>
      <c r="BP183" s="120"/>
      <c r="BQ183" s="120"/>
      <c r="BR183" s="120"/>
    </row>
    <row r="184" spans="1:70" x14ac:dyDescent="0.25">
      <c r="A184" s="120"/>
      <c r="B184" s="120"/>
      <c r="C184" s="120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20"/>
      <c r="BF184" s="120"/>
      <c r="BG184" s="120"/>
      <c r="BH184" s="120"/>
      <c r="BI184" s="120"/>
      <c r="BJ184" s="120"/>
      <c r="BK184" s="120"/>
      <c r="BL184" s="120"/>
      <c r="BM184" s="120"/>
      <c r="BN184" s="120"/>
      <c r="BO184" s="120"/>
      <c r="BP184" s="120"/>
      <c r="BQ184" s="120"/>
      <c r="BR184" s="120"/>
    </row>
    <row r="185" spans="1:70" x14ac:dyDescent="0.25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  <c r="AX185" s="120"/>
      <c r="AY185" s="120"/>
      <c r="AZ185" s="120"/>
      <c r="BA185" s="120"/>
      <c r="BB185" s="120"/>
      <c r="BC185" s="120"/>
      <c r="BD185" s="120"/>
      <c r="BE185" s="120"/>
      <c r="BF185" s="120"/>
      <c r="BG185" s="120"/>
      <c r="BH185" s="120"/>
      <c r="BI185" s="120"/>
      <c r="BJ185" s="120"/>
      <c r="BK185" s="120"/>
      <c r="BL185" s="120"/>
      <c r="BM185" s="120"/>
      <c r="BN185" s="120"/>
      <c r="BO185" s="120"/>
      <c r="BP185" s="120"/>
      <c r="BQ185" s="120"/>
      <c r="BR185" s="120"/>
    </row>
    <row r="186" spans="1:70" x14ac:dyDescent="0.25">
      <c r="A186" s="120"/>
      <c r="B186" s="120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  <c r="AV186" s="120"/>
      <c r="AW186" s="120"/>
      <c r="AX186" s="120"/>
      <c r="AY186" s="120"/>
      <c r="AZ186" s="120"/>
      <c r="BA186" s="120"/>
      <c r="BB186" s="120"/>
      <c r="BC186" s="120"/>
      <c r="BD186" s="120"/>
      <c r="BE186" s="120"/>
      <c r="BF186" s="120"/>
      <c r="BG186" s="120"/>
      <c r="BH186" s="120"/>
      <c r="BI186" s="120"/>
      <c r="BJ186" s="120"/>
      <c r="BK186" s="120"/>
      <c r="BL186" s="120"/>
      <c r="BM186" s="120"/>
      <c r="BN186" s="120"/>
      <c r="BO186" s="120"/>
      <c r="BP186" s="120"/>
      <c r="BQ186" s="120"/>
      <c r="BR186" s="120"/>
    </row>
    <row r="187" spans="1:70" x14ac:dyDescent="0.25">
      <c r="A187" s="120"/>
      <c r="B187" s="120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120"/>
      <c r="AU187" s="120"/>
      <c r="AV187" s="120"/>
      <c r="AW187" s="120"/>
      <c r="AX187" s="120"/>
      <c r="AY187" s="120"/>
      <c r="AZ187" s="120"/>
      <c r="BA187" s="120"/>
      <c r="BB187" s="120"/>
      <c r="BC187" s="120"/>
      <c r="BD187" s="120"/>
      <c r="BE187" s="120"/>
      <c r="BF187" s="120"/>
      <c r="BG187" s="120"/>
      <c r="BH187" s="120"/>
      <c r="BI187" s="120"/>
      <c r="BJ187" s="120"/>
      <c r="BK187" s="120"/>
      <c r="BL187" s="120"/>
      <c r="BM187" s="120"/>
      <c r="BN187" s="120"/>
      <c r="BO187" s="120"/>
      <c r="BP187" s="120"/>
      <c r="BQ187" s="120"/>
      <c r="BR187" s="120"/>
    </row>
    <row r="188" spans="1:70" x14ac:dyDescent="0.25">
      <c r="A188" s="120"/>
      <c r="B188" s="120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20"/>
      <c r="AL188" s="120"/>
      <c r="AM188" s="120"/>
      <c r="AN188" s="120"/>
      <c r="AO188" s="120"/>
      <c r="AP188" s="120"/>
      <c r="AQ188" s="120"/>
      <c r="AR188" s="120"/>
      <c r="AS188" s="120"/>
      <c r="AT188" s="120"/>
      <c r="AU188" s="120"/>
      <c r="AV188" s="120"/>
      <c r="AW188" s="120"/>
      <c r="AX188" s="120"/>
      <c r="AY188" s="120"/>
      <c r="AZ188" s="120"/>
      <c r="BA188" s="120"/>
      <c r="BB188" s="120"/>
      <c r="BC188" s="120"/>
      <c r="BD188" s="120"/>
      <c r="BE188" s="120"/>
      <c r="BF188" s="120"/>
      <c r="BG188" s="120"/>
      <c r="BH188" s="120"/>
      <c r="BI188" s="120"/>
      <c r="BJ188" s="120"/>
      <c r="BK188" s="120"/>
      <c r="BL188" s="120"/>
      <c r="BM188" s="120"/>
      <c r="BN188" s="120"/>
      <c r="BO188" s="120"/>
      <c r="BP188" s="120"/>
      <c r="BQ188" s="120"/>
      <c r="BR188" s="120"/>
    </row>
    <row r="189" spans="1:70" x14ac:dyDescent="0.25">
      <c r="A189" s="120"/>
      <c r="B189" s="120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20"/>
      <c r="AN189" s="120"/>
      <c r="AO189" s="120"/>
      <c r="AP189" s="120"/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  <c r="BA189" s="120"/>
      <c r="BB189" s="120"/>
      <c r="BC189" s="120"/>
      <c r="BD189" s="120"/>
      <c r="BE189" s="120"/>
      <c r="BF189" s="120"/>
      <c r="BG189" s="120"/>
      <c r="BH189" s="120"/>
      <c r="BI189" s="120"/>
      <c r="BJ189" s="120"/>
      <c r="BK189" s="120"/>
      <c r="BL189" s="120"/>
      <c r="BM189" s="120"/>
      <c r="BN189" s="120"/>
      <c r="BO189" s="120"/>
      <c r="BP189" s="120"/>
      <c r="BQ189" s="120"/>
      <c r="BR189" s="120"/>
    </row>
    <row r="190" spans="1:70" x14ac:dyDescent="0.25">
      <c r="A190" s="120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  <c r="AA190" s="120"/>
      <c r="AB190" s="120"/>
      <c r="AC190" s="120"/>
      <c r="AD190" s="120"/>
      <c r="AE190" s="120"/>
      <c r="AF190" s="120"/>
      <c r="AG190" s="120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20"/>
      <c r="AR190" s="120"/>
      <c r="AS190" s="120"/>
      <c r="AT190" s="120"/>
      <c r="AU190" s="120"/>
      <c r="AV190" s="120"/>
      <c r="AW190" s="120"/>
      <c r="AX190" s="120"/>
      <c r="AY190" s="120"/>
      <c r="AZ190" s="120"/>
      <c r="BA190" s="120"/>
      <c r="BB190" s="120"/>
      <c r="BC190" s="120"/>
      <c r="BD190" s="120"/>
      <c r="BE190" s="120"/>
      <c r="BF190" s="120"/>
      <c r="BG190" s="120"/>
      <c r="BH190" s="120"/>
      <c r="BI190" s="120"/>
      <c r="BJ190" s="120"/>
      <c r="BK190" s="120"/>
      <c r="BL190" s="120"/>
      <c r="BM190" s="120"/>
      <c r="BN190" s="120"/>
      <c r="BO190" s="120"/>
      <c r="BP190" s="120"/>
      <c r="BQ190" s="120"/>
      <c r="BR190" s="120"/>
    </row>
    <row r="191" spans="1:70" x14ac:dyDescent="0.25">
      <c r="A191" s="120"/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  <c r="AA191" s="120"/>
      <c r="AB191" s="120"/>
      <c r="AC191" s="120"/>
      <c r="AD191" s="120"/>
      <c r="AE191" s="120"/>
      <c r="AF191" s="120"/>
      <c r="AG191" s="120"/>
      <c r="AH191" s="120"/>
      <c r="AI191" s="120"/>
      <c r="AJ191" s="120"/>
      <c r="AK191" s="120"/>
      <c r="AL191" s="120"/>
      <c r="AM191" s="120"/>
      <c r="AN191" s="120"/>
      <c r="AO191" s="120"/>
      <c r="AP191" s="120"/>
      <c r="AQ191" s="120"/>
      <c r="AR191" s="120"/>
      <c r="AS191" s="120"/>
      <c r="AT191" s="120"/>
      <c r="AU191" s="120"/>
      <c r="AV191" s="120"/>
      <c r="AW191" s="120"/>
      <c r="AX191" s="120"/>
      <c r="AY191" s="120"/>
      <c r="AZ191" s="120"/>
      <c r="BA191" s="120"/>
      <c r="BB191" s="120"/>
      <c r="BC191" s="120"/>
      <c r="BD191" s="120"/>
      <c r="BE191" s="120"/>
      <c r="BF191" s="120"/>
      <c r="BG191" s="120"/>
      <c r="BH191" s="120"/>
      <c r="BI191" s="120"/>
      <c r="BJ191" s="120"/>
      <c r="BK191" s="120"/>
      <c r="BL191" s="120"/>
      <c r="BM191" s="120"/>
      <c r="BN191" s="120"/>
      <c r="BO191" s="120"/>
      <c r="BP191" s="120"/>
      <c r="BQ191" s="120"/>
      <c r="BR191" s="120"/>
    </row>
    <row r="192" spans="1:70" x14ac:dyDescent="0.25">
      <c r="A192" s="120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  <c r="AA192" s="120"/>
      <c r="AB192" s="120"/>
      <c r="AC192" s="120"/>
      <c r="AD192" s="120"/>
      <c r="AE192" s="120"/>
      <c r="AF192" s="120"/>
      <c r="AG192" s="120"/>
      <c r="AH192" s="120"/>
      <c r="AI192" s="120"/>
      <c r="AJ192" s="120"/>
      <c r="AK192" s="120"/>
      <c r="AL192" s="120"/>
      <c r="AM192" s="120"/>
      <c r="AN192" s="120"/>
      <c r="AO192" s="120"/>
      <c r="AP192" s="120"/>
      <c r="AQ192" s="120"/>
      <c r="AR192" s="120"/>
      <c r="AS192" s="120"/>
      <c r="AT192" s="120"/>
      <c r="AU192" s="120"/>
      <c r="AV192" s="120"/>
      <c r="AW192" s="120"/>
      <c r="AX192" s="120"/>
      <c r="AY192" s="120"/>
      <c r="AZ192" s="120"/>
      <c r="BA192" s="120"/>
      <c r="BB192" s="120"/>
      <c r="BC192" s="120"/>
      <c r="BD192" s="120"/>
      <c r="BE192" s="120"/>
      <c r="BF192" s="120"/>
      <c r="BG192" s="120"/>
      <c r="BH192" s="120"/>
      <c r="BI192" s="120"/>
      <c r="BJ192" s="120"/>
      <c r="BK192" s="120"/>
      <c r="BL192" s="120"/>
      <c r="BM192" s="120"/>
      <c r="BN192" s="120"/>
      <c r="BO192" s="120"/>
      <c r="BP192" s="120"/>
      <c r="BQ192" s="120"/>
      <c r="BR192" s="120"/>
    </row>
    <row r="193" spans="1:70" x14ac:dyDescent="0.25">
      <c r="A193" s="120"/>
      <c r="B193" s="120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  <c r="Z193" s="120"/>
      <c r="AA193" s="120"/>
      <c r="AB193" s="120"/>
      <c r="AC193" s="120"/>
      <c r="AD193" s="120"/>
      <c r="AE193" s="120"/>
      <c r="AF193" s="120"/>
      <c r="AG193" s="120"/>
      <c r="AH193" s="120"/>
      <c r="AI193" s="120"/>
      <c r="AJ193" s="120"/>
      <c r="AK193" s="120"/>
      <c r="AL193" s="120"/>
      <c r="AM193" s="120"/>
      <c r="AN193" s="120"/>
      <c r="AO193" s="120"/>
      <c r="AP193" s="120"/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/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</row>
    <row r="194" spans="1:70" x14ac:dyDescent="0.25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/>
      <c r="AB194" s="120"/>
      <c r="AC194" s="120"/>
      <c r="AD194" s="120"/>
      <c r="AE194" s="120"/>
      <c r="AF194" s="120"/>
      <c r="AG194" s="120"/>
      <c r="AH194" s="120"/>
      <c r="AI194" s="120"/>
      <c r="AJ194" s="120"/>
      <c r="AK194" s="120"/>
      <c r="AL194" s="120"/>
      <c r="AM194" s="120"/>
      <c r="AN194" s="120"/>
      <c r="AO194" s="120"/>
      <c r="AP194" s="120"/>
      <c r="AQ194" s="120"/>
      <c r="AR194" s="120"/>
      <c r="AS194" s="120"/>
      <c r="AT194" s="120"/>
      <c r="AU194" s="120"/>
      <c r="AV194" s="120"/>
      <c r="AW194" s="120"/>
      <c r="AX194" s="120"/>
      <c r="AY194" s="120"/>
      <c r="AZ194" s="120"/>
      <c r="BA194" s="120"/>
      <c r="BB194" s="120"/>
      <c r="BC194" s="120"/>
      <c r="BD194" s="120"/>
      <c r="BE194" s="120"/>
      <c r="BF194" s="120"/>
      <c r="BG194" s="120"/>
      <c r="BH194" s="120"/>
      <c r="BI194" s="120"/>
      <c r="BJ194" s="120"/>
      <c r="BK194" s="120"/>
      <c r="BL194" s="120"/>
      <c r="BM194" s="120"/>
      <c r="BN194" s="120"/>
      <c r="BO194" s="120"/>
      <c r="BP194" s="120"/>
      <c r="BQ194" s="120"/>
      <c r="BR194" s="120"/>
    </row>
    <row r="195" spans="1:70" x14ac:dyDescent="0.25">
      <c r="A195" s="120"/>
      <c r="B195" s="120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20"/>
      <c r="AL195" s="120"/>
      <c r="AM195" s="120"/>
      <c r="AN195" s="120"/>
      <c r="AO195" s="120"/>
      <c r="AP195" s="120"/>
      <c r="AQ195" s="120"/>
      <c r="AR195" s="120"/>
      <c r="AS195" s="120"/>
      <c r="AT195" s="120"/>
      <c r="AU195" s="120"/>
      <c r="AV195" s="120"/>
      <c r="AW195" s="120"/>
      <c r="AX195" s="120"/>
      <c r="AY195" s="120"/>
      <c r="AZ195" s="120"/>
      <c r="BA195" s="120"/>
      <c r="BB195" s="120"/>
      <c r="BC195" s="120"/>
      <c r="BD195" s="120"/>
      <c r="BE195" s="120"/>
      <c r="BF195" s="120"/>
      <c r="BG195" s="120"/>
      <c r="BH195" s="120"/>
      <c r="BI195" s="120"/>
      <c r="BJ195" s="120"/>
      <c r="BK195" s="120"/>
      <c r="BL195" s="120"/>
      <c r="BM195" s="120"/>
      <c r="BN195" s="120"/>
      <c r="BO195" s="120"/>
      <c r="BP195" s="120"/>
      <c r="BQ195" s="120"/>
      <c r="BR195" s="120"/>
    </row>
    <row r="196" spans="1:70" x14ac:dyDescent="0.25">
      <c r="A196" s="120"/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  <c r="AA196" s="120"/>
      <c r="AB196" s="120"/>
      <c r="AC196" s="120"/>
      <c r="AD196" s="120"/>
      <c r="AE196" s="120"/>
      <c r="AF196" s="120"/>
      <c r="AG196" s="120"/>
      <c r="AH196" s="120"/>
      <c r="AI196" s="120"/>
      <c r="AJ196" s="120"/>
      <c r="AK196" s="120"/>
      <c r="AL196" s="120"/>
      <c r="AM196" s="120"/>
      <c r="AN196" s="120"/>
      <c r="AO196" s="120"/>
      <c r="AP196" s="120"/>
      <c r="AQ196" s="120"/>
      <c r="AR196" s="120"/>
      <c r="AS196" s="120"/>
      <c r="AT196" s="120"/>
      <c r="AU196" s="120"/>
      <c r="AV196" s="120"/>
      <c r="AW196" s="120"/>
      <c r="AX196" s="120"/>
      <c r="AY196" s="120"/>
      <c r="AZ196" s="120"/>
      <c r="BA196" s="120"/>
      <c r="BB196" s="120"/>
      <c r="BC196" s="120"/>
      <c r="BD196" s="120"/>
      <c r="BE196" s="120"/>
      <c r="BF196" s="120"/>
      <c r="BG196" s="120"/>
      <c r="BH196" s="120"/>
      <c r="BI196" s="120"/>
      <c r="BJ196" s="120"/>
      <c r="BK196" s="120"/>
      <c r="BL196" s="120"/>
      <c r="BM196" s="120"/>
      <c r="BN196" s="120"/>
      <c r="BO196" s="120"/>
      <c r="BP196" s="120"/>
      <c r="BQ196" s="120"/>
      <c r="BR196" s="120"/>
    </row>
    <row r="197" spans="1:70" x14ac:dyDescent="0.25">
      <c r="A197" s="120"/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  <c r="Z197" s="120"/>
      <c r="AA197" s="120"/>
      <c r="AB197" s="120"/>
      <c r="AC197" s="120"/>
      <c r="AD197" s="120"/>
      <c r="AE197" s="120"/>
      <c r="AF197" s="120"/>
      <c r="AG197" s="120"/>
      <c r="AH197" s="120"/>
      <c r="AI197" s="120"/>
      <c r="AJ197" s="120"/>
      <c r="AK197" s="120"/>
      <c r="AL197" s="120"/>
      <c r="AM197" s="120"/>
      <c r="AN197" s="120"/>
      <c r="AO197" s="120"/>
      <c r="AP197" s="120"/>
      <c r="AQ197" s="120"/>
      <c r="AR197" s="120"/>
      <c r="AS197" s="120"/>
      <c r="AT197" s="120"/>
      <c r="AU197" s="120"/>
      <c r="AV197" s="120"/>
      <c r="AW197" s="120"/>
      <c r="AX197" s="120"/>
      <c r="AY197" s="120"/>
      <c r="AZ197" s="120"/>
      <c r="BA197" s="120"/>
      <c r="BB197" s="120"/>
      <c r="BC197" s="120"/>
      <c r="BD197" s="120"/>
      <c r="BE197" s="120"/>
      <c r="BF197" s="120"/>
      <c r="BG197" s="120"/>
      <c r="BH197" s="120"/>
      <c r="BI197" s="120"/>
      <c r="BJ197" s="120"/>
      <c r="BK197" s="120"/>
      <c r="BL197" s="120"/>
      <c r="BM197" s="120"/>
      <c r="BN197" s="120"/>
      <c r="BO197" s="120"/>
      <c r="BP197" s="120"/>
      <c r="BQ197" s="120"/>
      <c r="BR197" s="120"/>
    </row>
    <row r="198" spans="1:70" x14ac:dyDescent="0.25">
      <c r="A198" s="120"/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120"/>
      <c r="AU198" s="120"/>
      <c r="AV198" s="120"/>
      <c r="AW198" s="120"/>
      <c r="AX198" s="120"/>
      <c r="AY198" s="120"/>
      <c r="AZ198" s="120"/>
      <c r="BA198" s="120"/>
      <c r="BB198" s="120"/>
      <c r="BC198" s="120"/>
      <c r="BD198" s="120"/>
      <c r="BE198" s="120"/>
      <c r="BF198" s="120"/>
      <c r="BG198" s="120"/>
      <c r="BH198" s="120"/>
      <c r="BI198" s="120"/>
      <c r="BJ198" s="120"/>
      <c r="BK198" s="120"/>
      <c r="BL198" s="120"/>
      <c r="BM198" s="120"/>
      <c r="BN198" s="120"/>
      <c r="BO198" s="120"/>
      <c r="BP198" s="120"/>
      <c r="BQ198" s="120"/>
      <c r="BR198" s="120"/>
    </row>
    <row r="199" spans="1:70" x14ac:dyDescent="0.25">
      <c r="A199" s="120"/>
      <c r="B199" s="120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0"/>
      <c r="Z199" s="120"/>
      <c r="AA199" s="120"/>
      <c r="AB199" s="120"/>
      <c r="AC199" s="120"/>
      <c r="AD199" s="120"/>
      <c r="AE199" s="120"/>
      <c r="AF199" s="120"/>
      <c r="AG199" s="120"/>
      <c r="AH199" s="120"/>
      <c r="AI199" s="120"/>
      <c r="AJ199" s="120"/>
      <c r="AK199" s="120"/>
      <c r="AL199" s="120"/>
      <c r="AM199" s="120"/>
      <c r="AN199" s="120"/>
      <c r="AO199" s="120"/>
      <c r="AP199" s="120"/>
      <c r="AQ199" s="120"/>
      <c r="AR199" s="120"/>
      <c r="AS199" s="120"/>
      <c r="AT199" s="120"/>
      <c r="AU199" s="120"/>
      <c r="AV199" s="120"/>
      <c r="AW199" s="120"/>
      <c r="AX199" s="120"/>
      <c r="AY199" s="120"/>
      <c r="AZ199" s="120"/>
      <c r="BA199" s="120"/>
      <c r="BB199" s="120"/>
      <c r="BC199" s="120"/>
      <c r="BD199" s="120"/>
      <c r="BE199" s="120"/>
      <c r="BF199" s="120"/>
      <c r="BG199" s="120"/>
      <c r="BH199" s="120"/>
      <c r="BI199" s="120"/>
      <c r="BJ199" s="120"/>
      <c r="BK199" s="120"/>
      <c r="BL199" s="120"/>
      <c r="BM199" s="120"/>
      <c r="BN199" s="120"/>
      <c r="BO199" s="120"/>
      <c r="BP199" s="120"/>
      <c r="BQ199" s="120"/>
      <c r="BR199" s="120"/>
    </row>
    <row r="200" spans="1:70" x14ac:dyDescent="0.25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120"/>
      <c r="AK200" s="120"/>
      <c r="AL200" s="120"/>
      <c r="AM200" s="120"/>
      <c r="AN200" s="120"/>
      <c r="AO200" s="120"/>
      <c r="AP200" s="120"/>
      <c r="AQ200" s="120"/>
      <c r="AR200" s="120"/>
      <c r="AS200" s="120"/>
      <c r="AT200" s="120"/>
      <c r="AU200" s="120"/>
      <c r="AV200" s="120"/>
      <c r="AW200" s="120"/>
      <c r="AX200" s="120"/>
      <c r="AY200" s="120"/>
      <c r="AZ200" s="120"/>
      <c r="BA200" s="120"/>
      <c r="BB200" s="120"/>
      <c r="BC200" s="120"/>
      <c r="BD200" s="120"/>
      <c r="BE200" s="120"/>
      <c r="BF200" s="120"/>
      <c r="BG200" s="120"/>
      <c r="BH200" s="120"/>
      <c r="BI200" s="120"/>
      <c r="BJ200" s="120"/>
      <c r="BK200" s="120"/>
      <c r="BL200" s="120"/>
      <c r="BM200" s="120"/>
      <c r="BN200" s="120"/>
      <c r="BO200" s="120"/>
      <c r="BP200" s="120"/>
      <c r="BQ200" s="120"/>
      <c r="BR200" s="120"/>
    </row>
    <row r="201" spans="1:70" x14ac:dyDescent="0.25">
      <c r="A201" s="120"/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  <c r="Z201" s="120"/>
      <c r="AA201" s="120"/>
      <c r="AB201" s="120"/>
      <c r="AC201" s="120"/>
      <c r="AD201" s="120"/>
      <c r="AE201" s="120"/>
      <c r="AF201" s="120"/>
      <c r="AG201" s="120"/>
      <c r="AH201" s="120"/>
      <c r="AI201" s="120"/>
      <c r="AJ201" s="120"/>
      <c r="AK201" s="120"/>
      <c r="AL201" s="120"/>
      <c r="AM201" s="120"/>
      <c r="AN201" s="120"/>
      <c r="AO201" s="120"/>
      <c r="AP201" s="120"/>
      <c r="AQ201" s="120"/>
      <c r="AR201" s="120"/>
      <c r="AS201" s="120"/>
      <c r="AT201" s="120"/>
      <c r="AU201" s="120"/>
      <c r="AV201" s="120"/>
      <c r="AW201" s="120"/>
      <c r="AX201" s="120"/>
      <c r="AY201" s="120"/>
      <c r="AZ201" s="120"/>
      <c r="BA201" s="120"/>
      <c r="BB201" s="120"/>
      <c r="BC201" s="120"/>
      <c r="BD201" s="120"/>
      <c r="BE201" s="120"/>
      <c r="BF201" s="120"/>
      <c r="BG201" s="120"/>
      <c r="BH201" s="120"/>
      <c r="BI201" s="120"/>
      <c r="BJ201" s="120"/>
      <c r="BK201" s="120"/>
      <c r="BL201" s="120"/>
      <c r="BM201" s="120"/>
      <c r="BN201" s="120"/>
      <c r="BO201" s="120"/>
      <c r="BP201" s="120"/>
      <c r="BQ201" s="120"/>
      <c r="BR201" s="120"/>
    </row>
    <row r="202" spans="1:70" x14ac:dyDescent="0.25">
      <c r="A202" s="120"/>
      <c r="B202" s="120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120"/>
      <c r="AK202" s="120"/>
      <c r="AL202" s="120"/>
      <c r="AM202" s="120"/>
      <c r="AN202" s="120"/>
      <c r="AO202" s="120"/>
      <c r="AP202" s="120"/>
      <c r="AQ202" s="120"/>
      <c r="AR202" s="120"/>
      <c r="AS202" s="120"/>
      <c r="AT202" s="120"/>
      <c r="AU202" s="120"/>
      <c r="AV202" s="120"/>
      <c r="AW202" s="120"/>
      <c r="AX202" s="120"/>
      <c r="AY202" s="120"/>
      <c r="AZ202" s="120"/>
      <c r="BA202" s="120"/>
      <c r="BB202" s="120"/>
      <c r="BC202" s="120"/>
      <c r="BD202" s="120"/>
      <c r="BE202" s="120"/>
      <c r="BF202" s="120"/>
      <c r="BG202" s="120"/>
      <c r="BH202" s="120"/>
      <c r="BI202" s="120"/>
      <c r="BJ202" s="120"/>
      <c r="BK202" s="120"/>
      <c r="BL202" s="120"/>
      <c r="BM202" s="120"/>
      <c r="BN202" s="120"/>
      <c r="BO202" s="120"/>
      <c r="BP202" s="120"/>
      <c r="BQ202" s="120"/>
      <c r="BR202" s="120"/>
    </row>
    <row r="203" spans="1:70" x14ac:dyDescent="0.25">
      <c r="A203" s="120"/>
      <c r="B203" s="120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  <c r="Z203" s="120"/>
      <c r="AA203" s="120"/>
      <c r="AB203" s="120"/>
      <c r="AC203" s="120"/>
      <c r="AD203" s="120"/>
      <c r="AE203" s="120"/>
      <c r="AF203" s="120"/>
      <c r="AG203" s="120"/>
      <c r="AH203" s="120"/>
      <c r="AI203" s="120"/>
      <c r="AJ203" s="120"/>
      <c r="AK203" s="120"/>
      <c r="AL203" s="120"/>
      <c r="AM203" s="120"/>
      <c r="AN203" s="120"/>
      <c r="AO203" s="120"/>
      <c r="AP203" s="120"/>
      <c r="AQ203" s="120"/>
      <c r="AR203" s="120"/>
      <c r="AS203" s="120"/>
      <c r="AT203" s="120"/>
      <c r="AU203" s="120"/>
      <c r="AV203" s="120"/>
      <c r="AW203" s="120"/>
      <c r="AX203" s="120"/>
      <c r="AY203" s="120"/>
      <c r="AZ203" s="120"/>
      <c r="BA203" s="120"/>
      <c r="BB203" s="120"/>
      <c r="BC203" s="120"/>
      <c r="BD203" s="120"/>
      <c r="BE203" s="120"/>
      <c r="BF203" s="120"/>
      <c r="BG203" s="120"/>
      <c r="BH203" s="120"/>
      <c r="BI203" s="120"/>
      <c r="BJ203" s="120"/>
      <c r="BK203" s="120"/>
      <c r="BL203" s="120"/>
      <c r="BM203" s="120"/>
      <c r="BN203" s="120"/>
      <c r="BO203" s="120"/>
      <c r="BP203" s="120"/>
      <c r="BQ203" s="120"/>
      <c r="BR203" s="120"/>
    </row>
    <row r="204" spans="1:70" x14ac:dyDescent="0.25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120"/>
      <c r="AK204" s="120"/>
      <c r="AL204" s="120"/>
      <c r="AM204" s="120"/>
      <c r="AN204" s="120"/>
      <c r="AO204" s="120"/>
      <c r="AP204" s="120"/>
      <c r="AQ204" s="120"/>
      <c r="AR204" s="120"/>
      <c r="AS204" s="120"/>
      <c r="AT204" s="120"/>
      <c r="AU204" s="120"/>
      <c r="AV204" s="120"/>
      <c r="AW204" s="120"/>
      <c r="AX204" s="120"/>
      <c r="AY204" s="120"/>
      <c r="AZ204" s="120"/>
      <c r="BA204" s="120"/>
      <c r="BB204" s="120"/>
      <c r="BC204" s="120"/>
      <c r="BD204" s="120"/>
      <c r="BE204" s="120"/>
      <c r="BF204" s="120"/>
      <c r="BG204" s="120"/>
      <c r="BH204" s="120"/>
      <c r="BI204" s="120"/>
      <c r="BJ204" s="120"/>
      <c r="BK204" s="120"/>
      <c r="BL204" s="120"/>
      <c r="BM204" s="120"/>
      <c r="BN204" s="120"/>
      <c r="BO204" s="120"/>
      <c r="BP204" s="120"/>
      <c r="BQ204" s="120"/>
      <c r="BR204" s="120"/>
    </row>
    <row r="205" spans="1:70" x14ac:dyDescent="0.25">
      <c r="A205" s="120"/>
      <c r="B205" s="120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0"/>
      <c r="Z205" s="120"/>
      <c r="AA205" s="120"/>
      <c r="AB205" s="120"/>
      <c r="AC205" s="120"/>
      <c r="AD205" s="120"/>
      <c r="AE205" s="120"/>
      <c r="AF205" s="120"/>
      <c r="AG205" s="120"/>
      <c r="AH205" s="120"/>
      <c r="AI205" s="120"/>
      <c r="AJ205" s="120"/>
      <c r="AK205" s="120"/>
      <c r="AL205" s="120"/>
      <c r="AM205" s="120"/>
      <c r="AN205" s="120"/>
      <c r="AO205" s="120"/>
      <c r="AP205" s="120"/>
      <c r="AQ205" s="120"/>
      <c r="AR205" s="120"/>
      <c r="AS205" s="120"/>
      <c r="AT205" s="120"/>
      <c r="AU205" s="120"/>
      <c r="AV205" s="120"/>
      <c r="AW205" s="120"/>
      <c r="AX205" s="120"/>
      <c r="AY205" s="120"/>
      <c r="AZ205" s="120"/>
      <c r="BA205" s="120"/>
      <c r="BB205" s="120"/>
      <c r="BC205" s="120"/>
      <c r="BD205" s="120"/>
      <c r="BE205" s="120"/>
      <c r="BF205" s="120"/>
      <c r="BG205" s="120"/>
      <c r="BH205" s="120"/>
      <c r="BI205" s="120"/>
      <c r="BJ205" s="120"/>
      <c r="BK205" s="120"/>
      <c r="BL205" s="120"/>
      <c r="BM205" s="120"/>
      <c r="BN205" s="120"/>
      <c r="BO205" s="120"/>
      <c r="BP205" s="120"/>
      <c r="BQ205" s="120"/>
      <c r="BR205" s="120"/>
    </row>
    <row r="206" spans="1:70" x14ac:dyDescent="0.25">
      <c r="A206" s="120"/>
      <c r="B206" s="120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120"/>
      <c r="AK206" s="120"/>
      <c r="AL206" s="120"/>
      <c r="AM206" s="120"/>
      <c r="AN206" s="120"/>
      <c r="AO206" s="120"/>
      <c r="AP206" s="120"/>
      <c r="AQ206" s="120"/>
      <c r="AR206" s="120"/>
      <c r="AS206" s="120"/>
      <c r="AT206" s="120"/>
      <c r="AU206" s="120"/>
      <c r="AV206" s="120"/>
      <c r="AW206" s="120"/>
      <c r="AX206" s="120"/>
      <c r="AY206" s="120"/>
      <c r="AZ206" s="120"/>
      <c r="BA206" s="120"/>
      <c r="BB206" s="120"/>
      <c r="BC206" s="120"/>
      <c r="BD206" s="120"/>
      <c r="BE206" s="120"/>
      <c r="BF206" s="120"/>
      <c r="BG206" s="120"/>
      <c r="BH206" s="120"/>
      <c r="BI206" s="120"/>
      <c r="BJ206" s="120"/>
      <c r="BK206" s="120"/>
      <c r="BL206" s="120"/>
      <c r="BM206" s="120"/>
      <c r="BN206" s="120"/>
      <c r="BO206" s="120"/>
      <c r="BP206" s="120"/>
      <c r="BQ206" s="120"/>
      <c r="BR206" s="120"/>
    </row>
    <row r="207" spans="1:70" x14ac:dyDescent="0.25">
      <c r="A207" s="120"/>
      <c r="B207" s="120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0"/>
      <c r="Z207" s="120"/>
      <c r="AA207" s="120"/>
      <c r="AB207" s="120"/>
      <c r="AC207" s="120"/>
      <c r="AD207" s="120"/>
      <c r="AE207" s="120"/>
      <c r="AF207" s="120"/>
      <c r="AG207" s="120"/>
      <c r="AH207" s="120"/>
      <c r="AI207" s="120"/>
      <c r="AJ207" s="120"/>
      <c r="AK207" s="120"/>
      <c r="AL207" s="120"/>
      <c r="AM207" s="120"/>
      <c r="AN207" s="120"/>
      <c r="AO207" s="120"/>
      <c r="AP207" s="120"/>
      <c r="AQ207" s="120"/>
      <c r="AR207" s="120"/>
      <c r="AS207" s="120"/>
      <c r="AT207" s="120"/>
      <c r="AU207" s="120"/>
      <c r="AV207" s="120"/>
      <c r="AW207" s="120"/>
      <c r="AX207" s="120"/>
      <c r="AY207" s="120"/>
      <c r="AZ207" s="120"/>
      <c r="BA207" s="120"/>
      <c r="BB207" s="120"/>
      <c r="BC207" s="120"/>
      <c r="BD207" s="120"/>
      <c r="BE207" s="120"/>
      <c r="BF207" s="120"/>
      <c r="BG207" s="120"/>
      <c r="BH207" s="120"/>
      <c r="BI207" s="120"/>
      <c r="BJ207" s="120"/>
      <c r="BK207" s="120"/>
      <c r="BL207" s="120"/>
      <c r="BM207" s="120"/>
      <c r="BN207" s="120"/>
      <c r="BO207" s="120"/>
      <c r="BP207" s="120"/>
      <c r="BQ207" s="120"/>
      <c r="BR207" s="120"/>
    </row>
    <row r="208" spans="1:70" x14ac:dyDescent="0.25">
      <c r="A208" s="120"/>
      <c r="B208" s="120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  <c r="Z208" s="120"/>
      <c r="AA208" s="120"/>
      <c r="AB208" s="120"/>
      <c r="AC208" s="120"/>
      <c r="AD208" s="120"/>
      <c r="AE208" s="120"/>
      <c r="AF208" s="120"/>
      <c r="AG208" s="120"/>
      <c r="AH208" s="120"/>
      <c r="AI208" s="120"/>
      <c r="AJ208" s="120"/>
      <c r="AK208" s="120"/>
      <c r="AL208" s="120"/>
      <c r="AM208" s="120"/>
      <c r="AN208" s="120"/>
      <c r="AO208" s="120"/>
      <c r="AP208" s="120"/>
      <c r="AQ208" s="120"/>
      <c r="AR208" s="120"/>
      <c r="AS208" s="120"/>
      <c r="AT208" s="120"/>
      <c r="AU208" s="120"/>
      <c r="AV208" s="120"/>
      <c r="AW208" s="120"/>
      <c r="AX208" s="120"/>
      <c r="AY208" s="120"/>
      <c r="AZ208" s="120"/>
      <c r="BA208" s="120"/>
      <c r="BB208" s="120"/>
      <c r="BC208" s="120"/>
      <c r="BD208" s="120"/>
      <c r="BE208" s="120"/>
      <c r="BF208" s="120"/>
      <c r="BG208" s="120"/>
      <c r="BH208" s="120"/>
      <c r="BI208" s="120"/>
      <c r="BJ208" s="120"/>
      <c r="BK208" s="120"/>
      <c r="BL208" s="120"/>
      <c r="BM208" s="120"/>
      <c r="BN208" s="120"/>
      <c r="BO208" s="120"/>
      <c r="BP208" s="120"/>
      <c r="BQ208" s="120"/>
      <c r="BR208" s="120"/>
    </row>
    <row r="209" spans="1:70" x14ac:dyDescent="0.25">
      <c r="A209" s="120"/>
      <c r="B209" s="120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  <c r="Z209" s="120"/>
      <c r="AA209" s="120"/>
      <c r="AB209" s="120"/>
      <c r="AC209" s="120"/>
      <c r="AD209" s="120"/>
      <c r="AE209" s="120"/>
      <c r="AF209" s="120"/>
      <c r="AG209" s="120"/>
      <c r="AH209" s="120"/>
      <c r="AI209" s="120"/>
      <c r="AJ209" s="120"/>
      <c r="AK209" s="120"/>
      <c r="AL209" s="120"/>
      <c r="AM209" s="120"/>
      <c r="AN209" s="120"/>
      <c r="AO209" s="120"/>
      <c r="AP209" s="120"/>
      <c r="AQ209" s="120"/>
      <c r="AR209" s="120"/>
      <c r="AS209" s="120"/>
      <c r="AT209" s="120"/>
      <c r="AU209" s="120"/>
      <c r="AV209" s="120"/>
      <c r="AW209" s="120"/>
      <c r="AX209" s="120"/>
      <c r="AY209" s="120"/>
      <c r="AZ209" s="120"/>
      <c r="BA209" s="120"/>
      <c r="BB209" s="120"/>
      <c r="BC209" s="120"/>
      <c r="BD209" s="120"/>
      <c r="BE209" s="120"/>
      <c r="BF209" s="120"/>
      <c r="BG209" s="120"/>
      <c r="BH209" s="120"/>
      <c r="BI209" s="120"/>
      <c r="BJ209" s="120"/>
      <c r="BK209" s="120"/>
      <c r="BL209" s="120"/>
      <c r="BM209" s="120"/>
      <c r="BN209" s="120"/>
      <c r="BO209" s="120"/>
      <c r="BP209" s="120"/>
      <c r="BQ209" s="120"/>
      <c r="BR209" s="120"/>
    </row>
    <row r="210" spans="1:70" x14ac:dyDescent="0.25">
      <c r="A210" s="120"/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120"/>
      <c r="AK210" s="120"/>
      <c r="AL210" s="120"/>
      <c r="AM210" s="120"/>
      <c r="AN210" s="120"/>
      <c r="AO210" s="120"/>
      <c r="AP210" s="120"/>
      <c r="AQ210" s="120"/>
      <c r="AR210" s="120"/>
      <c r="AS210" s="120"/>
      <c r="AT210" s="120"/>
      <c r="AU210" s="120"/>
      <c r="AV210" s="120"/>
      <c r="AW210" s="120"/>
      <c r="AX210" s="120"/>
      <c r="AY210" s="120"/>
      <c r="AZ210" s="120"/>
      <c r="BA210" s="120"/>
      <c r="BB210" s="120"/>
      <c r="BC210" s="120"/>
      <c r="BD210" s="120"/>
      <c r="BE210" s="120"/>
      <c r="BF210" s="120"/>
      <c r="BG210" s="120"/>
      <c r="BH210" s="120"/>
      <c r="BI210" s="120"/>
      <c r="BJ210" s="120"/>
      <c r="BK210" s="120"/>
      <c r="BL210" s="120"/>
      <c r="BM210" s="120"/>
      <c r="BN210" s="120"/>
      <c r="BO210" s="120"/>
      <c r="BP210" s="120"/>
      <c r="BQ210" s="120"/>
      <c r="BR210" s="120"/>
    </row>
    <row r="211" spans="1:70" x14ac:dyDescent="0.25">
      <c r="A211" s="120"/>
      <c r="B211" s="120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  <c r="Z211" s="120"/>
      <c r="AA211" s="120"/>
      <c r="AB211" s="120"/>
      <c r="AC211" s="120"/>
      <c r="AD211" s="120"/>
      <c r="AE211" s="120"/>
      <c r="AF211" s="120"/>
      <c r="AG211" s="120"/>
      <c r="AH211" s="120"/>
      <c r="AI211" s="120"/>
      <c r="AJ211" s="120"/>
      <c r="AK211" s="120"/>
      <c r="AL211" s="120"/>
      <c r="AM211" s="120"/>
      <c r="AN211" s="120"/>
      <c r="AO211" s="120"/>
      <c r="AP211" s="120"/>
      <c r="AQ211" s="120"/>
      <c r="AR211" s="120"/>
      <c r="AS211" s="120"/>
      <c r="AT211" s="120"/>
      <c r="AU211" s="120"/>
      <c r="AV211" s="120"/>
      <c r="AW211" s="120"/>
      <c r="AX211" s="120"/>
      <c r="AY211" s="120"/>
      <c r="AZ211" s="120"/>
      <c r="BA211" s="120"/>
      <c r="BB211" s="120"/>
      <c r="BC211" s="120"/>
      <c r="BD211" s="120"/>
      <c r="BE211" s="120"/>
      <c r="BF211" s="120"/>
      <c r="BG211" s="120"/>
      <c r="BH211" s="120"/>
      <c r="BI211" s="120"/>
      <c r="BJ211" s="120"/>
      <c r="BK211" s="120"/>
      <c r="BL211" s="120"/>
      <c r="BM211" s="120"/>
      <c r="BN211" s="120"/>
      <c r="BO211" s="120"/>
      <c r="BP211" s="120"/>
      <c r="BQ211" s="120"/>
      <c r="BR211" s="120"/>
    </row>
    <row r="212" spans="1:70" x14ac:dyDescent="0.25">
      <c r="A212" s="120"/>
      <c r="B212" s="120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120"/>
      <c r="Z212" s="120"/>
      <c r="AA212" s="120"/>
      <c r="AB212" s="120"/>
      <c r="AC212" s="120"/>
      <c r="AD212" s="120"/>
      <c r="AE212" s="120"/>
      <c r="AF212" s="120"/>
      <c r="AG212" s="120"/>
      <c r="AH212" s="120"/>
      <c r="AI212" s="120"/>
      <c r="AJ212" s="120"/>
      <c r="AK212" s="120"/>
      <c r="AL212" s="120"/>
      <c r="AM212" s="120"/>
      <c r="AN212" s="120"/>
      <c r="AO212" s="120"/>
      <c r="AP212" s="120"/>
      <c r="AQ212" s="120"/>
      <c r="AR212" s="120"/>
      <c r="AS212" s="120"/>
      <c r="AT212" s="120"/>
      <c r="AU212" s="120"/>
      <c r="AV212" s="120"/>
      <c r="AW212" s="120"/>
      <c r="AX212" s="120"/>
      <c r="AY212" s="120"/>
      <c r="AZ212" s="120"/>
      <c r="BA212" s="120"/>
      <c r="BB212" s="120"/>
      <c r="BC212" s="120"/>
      <c r="BD212" s="120"/>
      <c r="BE212" s="120"/>
      <c r="BF212" s="120"/>
      <c r="BG212" s="120"/>
      <c r="BH212" s="120"/>
      <c r="BI212" s="120"/>
      <c r="BJ212" s="120"/>
      <c r="BK212" s="120"/>
      <c r="BL212" s="120"/>
      <c r="BM212" s="120"/>
      <c r="BN212" s="120"/>
      <c r="BO212" s="120"/>
      <c r="BP212" s="120"/>
      <c r="BQ212" s="120"/>
      <c r="BR212" s="120"/>
    </row>
    <row r="213" spans="1:70" x14ac:dyDescent="0.25">
      <c r="A213" s="120"/>
      <c r="B213" s="120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  <c r="AA213" s="120"/>
      <c r="AB213" s="120"/>
      <c r="AC213" s="120"/>
      <c r="AD213" s="120"/>
      <c r="AE213" s="120"/>
      <c r="AF213" s="120"/>
      <c r="AG213" s="120"/>
      <c r="AH213" s="120"/>
      <c r="AI213" s="120"/>
      <c r="AJ213" s="120"/>
      <c r="AK213" s="120"/>
      <c r="AL213" s="120"/>
      <c r="AM213" s="120"/>
      <c r="AN213" s="120"/>
      <c r="AO213" s="120"/>
      <c r="AP213" s="120"/>
      <c r="AQ213" s="120"/>
      <c r="AR213" s="120"/>
      <c r="AS213" s="120"/>
      <c r="AT213" s="120"/>
      <c r="AU213" s="120"/>
      <c r="AV213" s="120"/>
      <c r="AW213" s="120"/>
      <c r="AX213" s="120"/>
      <c r="AY213" s="120"/>
      <c r="AZ213" s="120"/>
      <c r="BA213" s="120"/>
      <c r="BB213" s="120"/>
      <c r="BC213" s="120"/>
      <c r="BD213" s="120"/>
      <c r="BE213" s="120"/>
      <c r="BF213" s="120"/>
      <c r="BG213" s="120"/>
      <c r="BH213" s="120"/>
      <c r="BI213" s="120"/>
      <c r="BJ213" s="120"/>
      <c r="BK213" s="120"/>
      <c r="BL213" s="120"/>
      <c r="BM213" s="120"/>
      <c r="BN213" s="120"/>
      <c r="BO213" s="120"/>
      <c r="BP213" s="120"/>
      <c r="BQ213" s="120"/>
      <c r="BR213" s="120"/>
    </row>
    <row r="214" spans="1:70" x14ac:dyDescent="0.25">
      <c r="A214" s="120"/>
      <c r="B214" s="120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  <c r="Z214" s="120"/>
      <c r="AA214" s="120"/>
      <c r="AB214" s="120"/>
      <c r="AC214" s="120"/>
      <c r="AD214" s="120"/>
      <c r="AE214" s="120"/>
      <c r="AF214" s="120"/>
      <c r="AG214" s="120"/>
      <c r="AH214" s="120"/>
      <c r="AI214" s="120"/>
      <c r="AJ214" s="120"/>
      <c r="AK214" s="120"/>
      <c r="AL214" s="120"/>
      <c r="AM214" s="120"/>
      <c r="AN214" s="120"/>
      <c r="AO214" s="120"/>
      <c r="AP214" s="120"/>
      <c r="AQ214" s="120"/>
      <c r="AR214" s="120"/>
      <c r="AS214" s="120"/>
      <c r="AT214" s="120"/>
      <c r="AU214" s="120"/>
      <c r="AV214" s="120"/>
      <c r="AW214" s="120"/>
      <c r="AX214" s="120"/>
      <c r="AY214" s="120"/>
      <c r="AZ214" s="120"/>
      <c r="BA214" s="120"/>
      <c r="BB214" s="120"/>
      <c r="BC214" s="120"/>
      <c r="BD214" s="120"/>
      <c r="BE214" s="120"/>
      <c r="BF214" s="120"/>
      <c r="BG214" s="120"/>
      <c r="BH214" s="120"/>
      <c r="BI214" s="120"/>
      <c r="BJ214" s="120"/>
      <c r="BK214" s="120"/>
      <c r="BL214" s="120"/>
      <c r="BM214" s="120"/>
      <c r="BN214" s="120"/>
      <c r="BO214" s="120"/>
      <c r="BP214" s="120"/>
      <c r="BQ214" s="120"/>
      <c r="BR214" s="120"/>
    </row>
    <row r="215" spans="1:70" x14ac:dyDescent="0.25">
      <c r="A215" s="120"/>
      <c r="B215" s="120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  <c r="Z215" s="120"/>
      <c r="AA215" s="120"/>
      <c r="AB215" s="120"/>
      <c r="AC215" s="120"/>
      <c r="AD215" s="120"/>
      <c r="AE215" s="120"/>
      <c r="AF215" s="120"/>
      <c r="AG215" s="120"/>
      <c r="AH215" s="120"/>
      <c r="AI215" s="120"/>
      <c r="AJ215" s="120"/>
      <c r="AK215" s="120"/>
      <c r="AL215" s="120"/>
      <c r="AM215" s="120"/>
      <c r="AN215" s="120"/>
      <c r="AO215" s="120"/>
      <c r="AP215" s="120"/>
      <c r="AQ215" s="120"/>
      <c r="AR215" s="120"/>
      <c r="AS215" s="120"/>
      <c r="AT215" s="120"/>
      <c r="AU215" s="120"/>
      <c r="AV215" s="120"/>
      <c r="AW215" s="120"/>
      <c r="AX215" s="120"/>
      <c r="AY215" s="120"/>
      <c r="AZ215" s="120"/>
      <c r="BA215" s="120"/>
      <c r="BB215" s="120"/>
      <c r="BC215" s="120"/>
      <c r="BD215" s="120"/>
      <c r="BE215" s="120"/>
      <c r="BF215" s="120"/>
      <c r="BG215" s="120"/>
      <c r="BH215" s="120"/>
      <c r="BI215" s="120"/>
      <c r="BJ215" s="120"/>
      <c r="BK215" s="120"/>
      <c r="BL215" s="120"/>
      <c r="BM215" s="120"/>
      <c r="BN215" s="120"/>
      <c r="BO215" s="120"/>
      <c r="BP215" s="120"/>
      <c r="BQ215" s="120"/>
      <c r="BR215" s="120"/>
    </row>
    <row r="216" spans="1:70" x14ac:dyDescent="0.25">
      <c r="A216" s="120"/>
      <c r="B216" s="120"/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  <c r="Z216" s="120"/>
      <c r="AA216" s="120"/>
      <c r="AB216" s="120"/>
      <c r="AC216" s="120"/>
      <c r="AD216" s="120"/>
      <c r="AE216" s="120"/>
      <c r="AF216" s="120"/>
      <c r="AG216" s="120"/>
      <c r="AH216" s="120"/>
      <c r="AI216" s="120"/>
      <c r="AJ216" s="120"/>
      <c r="AK216" s="120"/>
      <c r="AL216" s="120"/>
      <c r="AM216" s="120"/>
      <c r="AN216" s="120"/>
      <c r="AO216" s="120"/>
      <c r="AP216" s="120"/>
      <c r="AQ216" s="120"/>
      <c r="AR216" s="120"/>
      <c r="AS216" s="120"/>
      <c r="AT216" s="120"/>
      <c r="AU216" s="120"/>
      <c r="AV216" s="120"/>
      <c r="AW216" s="120"/>
      <c r="AX216" s="120"/>
      <c r="AY216" s="120"/>
      <c r="AZ216" s="120"/>
      <c r="BA216" s="120"/>
      <c r="BB216" s="120"/>
      <c r="BC216" s="120"/>
      <c r="BD216" s="120"/>
      <c r="BE216" s="120"/>
      <c r="BF216" s="120"/>
      <c r="BG216" s="120"/>
      <c r="BH216" s="120"/>
      <c r="BI216" s="120"/>
      <c r="BJ216" s="120"/>
      <c r="BK216" s="120"/>
      <c r="BL216" s="120"/>
      <c r="BM216" s="120"/>
      <c r="BN216" s="120"/>
      <c r="BO216" s="120"/>
      <c r="BP216" s="120"/>
      <c r="BQ216" s="120"/>
      <c r="BR216" s="120"/>
    </row>
    <row r="217" spans="1:70" x14ac:dyDescent="0.25">
      <c r="A217" s="120"/>
      <c r="B217" s="120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  <c r="AA217" s="120"/>
      <c r="AB217" s="120"/>
      <c r="AC217" s="120"/>
      <c r="AD217" s="120"/>
      <c r="AE217" s="120"/>
      <c r="AF217" s="120"/>
      <c r="AG217" s="120"/>
      <c r="AH217" s="120"/>
      <c r="AI217" s="120"/>
      <c r="AJ217" s="120"/>
      <c r="AK217" s="120"/>
      <c r="AL217" s="120"/>
      <c r="AM217" s="120"/>
      <c r="AN217" s="120"/>
      <c r="AO217" s="120"/>
      <c r="AP217" s="120"/>
      <c r="AQ217" s="120"/>
      <c r="AR217" s="120"/>
      <c r="AS217" s="120"/>
      <c r="AT217" s="120"/>
      <c r="AU217" s="120"/>
      <c r="AV217" s="120"/>
      <c r="AW217" s="120"/>
      <c r="AX217" s="120"/>
      <c r="AY217" s="120"/>
      <c r="AZ217" s="120"/>
      <c r="BA217" s="120"/>
      <c r="BB217" s="120"/>
      <c r="BC217" s="120"/>
      <c r="BD217" s="120"/>
      <c r="BE217" s="120"/>
      <c r="BF217" s="120"/>
      <c r="BG217" s="120"/>
      <c r="BH217" s="120"/>
      <c r="BI217" s="120"/>
      <c r="BJ217" s="120"/>
      <c r="BK217" s="120"/>
      <c r="BL217" s="120"/>
      <c r="BM217" s="120"/>
      <c r="BN217" s="120"/>
      <c r="BO217" s="120"/>
      <c r="BP217" s="120"/>
      <c r="BQ217" s="120"/>
      <c r="BR217" s="120"/>
    </row>
    <row r="218" spans="1:70" x14ac:dyDescent="0.25">
      <c r="A218" s="120"/>
      <c r="B218" s="120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  <c r="AA218" s="120"/>
      <c r="AB218" s="120"/>
      <c r="AC218" s="120"/>
      <c r="AD218" s="120"/>
      <c r="AE218" s="120"/>
      <c r="AF218" s="120"/>
      <c r="AG218" s="120"/>
      <c r="AH218" s="120"/>
      <c r="AI218" s="120"/>
      <c r="AJ218" s="120"/>
      <c r="AK218" s="120"/>
      <c r="AL218" s="120"/>
      <c r="AM218" s="120"/>
      <c r="AN218" s="120"/>
      <c r="AO218" s="120"/>
      <c r="AP218" s="120"/>
      <c r="AQ218" s="120"/>
      <c r="AR218" s="120"/>
      <c r="AS218" s="120"/>
      <c r="AT218" s="120"/>
      <c r="AU218" s="120"/>
      <c r="AV218" s="120"/>
      <c r="AW218" s="120"/>
      <c r="AX218" s="120"/>
      <c r="AY218" s="120"/>
      <c r="AZ218" s="120"/>
      <c r="BA218" s="120"/>
      <c r="BB218" s="120"/>
      <c r="BC218" s="120"/>
      <c r="BD218" s="120"/>
      <c r="BE218" s="120"/>
      <c r="BF218" s="120"/>
      <c r="BG218" s="120"/>
      <c r="BH218" s="120"/>
      <c r="BI218" s="120"/>
      <c r="BJ218" s="120"/>
      <c r="BK218" s="120"/>
      <c r="BL218" s="120"/>
      <c r="BM218" s="120"/>
      <c r="BN218" s="120"/>
      <c r="BO218" s="120"/>
      <c r="BP218" s="120"/>
      <c r="BQ218" s="120"/>
      <c r="BR218" s="120"/>
    </row>
    <row r="219" spans="1:70" x14ac:dyDescent="0.25">
      <c r="A219" s="120"/>
      <c r="B219" s="120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  <c r="AA219" s="120"/>
      <c r="AB219" s="120"/>
      <c r="AC219" s="120"/>
      <c r="AD219" s="120"/>
      <c r="AE219" s="120"/>
      <c r="AF219" s="120"/>
      <c r="AG219" s="120"/>
      <c r="AH219" s="120"/>
      <c r="AI219" s="120"/>
      <c r="AJ219" s="120"/>
      <c r="AK219" s="120"/>
      <c r="AL219" s="120"/>
      <c r="AM219" s="120"/>
      <c r="AN219" s="120"/>
      <c r="AO219" s="120"/>
      <c r="AP219" s="120"/>
      <c r="AQ219" s="120"/>
      <c r="AR219" s="120"/>
      <c r="AS219" s="120"/>
      <c r="AT219" s="120"/>
      <c r="AU219" s="120"/>
      <c r="AV219" s="120"/>
      <c r="AW219" s="120"/>
      <c r="AX219" s="120"/>
      <c r="AY219" s="120"/>
      <c r="AZ219" s="120"/>
      <c r="BA219" s="120"/>
      <c r="BB219" s="120"/>
      <c r="BC219" s="120"/>
      <c r="BD219" s="120"/>
      <c r="BE219" s="120"/>
      <c r="BF219" s="120"/>
      <c r="BG219" s="120"/>
      <c r="BH219" s="120"/>
      <c r="BI219" s="120"/>
      <c r="BJ219" s="120"/>
      <c r="BK219" s="120"/>
      <c r="BL219" s="120"/>
      <c r="BM219" s="120"/>
      <c r="BN219" s="120"/>
      <c r="BO219" s="120"/>
      <c r="BP219" s="120"/>
      <c r="BQ219" s="120"/>
      <c r="BR219" s="120"/>
    </row>
    <row r="220" spans="1:70" x14ac:dyDescent="0.25">
      <c r="A220" s="120"/>
      <c r="B220" s="120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120"/>
      <c r="AA220" s="120"/>
      <c r="AB220" s="120"/>
      <c r="AC220" s="120"/>
      <c r="AD220" s="120"/>
      <c r="AE220" s="120"/>
      <c r="AF220" s="120"/>
      <c r="AG220" s="120"/>
      <c r="AH220" s="120"/>
      <c r="AI220" s="120"/>
      <c r="AJ220" s="120"/>
      <c r="AK220" s="120"/>
      <c r="AL220" s="120"/>
      <c r="AM220" s="120"/>
      <c r="AN220" s="120"/>
      <c r="AO220" s="120"/>
      <c r="AP220" s="120"/>
      <c r="AQ220" s="120"/>
      <c r="AR220" s="120"/>
      <c r="AS220" s="120"/>
      <c r="AT220" s="120"/>
      <c r="AU220" s="120"/>
      <c r="AV220" s="120"/>
      <c r="AW220" s="120"/>
      <c r="AX220" s="120"/>
      <c r="AY220" s="120"/>
      <c r="AZ220" s="120"/>
      <c r="BA220" s="120"/>
      <c r="BB220" s="120"/>
      <c r="BC220" s="120"/>
      <c r="BD220" s="120"/>
      <c r="BE220" s="120"/>
      <c r="BF220" s="120"/>
      <c r="BG220" s="120"/>
      <c r="BH220" s="120"/>
      <c r="BI220" s="120"/>
      <c r="BJ220" s="120"/>
      <c r="BK220" s="120"/>
      <c r="BL220" s="120"/>
      <c r="BM220" s="120"/>
      <c r="BN220" s="120"/>
      <c r="BO220" s="120"/>
      <c r="BP220" s="120"/>
      <c r="BQ220" s="120"/>
      <c r="BR220" s="120"/>
    </row>
    <row r="221" spans="1:70" x14ac:dyDescent="0.25">
      <c r="A221" s="120"/>
      <c r="B221" s="120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  <c r="AA221" s="120"/>
      <c r="AB221" s="120"/>
      <c r="AC221" s="120"/>
      <c r="AD221" s="120"/>
      <c r="AE221" s="120"/>
      <c r="AF221" s="120"/>
      <c r="AG221" s="120"/>
      <c r="AH221" s="120"/>
      <c r="AI221" s="120"/>
      <c r="AJ221" s="120"/>
      <c r="AK221" s="120"/>
      <c r="AL221" s="120"/>
      <c r="AM221" s="120"/>
      <c r="AN221" s="120"/>
      <c r="AO221" s="120"/>
      <c r="AP221" s="120"/>
      <c r="AQ221" s="120"/>
      <c r="AR221" s="120"/>
      <c r="AS221" s="120"/>
      <c r="AT221" s="120"/>
      <c r="AU221" s="120"/>
      <c r="AV221" s="120"/>
      <c r="AW221" s="120"/>
      <c r="AX221" s="120"/>
      <c r="AY221" s="120"/>
      <c r="AZ221" s="120"/>
      <c r="BA221" s="120"/>
      <c r="BB221" s="120"/>
      <c r="BC221" s="120"/>
      <c r="BD221" s="120"/>
      <c r="BE221" s="120"/>
      <c r="BF221" s="120"/>
      <c r="BG221" s="120"/>
      <c r="BH221" s="120"/>
      <c r="BI221" s="120"/>
      <c r="BJ221" s="120"/>
      <c r="BK221" s="120"/>
      <c r="BL221" s="120"/>
      <c r="BM221" s="120"/>
      <c r="BN221" s="120"/>
      <c r="BO221" s="120"/>
      <c r="BP221" s="120"/>
      <c r="BQ221" s="120"/>
      <c r="BR221" s="120"/>
    </row>
    <row r="222" spans="1:70" x14ac:dyDescent="0.25">
      <c r="A222" s="120"/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  <c r="AA222" s="120"/>
      <c r="AB222" s="120"/>
      <c r="AC222" s="120"/>
      <c r="AD222" s="120"/>
      <c r="AE222" s="120"/>
      <c r="AF222" s="120"/>
      <c r="AG222" s="120"/>
      <c r="AH222" s="120"/>
      <c r="AI222" s="120"/>
      <c r="AJ222" s="120"/>
      <c r="AK222" s="120"/>
      <c r="AL222" s="120"/>
      <c r="AM222" s="120"/>
      <c r="AN222" s="120"/>
      <c r="AO222" s="120"/>
      <c r="AP222" s="120"/>
      <c r="AQ222" s="120"/>
      <c r="AR222" s="120"/>
      <c r="AS222" s="120"/>
      <c r="AT222" s="120"/>
      <c r="AU222" s="120"/>
      <c r="AV222" s="120"/>
      <c r="AW222" s="120"/>
      <c r="AX222" s="120"/>
      <c r="AY222" s="120"/>
      <c r="AZ222" s="120"/>
      <c r="BA222" s="120"/>
      <c r="BB222" s="120"/>
      <c r="BC222" s="120"/>
      <c r="BD222" s="120"/>
      <c r="BE222" s="120"/>
      <c r="BF222" s="120"/>
      <c r="BG222" s="120"/>
      <c r="BH222" s="120"/>
      <c r="BI222" s="120"/>
      <c r="BJ222" s="120"/>
      <c r="BK222" s="120"/>
      <c r="BL222" s="120"/>
      <c r="BM222" s="120"/>
      <c r="BN222" s="120"/>
      <c r="BO222" s="120"/>
      <c r="BP222" s="120"/>
      <c r="BQ222" s="120"/>
      <c r="BR222" s="120"/>
    </row>
    <row r="223" spans="1:70" x14ac:dyDescent="0.25">
      <c r="A223" s="120"/>
      <c r="B223" s="120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0"/>
      <c r="Z223" s="120"/>
      <c r="AA223" s="120"/>
      <c r="AB223" s="120"/>
      <c r="AC223" s="120"/>
      <c r="AD223" s="120"/>
      <c r="AE223" s="120"/>
      <c r="AF223" s="120"/>
      <c r="AG223" s="120"/>
      <c r="AH223" s="120"/>
      <c r="AI223" s="120"/>
      <c r="AJ223" s="120"/>
      <c r="AK223" s="120"/>
      <c r="AL223" s="120"/>
      <c r="AM223" s="120"/>
      <c r="AN223" s="120"/>
      <c r="AO223" s="120"/>
      <c r="AP223" s="120"/>
      <c r="AQ223" s="120"/>
      <c r="AR223" s="120"/>
      <c r="AS223" s="120"/>
      <c r="AT223" s="120"/>
      <c r="AU223" s="120"/>
      <c r="AV223" s="120"/>
      <c r="AW223" s="120"/>
      <c r="AX223" s="120"/>
      <c r="AY223" s="120"/>
      <c r="AZ223" s="120"/>
      <c r="BA223" s="120"/>
      <c r="BB223" s="120"/>
      <c r="BC223" s="120"/>
      <c r="BD223" s="120"/>
      <c r="BE223" s="120"/>
      <c r="BF223" s="120"/>
      <c r="BG223" s="120"/>
      <c r="BH223" s="120"/>
      <c r="BI223" s="120"/>
      <c r="BJ223" s="120"/>
      <c r="BK223" s="120"/>
      <c r="BL223" s="120"/>
      <c r="BM223" s="120"/>
      <c r="BN223" s="120"/>
      <c r="BO223" s="120"/>
      <c r="BP223" s="120"/>
      <c r="BQ223" s="120"/>
      <c r="BR223" s="120"/>
    </row>
    <row r="224" spans="1:70" x14ac:dyDescent="0.25">
      <c r="A224" s="120"/>
      <c r="B224" s="120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0"/>
      <c r="Z224" s="120"/>
      <c r="AA224" s="120"/>
      <c r="AB224" s="120"/>
      <c r="AC224" s="120"/>
      <c r="AD224" s="120"/>
      <c r="AE224" s="120"/>
      <c r="AF224" s="120"/>
      <c r="AG224" s="120"/>
      <c r="AH224" s="120"/>
      <c r="AI224" s="120"/>
      <c r="AJ224" s="120"/>
      <c r="AK224" s="120"/>
      <c r="AL224" s="120"/>
      <c r="AM224" s="120"/>
      <c r="AN224" s="120"/>
      <c r="AO224" s="120"/>
      <c r="AP224" s="120"/>
      <c r="AQ224" s="120"/>
      <c r="AR224" s="120"/>
      <c r="AS224" s="120"/>
      <c r="AT224" s="120"/>
      <c r="AU224" s="120"/>
      <c r="AV224" s="120"/>
      <c r="AW224" s="120"/>
      <c r="AX224" s="120"/>
      <c r="AY224" s="120"/>
      <c r="AZ224" s="120"/>
      <c r="BA224" s="120"/>
      <c r="BB224" s="120"/>
      <c r="BC224" s="120"/>
      <c r="BD224" s="120"/>
      <c r="BE224" s="120"/>
      <c r="BF224" s="120"/>
      <c r="BG224" s="120"/>
      <c r="BH224" s="120"/>
      <c r="BI224" s="120"/>
      <c r="BJ224" s="120"/>
      <c r="BK224" s="120"/>
      <c r="BL224" s="120"/>
      <c r="BM224" s="120"/>
      <c r="BN224" s="120"/>
      <c r="BO224" s="120"/>
      <c r="BP224" s="120"/>
      <c r="BQ224" s="120"/>
      <c r="BR224" s="120"/>
    </row>
    <row r="225" spans="1:70" x14ac:dyDescent="0.25">
      <c r="A225" s="120"/>
      <c r="B225" s="120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120"/>
      <c r="Z225" s="120"/>
      <c r="AA225" s="120"/>
      <c r="AB225" s="120"/>
      <c r="AC225" s="120"/>
      <c r="AD225" s="120"/>
      <c r="AE225" s="120"/>
      <c r="AF225" s="120"/>
      <c r="AG225" s="120"/>
      <c r="AH225" s="120"/>
      <c r="AI225" s="120"/>
      <c r="AJ225" s="120"/>
      <c r="AK225" s="120"/>
      <c r="AL225" s="120"/>
      <c r="AM225" s="120"/>
      <c r="AN225" s="120"/>
      <c r="AO225" s="120"/>
      <c r="AP225" s="120"/>
      <c r="AQ225" s="120"/>
      <c r="AR225" s="120"/>
      <c r="AS225" s="120"/>
      <c r="AT225" s="120"/>
      <c r="AU225" s="120"/>
      <c r="AV225" s="120"/>
      <c r="AW225" s="120"/>
      <c r="AX225" s="120"/>
      <c r="AY225" s="120"/>
      <c r="AZ225" s="120"/>
      <c r="BA225" s="120"/>
      <c r="BB225" s="120"/>
      <c r="BC225" s="120"/>
      <c r="BD225" s="120"/>
      <c r="BE225" s="120"/>
      <c r="BF225" s="120"/>
      <c r="BG225" s="120"/>
      <c r="BH225" s="120"/>
      <c r="BI225" s="120"/>
      <c r="BJ225" s="120"/>
      <c r="BK225" s="120"/>
      <c r="BL225" s="120"/>
      <c r="BM225" s="120"/>
      <c r="BN225" s="120"/>
      <c r="BO225" s="120"/>
      <c r="BP225" s="120"/>
      <c r="BQ225" s="120"/>
      <c r="BR225" s="120"/>
    </row>
    <row r="226" spans="1:70" x14ac:dyDescent="0.25">
      <c r="A226" s="120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  <c r="AA226" s="120"/>
      <c r="AB226" s="120"/>
      <c r="AC226" s="120"/>
      <c r="AD226" s="120"/>
      <c r="AE226" s="120"/>
      <c r="AF226" s="120"/>
      <c r="AG226" s="120"/>
      <c r="AH226" s="120"/>
      <c r="AI226" s="120"/>
      <c r="AJ226" s="120"/>
      <c r="AK226" s="120"/>
      <c r="AL226" s="120"/>
      <c r="AM226" s="120"/>
      <c r="AN226" s="120"/>
      <c r="AO226" s="120"/>
      <c r="AP226" s="120"/>
      <c r="AQ226" s="120"/>
      <c r="AR226" s="120"/>
      <c r="AS226" s="120"/>
      <c r="AT226" s="120"/>
      <c r="AU226" s="120"/>
      <c r="AV226" s="120"/>
      <c r="AW226" s="120"/>
      <c r="AX226" s="120"/>
      <c r="AY226" s="120"/>
      <c r="AZ226" s="120"/>
      <c r="BA226" s="120"/>
      <c r="BB226" s="120"/>
      <c r="BC226" s="120"/>
      <c r="BD226" s="120"/>
      <c r="BE226" s="120"/>
      <c r="BF226" s="120"/>
      <c r="BG226" s="120"/>
      <c r="BH226" s="120"/>
      <c r="BI226" s="120"/>
      <c r="BJ226" s="120"/>
      <c r="BK226" s="120"/>
      <c r="BL226" s="120"/>
      <c r="BM226" s="120"/>
      <c r="BN226" s="120"/>
      <c r="BO226" s="120"/>
      <c r="BP226" s="120"/>
      <c r="BQ226" s="120"/>
      <c r="BR226" s="120"/>
    </row>
    <row r="227" spans="1:70" x14ac:dyDescent="0.25">
      <c r="A227" s="120"/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  <c r="Z227" s="120"/>
      <c r="AA227" s="120"/>
      <c r="AB227" s="120"/>
      <c r="AC227" s="120"/>
      <c r="AD227" s="120"/>
      <c r="AE227" s="120"/>
      <c r="AF227" s="120"/>
      <c r="AG227" s="120"/>
      <c r="AH227" s="120"/>
      <c r="AI227" s="120"/>
      <c r="AJ227" s="120"/>
      <c r="AK227" s="120"/>
      <c r="AL227" s="120"/>
      <c r="AM227" s="120"/>
      <c r="AN227" s="120"/>
      <c r="AO227" s="120"/>
      <c r="AP227" s="120"/>
      <c r="AQ227" s="120"/>
      <c r="AR227" s="120"/>
      <c r="AS227" s="120"/>
      <c r="AT227" s="120"/>
      <c r="AU227" s="120"/>
      <c r="AV227" s="120"/>
      <c r="AW227" s="120"/>
      <c r="AX227" s="120"/>
      <c r="AY227" s="120"/>
      <c r="AZ227" s="120"/>
      <c r="BA227" s="120"/>
      <c r="BB227" s="120"/>
      <c r="BC227" s="120"/>
      <c r="BD227" s="120"/>
      <c r="BE227" s="120"/>
      <c r="BF227" s="120"/>
      <c r="BG227" s="120"/>
      <c r="BH227" s="120"/>
      <c r="BI227" s="120"/>
      <c r="BJ227" s="120"/>
      <c r="BK227" s="120"/>
      <c r="BL227" s="120"/>
      <c r="BM227" s="120"/>
      <c r="BN227" s="120"/>
      <c r="BO227" s="120"/>
      <c r="BP227" s="120"/>
      <c r="BQ227" s="120"/>
      <c r="BR227" s="120"/>
    </row>
    <row r="228" spans="1:70" x14ac:dyDescent="0.25">
      <c r="A228" s="120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  <c r="AA228" s="120"/>
      <c r="AB228" s="120"/>
      <c r="AC228" s="120"/>
      <c r="AD228" s="120"/>
      <c r="AE228" s="120"/>
      <c r="AF228" s="120"/>
      <c r="AG228" s="120"/>
      <c r="AH228" s="120"/>
      <c r="AI228" s="120"/>
      <c r="AJ228" s="120"/>
      <c r="AK228" s="120"/>
      <c r="AL228" s="120"/>
      <c r="AM228" s="120"/>
      <c r="AN228" s="120"/>
      <c r="AO228" s="120"/>
      <c r="AP228" s="120"/>
      <c r="AQ228" s="120"/>
      <c r="AR228" s="120"/>
      <c r="AS228" s="120"/>
      <c r="AT228" s="120"/>
      <c r="AU228" s="120"/>
      <c r="AV228" s="120"/>
      <c r="AW228" s="120"/>
      <c r="AX228" s="120"/>
      <c r="AY228" s="120"/>
      <c r="AZ228" s="120"/>
      <c r="BA228" s="120"/>
      <c r="BB228" s="120"/>
      <c r="BC228" s="120"/>
      <c r="BD228" s="120"/>
      <c r="BE228" s="120"/>
      <c r="BF228" s="120"/>
      <c r="BG228" s="120"/>
      <c r="BH228" s="120"/>
      <c r="BI228" s="120"/>
      <c r="BJ228" s="120"/>
      <c r="BK228" s="120"/>
      <c r="BL228" s="120"/>
      <c r="BM228" s="120"/>
      <c r="BN228" s="120"/>
      <c r="BO228" s="120"/>
      <c r="BP228" s="120"/>
      <c r="BQ228" s="120"/>
      <c r="BR228" s="120"/>
    </row>
    <row r="229" spans="1:70" x14ac:dyDescent="0.25">
      <c r="A229" s="120"/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  <c r="Z229" s="120"/>
      <c r="AA229" s="120"/>
      <c r="AB229" s="120"/>
      <c r="AC229" s="120"/>
      <c r="AD229" s="120"/>
      <c r="AE229" s="120"/>
      <c r="AF229" s="120"/>
      <c r="AG229" s="120"/>
      <c r="AH229" s="120"/>
      <c r="AI229" s="120"/>
      <c r="AJ229" s="120"/>
      <c r="AK229" s="120"/>
      <c r="AL229" s="120"/>
      <c r="AM229" s="120"/>
      <c r="AN229" s="120"/>
      <c r="AO229" s="120"/>
      <c r="AP229" s="120"/>
      <c r="AQ229" s="120"/>
      <c r="AR229" s="120"/>
      <c r="AS229" s="120"/>
      <c r="AT229" s="120"/>
      <c r="AU229" s="120"/>
      <c r="AV229" s="120"/>
      <c r="AW229" s="120"/>
      <c r="AX229" s="120"/>
      <c r="AY229" s="120"/>
      <c r="AZ229" s="120"/>
      <c r="BA229" s="120"/>
      <c r="BB229" s="120"/>
      <c r="BC229" s="120"/>
      <c r="BD229" s="120"/>
      <c r="BE229" s="120"/>
      <c r="BF229" s="120"/>
      <c r="BG229" s="120"/>
      <c r="BH229" s="120"/>
      <c r="BI229" s="120"/>
      <c r="BJ229" s="120"/>
      <c r="BK229" s="120"/>
      <c r="BL229" s="120"/>
      <c r="BM229" s="120"/>
      <c r="BN229" s="120"/>
      <c r="BO229" s="120"/>
      <c r="BP229" s="120"/>
      <c r="BQ229" s="120"/>
      <c r="BR229" s="120"/>
    </row>
    <row r="230" spans="1:70" x14ac:dyDescent="0.25">
      <c r="A230" s="120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  <c r="AA230" s="120"/>
      <c r="AB230" s="120"/>
      <c r="AC230" s="120"/>
      <c r="AD230" s="120"/>
      <c r="AE230" s="120"/>
      <c r="AF230" s="120"/>
      <c r="AG230" s="120"/>
      <c r="AH230" s="120"/>
      <c r="AI230" s="120"/>
      <c r="AJ230" s="120"/>
      <c r="AK230" s="120"/>
      <c r="AL230" s="120"/>
      <c r="AM230" s="120"/>
      <c r="AN230" s="120"/>
      <c r="AO230" s="120"/>
      <c r="AP230" s="120"/>
      <c r="AQ230" s="120"/>
      <c r="AR230" s="120"/>
      <c r="AS230" s="120"/>
      <c r="AT230" s="120"/>
      <c r="AU230" s="120"/>
      <c r="AV230" s="120"/>
      <c r="AW230" s="120"/>
      <c r="AX230" s="120"/>
      <c r="AY230" s="120"/>
      <c r="AZ230" s="120"/>
      <c r="BA230" s="120"/>
      <c r="BB230" s="120"/>
      <c r="BC230" s="120"/>
      <c r="BD230" s="120"/>
      <c r="BE230" s="120"/>
      <c r="BF230" s="120"/>
      <c r="BG230" s="120"/>
      <c r="BH230" s="120"/>
      <c r="BI230" s="120"/>
      <c r="BJ230" s="120"/>
      <c r="BK230" s="120"/>
      <c r="BL230" s="120"/>
      <c r="BM230" s="120"/>
      <c r="BN230" s="120"/>
      <c r="BO230" s="120"/>
      <c r="BP230" s="120"/>
      <c r="BQ230" s="120"/>
      <c r="BR230" s="120"/>
    </row>
    <row r="231" spans="1:70" x14ac:dyDescent="0.25">
      <c r="A231" s="120"/>
      <c r="B231" s="120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120"/>
      <c r="Z231" s="120"/>
      <c r="AA231" s="120"/>
      <c r="AB231" s="120"/>
      <c r="AC231" s="120"/>
      <c r="AD231" s="120"/>
      <c r="AE231" s="120"/>
      <c r="AF231" s="120"/>
      <c r="AG231" s="120"/>
      <c r="AH231" s="120"/>
      <c r="AI231" s="120"/>
      <c r="AJ231" s="120"/>
      <c r="AK231" s="120"/>
      <c r="AL231" s="120"/>
      <c r="AM231" s="120"/>
      <c r="AN231" s="120"/>
      <c r="AO231" s="120"/>
      <c r="AP231" s="120"/>
      <c r="AQ231" s="120"/>
      <c r="AR231" s="120"/>
      <c r="AS231" s="120"/>
      <c r="AT231" s="120"/>
      <c r="AU231" s="120"/>
      <c r="AV231" s="120"/>
      <c r="AW231" s="120"/>
      <c r="AX231" s="120"/>
      <c r="AY231" s="120"/>
      <c r="AZ231" s="120"/>
      <c r="BA231" s="120"/>
      <c r="BB231" s="120"/>
      <c r="BC231" s="120"/>
      <c r="BD231" s="120"/>
      <c r="BE231" s="120"/>
      <c r="BF231" s="120"/>
      <c r="BG231" s="120"/>
      <c r="BH231" s="120"/>
      <c r="BI231" s="120"/>
      <c r="BJ231" s="120"/>
      <c r="BK231" s="120"/>
      <c r="BL231" s="120"/>
      <c r="BM231" s="120"/>
      <c r="BN231" s="120"/>
      <c r="BO231" s="120"/>
      <c r="BP231" s="120"/>
      <c r="BQ231" s="120"/>
      <c r="BR231" s="120"/>
    </row>
    <row r="232" spans="1:70" x14ac:dyDescent="0.25">
      <c r="A232" s="120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  <c r="AA232" s="120"/>
      <c r="AB232" s="120"/>
      <c r="AC232" s="120"/>
      <c r="AD232" s="120"/>
      <c r="AE232" s="120"/>
      <c r="AF232" s="120"/>
      <c r="AG232" s="120"/>
      <c r="AH232" s="120"/>
      <c r="AI232" s="120"/>
      <c r="AJ232" s="120"/>
      <c r="AK232" s="120"/>
      <c r="AL232" s="120"/>
      <c r="AM232" s="120"/>
      <c r="AN232" s="120"/>
      <c r="AO232" s="120"/>
      <c r="AP232" s="120"/>
      <c r="AQ232" s="120"/>
      <c r="AR232" s="120"/>
      <c r="AS232" s="120"/>
      <c r="AT232" s="120"/>
      <c r="AU232" s="120"/>
      <c r="AV232" s="120"/>
      <c r="AW232" s="120"/>
      <c r="AX232" s="120"/>
      <c r="AY232" s="120"/>
      <c r="AZ232" s="120"/>
      <c r="BA232" s="120"/>
      <c r="BB232" s="120"/>
      <c r="BC232" s="120"/>
      <c r="BD232" s="120"/>
      <c r="BE232" s="120"/>
      <c r="BF232" s="120"/>
      <c r="BG232" s="120"/>
      <c r="BH232" s="120"/>
      <c r="BI232" s="120"/>
      <c r="BJ232" s="120"/>
      <c r="BK232" s="120"/>
      <c r="BL232" s="120"/>
      <c r="BM232" s="120"/>
      <c r="BN232" s="120"/>
      <c r="BO232" s="120"/>
      <c r="BP232" s="120"/>
      <c r="BQ232" s="120"/>
      <c r="BR232" s="120"/>
    </row>
    <row r="233" spans="1:70" x14ac:dyDescent="0.25">
      <c r="A233" s="120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  <c r="Z233" s="120"/>
      <c r="AA233" s="120"/>
      <c r="AB233" s="120"/>
      <c r="AC233" s="120"/>
      <c r="AD233" s="120"/>
      <c r="AE233" s="120"/>
      <c r="AF233" s="120"/>
      <c r="AG233" s="120"/>
      <c r="AH233" s="120"/>
      <c r="AI233" s="120"/>
      <c r="AJ233" s="120"/>
      <c r="AK233" s="120"/>
      <c r="AL233" s="120"/>
      <c r="AM233" s="120"/>
      <c r="AN233" s="120"/>
      <c r="AO233" s="120"/>
      <c r="AP233" s="120"/>
      <c r="AQ233" s="120"/>
      <c r="AR233" s="120"/>
      <c r="AS233" s="120"/>
      <c r="AT233" s="120"/>
      <c r="AU233" s="120"/>
      <c r="AV233" s="120"/>
      <c r="AW233" s="120"/>
      <c r="AX233" s="120"/>
      <c r="AY233" s="120"/>
      <c r="AZ233" s="120"/>
      <c r="BA233" s="120"/>
      <c r="BB233" s="120"/>
      <c r="BC233" s="120"/>
      <c r="BD233" s="120"/>
      <c r="BE233" s="120"/>
      <c r="BF233" s="120"/>
      <c r="BG233" s="120"/>
      <c r="BH233" s="120"/>
      <c r="BI233" s="120"/>
      <c r="BJ233" s="120"/>
      <c r="BK233" s="120"/>
      <c r="BL233" s="120"/>
      <c r="BM233" s="120"/>
      <c r="BN233" s="120"/>
      <c r="BO233" s="120"/>
      <c r="BP233" s="120"/>
      <c r="BQ233" s="120"/>
      <c r="BR233" s="120"/>
    </row>
    <row r="234" spans="1:70" x14ac:dyDescent="0.25">
      <c r="A234" s="120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20"/>
      <c r="AA234" s="120"/>
      <c r="AB234" s="120"/>
      <c r="AC234" s="120"/>
      <c r="AD234" s="120"/>
      <c r="AE234" s="120"/>
      <c r="AF234" s="120"/>
      <c r="AG234" s="120"/>
      <c r="AH234" s="120"/>
      <c r="AI234" s="120"/>
      <c r="AJ234" s="120"/>
      <c r="AK234" s="120"/>
      <c r="AL234" s="120"/>
      <c r="AM234" s="120"/>
      <c r="AN234" s="120"/>
      <c r="AO234" s="120"/>
      <c r="AP234" s="120"/>
      <c r="AQ234" s="120"/>
      <c r="AR234" s="120"/>
      <c r="AS234" s="120"/>
      <c r="AT234" s="120"/>
      <c r="AU234" s="120"/>
      <c r="AV234" s="120"/>
      <c r="AW234" s="120"/>
      <c r="AX234" s="120"/>
      <c r="AY234" s="120"/>
      <c r="AZ234" s="120"/>
      <c r="BA234" s="120"/>
      <c r="BB234" s="120"/>
      <c r="BC234" s="120"/>
      <c r="BD234" s="120"/>
      <c r="BE234" s="120"/>
      <c r="BF234" s="120"/>
      <c r="BG234" s="120"/>
      <c r="BH234" s="120"/>
      <c r="BI234" s="120"/>
      <c r="BJ234" s="120"/>
      <c r="BK234" s="120"/>
      <c r="BL234" s="120"/>
      <c r="BM234" s="120"/>
      <c r="BN234" s="120"/>
      <c r="BO234" s="120"/>
      <c r="BP234" s="120"/>
      <c r="BQ234" s="120"/>
      <c r="BR234" s="120"/>
    </row>
    <row r="235" spans="1:70" x14ac:dyDescent="0.25">
      <c r="A235" s="120"/>
      <c r="B235" s="120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120"/>
      <c r="Z235" s="120"/>
      <c r="AA235" s="120"/>
      <c r="AB235" s="120"/>
      <c r="AC235" s="120"/>
      <c r="AD235" s="120"/>
      <c r="AE235" s="120"/>
      <c r="AF235" s="120"/>
      <c r="AG235" s="120"/>
      <c r="AH235" s="120"/>
      <c r="AI235" s="120"/>
      <c r="AJ235" s="120"/>
      <c r="AK235" s="120"/>
      <c r="AL235" s="120"/>
      <c r="AM235" s="120"/>
      <c r="AN235" s="120"/>
      <c r="AO235" s="120"/>
      <c r="AP235" s="120"/>
      <c r="AQ235" s="120"/>
      <c r="AR235" s="120"/>
      <c r="AS235" s="120"/>
      <c r="AT235" s="120"/>
      <c r="AU235" s="120"/>
      <c r="AV235" s="120"/>
      <c r="AW235" s="120"/>
      <c r="AX235" s="120"/>
      <c r="AY235" s="120"/>
      <c r="AZ235" s="120"/>
      <c r="BA235" s="120"/>
      <c r="BB235" s="120"/>
      <c r="BC235" s="120"/>
      <c r="BD235" s="120"/>
      <c r="BE235" s="120"/>
      <c r="BF235" s="120"/>
      <c r="BG235" s="120"/>
      <c r="BH235" s="120"/>
      <c r="BI235" s="120"/>
      <c r="BJ235" s="120"/>
      <c r="BK235" s="120"/>
      <c r="BL235" s="120"/>
      <c r="BM235" s="120"/>
      <c r="BN235" s="120"/>
      <c r="BO235" s="120"/>
      <c r="BP235" s="120"/>
      <c r="BQ235" s="120"/>
      <c r="BR235" s="120"/>
    </row>
    <row r="236" spans="1:70" x14ac:dyDescent="0.25">
      <c r="A236" s="120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  <c r="AA236" s="120"/>
      <c r="AB236" s="120"/>
      <c r="AC236" s="120"/>
      <c r="AD236" s="120"/>
      <c r="AE236" s="120"/>
      <c r="AF236" s="120"/>
      <c r="AG236" s="120"/>
      <c r="AH236" s="120"/>
      <c r="AI236" s="120"/>
      <c r="AJ236" s="120"/>
      <c r="AK236" s="120"/>
      <c r="AL236" s="120"/>
      <c r="AM236" s="120"/>
      <c r="AN236" s="120"/>
      <c r="AO236" s="120"/>
      <c r="AP236" s="120"/>
      <c r="AQ236" s="120"/>
      <c r="AR236" s="120"/>
      <c r="AS236" s="120"/>
      <c r="AT236" s="120"/>
      <c r="AU236" s="120"/>
      <c r="AV236" s="120"/>
      <c r="AW236" s="120"/>
      <c r="AX236" s="120"/>
      <c r="AY236" s="120"/>
      <c r="AZ236" s="120"/>
      <c r="BA236" s="120"/>
      <c r="BB236" s="120"/>
      <c r="BC236" s="120"/>
      <c r="BD236" s="120"/>
      <c r="BE236" s="120"/>
      <c r="BF236" s="120"/>
      <c r="BG236" s="120"/>
      <c r="BH236" s="120"/>
      <c r="BI236" s="120"/>
      <c r="BJ236" s="120"/>
      <c r="BK236" s="120"/>
      <c r="BL236" s="120"/>
      <c r="BM236" s="120"/>
      <c r="BN236" s="120"/>
      <c r="BO236" s="120"/>
      <c r="BP236" s="120"/>
      <c r="BQ236" s="120"/>
      <c r="BR236" s="120"/>
    </row>
    <row r="237" spans="1:70" x14ac:dyDescent="0.25">
      <c r="A237" s="120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  <c r="AA237" s="120"/>
      <c r="AB237" s="120"/>
      <c r="AC237" s="120"/>
      <c r="AD237" s="120"/>
      <c r="AE237" s="120"/>
      <c r="AF237" s="120"/>
      <c r="AG237" s="120"/>
      <c r="AH237" s="120"/>
      <c r="AI237" s="120"/>
      <c r="AJ237" s="120"/>
      <c r="AK237" s="120"/>
      <c r="AL237" s="120"/>
      <c r="AM237" s="120"/>
      <c r="AN237" s="120"/>
      <c r="AO237" s="120"/>
      <c r="AP237" s="120"/>
      <c r="AQ237" s="120"/>
      <c r="AR237" s="120"/>
      <c r="AS237" s="120"/>
      <c r="AT237" s="120"/>
      <c r="AU237" s="120"/>
      <c r="AV237" s="120"/>
      <c r="AW237" s="120"/>
      <c r="AX237" s="120"/>
      <c r="AY237" s="120"/>
      <c r="AZ237" s="120"/>
      <c r="BA237" s="120"/>
      <c r="BB237" s="120"/>
      <c r="BC237" s="120"/>
      <c r="BD237" s="120"/>
      <c r="BE237" s="120"/>
      <c r="BF237" s="120"/>
      <c r="BG237" s="120"/>
      <c r="BH237" s="120"/>
      <c r="BI237" s="120"/>
      <c r="BJ237" s="120"/>
      <c r="BK237" s="120"/>
      <c r="BL237" s="120"/>
      <c r="BM237" s="120"/>
      <c r="BN237" s="120"/>
      <c r="BO237" s="120"/>
      <c r="BP237" s="120"/>
      <c r="BQ237" s="120"/>
      <c r="BR237" s="120"/>
    </row>
    <row r="238" spans="1:70" x14ac:dyDescent="0.25">
      <c r="A238" s="120"/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120"/>
      <c r="Z238" s="120"/>
      <c r="AA238" s="120"/>
      <c r="AB238" s="120"/>
      <c r="AC238" s="120"/>
      <c r="AD238" s="120"/>
      <c r="AE238" s="120"/>
      <c r="AF238" s="120"/>
      <c r="AG238" s="120"/>
      <c r="AH238" s="120"/>
      <c r="AI238" s="120"/>
      <c r="AJ238" s="120"/>
      <c r="AK238" s="120"/>
      <c r="AL238" s="120"/>
      <c r="AM238" s="120"/>
      <c r="AN238" s="120"/>
      <c r="AO238" s="120"/>
      <c r="AP238" s="120"/>
      <c r="AQ238" s="120"/>
      <c r="AR238" s="120"/>
      <c r="AS238" s="120"/>
      <c r="AT238" s="120"/>
      <c r="AU238" s="120"/>
      <c r="AV238" s="120"/>
      <c r="AW238" s="120"/>
      <c r="AX238" s="120"/>
      <c r="AY238" s="120"/>
      <c r="AZ238" s="120"/>
      <c r="BA238" s="120"/>
      <c r="BB238" s="120"/>
      <c r="BC238" s="120"/>
      <c r="BD238" s="120"/>
      <c r="BE238" s="120"/>
      <c r="BF238" s="120"/>
      <c r="BG238" s="120"/>
      <c r="BH238" s="120"/>
      <c r="BI238" s="120"/>
      <c r="BJ238" s="120"/>
      <c r="BK238" s="120"/>
      <c r="BL238" s="120"/>
      <c r="BM238" s="120"/>
      <c r="BN238" s="120"/>
      <c r="BO238" s="120"/>
      <c r="BP238" s="120"/>
      <c r="BQ238" s="120"/>
      <c r="BR238" s="120"/>
    </row>
    <row r="239" spans="1:70" x14ac:dyDescent="0.25">
      <c r="A239" s="120"/>
      <c r="B239" s="120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120"/>
      <c r="Z239" s="120"/>
      <c r="AA239" s="120"/>
      <c r="AB239" s="120"/>
      <c r="AC239" s="120"/>
      <c r="AD239" s="120"/>
      <c r="AE239" s="120"/>
      <c r="AF239" s="120"/>
      <c r="AG239" s="120"/>
      <c r="AH239" s="120"/>
      <c r="AI239" s="120"/>
      <c r="AJ239" s="120"/>
      <c r="AK239" s="120"/>
      <c r="AL239" s="120"/>
      <c r="AM239" s="120"/>
      <c r="AN239" s="120"/>
      <c r="AO239" s="120"/>
      <c r="AP239" s="120"/>
      <c r="AQ239" s="120"/>
      <c r="AR239" s="120"/>
      <c r="AS239" s="120"/>
      <c r="AT239" s="120"/>
      <c r="AU239" s="120"/>
      <c r="AV239" s="120"/>
      <c r="AW239" s="120"/>
      <c r="AX239" s="120"/>
      <c r="AY239" s="120"/>
      <c r="AZ239" s="120"/>
      <c r="BA239" s="120"/>
      <c r="BB239" s="120"/>
      <c r="BC239" s="120"/>
      <c r="BD239" s="120"/>
      <c r="BE239" s="120"/>
      <c r="BF239" s="120"/>
      <c r="BG239" s="120"/>
      <c r="BH239" s="120"/>
      <c r="BI239" s="120"/>
      <c r="BJ239" s="120"/>
      <c r="BK239" s="120"/>
      <c r="BL239" s="120"/>
      <c r="BM239" s="120"/>
      <c r="BN239" s="120"/>
      <c r="BO239" s="120"/>
      <c r="BP239" s="120"/>
      <c r="BQ239" s="120"/>
      <c r="BR239" s="120"/>
    </row>
    <row r="240" spans="1:70" x14ac:dyDescent="0.25">
      <c r="A240" s="120"/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0"/>
      <c r="Z240" s="120"/>
      <c r="AA240" s="120"/>
      <c r="AB240" s="120"/>
      <c r="AC240" s="120"/>
      <c r="AD240" s="120"/>
      <c r="AE240" s="120"/>
      <c r="AF240" s="120"/>
      <c r="AG240" s="120"/>
      <c r="AH240" s="120"/>
      <c r="AI240" s="120"/>
      <c r="AJ240" s="120"/>
      <c r="AK240" s="120"/>
      <c r="AL240" s="120"/>
      <c r="AM240" s="120"/>
      <c r="AN240" s="120"/>
      <c r="AO240" s="120"/>
      <c r="AP240" s="120"/>
      <c r="AQ240" s="120"/>
      <c r="AR240" s="120"/>
      <c r="AS240" s="120"/>
      <c r="AT240" s="120"/>
      <c r="AU240" s="120"/>
      <c r="AV240" s="120"/>
      <c r="AW240" s="120"/>
      <c r="AX240" s="120"/>
      <c r="AY240" s="120"/>
      <c r="AZ240" s="120"/>
      <c r="BA240" s="120"/>
      <c r="BB240" s="120"/>
      <c r="BC240" s="120"/>
      <c r="BD240" s="120"/>
      <c r="BE240" s="120"/>
      <c r="BF240" s="120"/>
      <c r="BG240" s="120"/>
      <c r="BH240" s="120"/>
      <c r="BI240" s="120"/>
      <c r="BJ240" s="120"/>
      <c r="BK240" s="120"/>
      <c r="BL240" s="120"/>
      <c r="BM240" s="120"/>
      <c r="BN240" s="120"/>
      <c r="BO240" s="120"/>
      <c r="BP240" s="120"/>
      <c r="BQ240" s="120"/>
      <c r="BR240" s="120"/>
    </row>
    <row r="241" spans="1:70" x14ac:dyDescent="0.25">
      <c r="A241" s="120"/>
      <c r="B241" s="120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120"/>
      <c r="Z241" s="120"/>
      <c r="AA241" s="120"/>
      <c r="AB241" s="120"/>
      <c r="AC241" s="120"/>
      <c r="AD241" s="120"/>
      <c r="AE241" s="120"/>
      <c r="AF241" s="120"/>
      <c r="AG241" s="120"/>
      <c r="AH241" s="120"/>
      <c r="AI241" s="120"/>
      <c r="AJ241" s="120"/>
      <c r="AK241" s="120"/>
      <c r="AL241" s="120"/>
      <c r="AM241" s="120"/>
      <c r="AN241" s="120"/>
      <c r="AO241" s="120"/>
      <c r="AP241" s="120"/>
      <c r="AQ241" s="120"/>
      <c r="AR241" s="120"/>
      <c r="AS241" s="120"/>
      <c r="AT241" s="120"/>
      <c r="AU241" s="120"/>
      <c r="AV241" s="120"/>
      <c r="AW241" s="120"/>
      <c r="AX241" s="120"/>
      <c r="AY241" s="120"/>
      <c r="AZ241" s="120"/>
      <c r="BA241" s="120"/>
      <c r="BB241" s="120"/>
      <c r="BC241" s="120"/>
      <c r="BD241" s="120"/>
      <c r="BE241" s="120"/>
      <c r="BF241" s="120"/>
      <c r="BG241" s="120"/>
      <c r="BH241" s="120"/>
      <c r="BI241" s="120"/>
      <c r="BJ241" s="120"/>
      <c r="BK241" s="120"/>
      <c r="BL241" s="120"/>
      <c r="BM241" s="120"/>
      <c r="BN241" s="120"/>
      <c r="BO241" s="120"/>
      <c r="BP241" s="120"/>
      <c r="BQ241" s="120"/>
      <c r="BR241" s="120"/>
    </row>
    <row r="242" spans="1:70" x14ac:dyDescent="0.25">
      <c r="A242" s="120"/>
      <c r="B242" s="120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120"/>
      <c r="Z242" s="120"/>
      <c r="AA242" s="120"/>
      <c r="AB242" s="120"/>
      <c r="AC242" s="120"/>
      <c r="AD242" s="120"/>
      <c r="AE242" s="120"/>
      <c r="AF242" s="120"/>
      <c r="AG242" s="120"/>
      <c r="AH242" s="120"/>
      <c r="AI242" s="120"/>
      <c r="AJ242" s="120"/>
      <c r="AK242" s="120"/>
      <c r="AL242" s="120"/>
      <c r="AM242" s="120"/>
      <c r="AN242" s="120"/>
      <c r="AO242" s="120"/>
      <c r="AP242" s="120"/>
      <c r="AQ242" s="120"/>
      <c r="AR242" s="120"/>
      <c r="AS242" s="120"/>
      <c r="AT242" s="120"/>
      <c r="AU242" s="120"/>
      <c r="AV242" s="120"/>
      <c r="AW242" s="120"/>
      <c r="AX242" s="120"/>
      <c r="AY242" s="120"/>
      <c r="AZ242" s="120"/>
      <c r="BA242" s="120"/>
      <c r="BB242" s="120"/>
      <c r="BC242" s="120"/>
      <c r="BD242" s="120"/>
      <c r="BE242" s="120"/>
      <c r="BF242" s="120"/>
      <c r="BG242" s="120"/>
      <c r="BH242" s="120"/>
      <c r="BI242" s="120"/>
      <c r="BJ242" s="120"/>
      <c r="BK242" s="120"/>
      <c r="BL242" s="120"/>
      <c r="BM242" s="120"/>
      <c r="BN242" s="120"/>
      <c r="BO242" s="120"/>
      <c r="BP242" s="120"/>
      <c r="BQ242" s="120"/>
      <c r="BR242" s="120"/>
    </row>
    <row r="243" spans="1:70" x14ac:dyDescent="0.25">
      <c r="A243" s="120"/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120"/>
      <c r="Z243" s="120"/>
      <c r="AA243" s="120"/>
      <c r="AB243" s="120"/>
      <c r="AC243" s="120"/>
      <c r="AD243" s="120"/>
      <c r="AE243" s="120"/>
      <c r="AF243" s="120"/>
      <c r="AG243" s="120"/>
      <c r="AH243" s="120"/>
      <c r="AI243" s="120"/>
      <c r="AJ243" s="120"/>
      <c r="AK243" s="120"/>
      <c r="AL243" s="120"/>
      <c r="AM243" s="120"/>
      <c r="AN243" s="120"/>
      <c r="AO243" s="120"/>
      <c r="AP243" s="120"/>
      <c r="AQ243" s="120"/>
      <c r="AR243" s="120"/>
      <c r="AS243" s="120"/>
      <c r="AT243" s="120"/>
      <c r="AU243" s="120"/>
      <c r="AV243" s="120"/>
      <c r="AW243" s="120"/>
      <c r="AX243" s="120"/>
      <c r="AY243" s="120"/>
      <c r="AZ243" s="120"/>
      <c r="BA243" s="120"/>
      <c r="BB243" s="120"/>
      <c r="BC243" s="120"/>
      <c r="BD243" s="120"/>
      <c r="BE243" s="120"/>
      <c r="BF243" s="120"/>
      <c r="BG243" s="120"/>
      <c r="BH243" s="120"/>
      <c r="BI243" s="120"/>
      <c r="BJ243" s="120"/>
      <c r="BK243" s="120"/>
      <c r="BL243" s="120"/>
      <c r="BM243" s="120"/>
      <c r="BN243" s="120"/>
      <c r="BO243" s="120"/>
      <c r="BP243" s="120"/>
      <c r="BQ243" s="120"/>
      <c r="BR243" s="120"/>
    </row>
    <row r="244" spans="1:70" x14ac:dyDescent="0.25">
      <c r="A244" s="120"/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120"/>
      <c r="Z244" s="120"/>
      <c r="AA244" s="120"/>
      <c r="AB244" s="120"/>
      <c r="AC244" s="120"/>
      <c r="AD244" s="120"/>
      <c r="AE244" s="120"/>
      <c r="AF244" s="120"/>
      <c r="AG244" s="120"/>
      <c r="AH244" s="120"/>
      <c r="AI244" s="120"/>
      <c r="AJ244" s="120"/>
      <c r="AK244" s="120"/>
      <c r="AL244" s="120"/>
      <c r="AM244" s="120"/>
      <c r="AN244" s="120"/>
      <c r="AO244" s="120"/>
      <c r="AP244" s="120"/>
      <c r="AQ244" s="120"/>
      <c r="AR244" s="120"/>
      <c r="AS244" s="120"/>
      <c r="AT244" s="120"/>
      <c r="AU244" s="120"/>
      <c r="AV244" s="120"/>
      <c r="AW244" s="120"/>
      <c r="AX244" s="120"/>
      <c r="AY244" s="120"/>
      <c r="AZ244" s="120"/>
      <c r="BA244" s="120"/>
      <c r="BB244" s="120"/>
      <c r="BC244" s="120"/>
      <c r="BD244" s="120"/>
      <c r="BE244" s="120"/>
      <c r="BF244" s="120"/>
      <c r="BG244" s="120"/>
      <c r="BH244" s="120"/>
      <c r="BI244" s="120"/>
      <c r="BJ244" s="120"/>
      <c r="BK244" s="120"/>
      <c r="BL244" s="120"/>
      <c r="BM244" s="120"/>
      <c r="BN244" s="120"/>
      <c r="BO244" s="120"/>
      <c r="BP244" s="120"/>
      <c r="BQ244" s="120"/>
      <c r="BR244" s="120"/>
    </row>
    <row r="245" spans="1:70" x14ac:dyDescent="0.25">
      <c r="A245" s="120"/>
      <c r="B245" s="120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0"/>
      <c r="Z245" s="120"/>
      <c r="AA245" s="120"/>
      <c r="AB245" s="120"/>
      <c r="AC245" s="120"/>
      <c r="AD245" s="120"/>
      <c r="AE245" s="120"/>
      <c r="AF245" s="120"/>
      <c r="AG245" s="120"/>
      <c r="AH245" s="120"/>
      <c r="AI245" s="120"/>
      <c r="AJ245" s="120"/>
      <c r="AK245" s="120"/>
      <c r="AL245" s="120"/>
      <c r="AM245" s="120"/>
      <c r="AN245" s="120"/>
      <c r="AO245" s="120"/>
      <c r="AP245" s="120"/>
      <c r="AQ245" s="120"/>
      <c r="AR245" s="120"/>
      <c r="AS245" s="120"/>
      <c r="AT245" s="120"/>
      <c r="AU245" s="120"/>
      <c r="AV245" s="120"/>
      <c r="AW245" s="120"/>
      <c r="AX245" s="120"/>
      <c r="AY245" s="120"/>
      <c r="AZ245" s="120"/>
      <c r="BA245" s="120"/>
      <c r="BB245" s="120"/>
      <c r="BC245" s="120"/>
      <c r="BD245" s="120"/>
      <c r="BE245" s="120"/>
      <c r="BF245" s="120"/>
      <c r="BG245" s="120"/>
      <c r="BH245" s="120"/>
      <c r="BI245" s="120"/>
      <c r="BJ245" s="120"/>
      <c r="BK245" s="120"/>
      <c r="BL245" s="120"/>
      <c r="BM245" s="120"/>
      <c r="BN245" s="120"/>
      <c r="BO245" s="120"/>
      <c r="BP245" s="120"/>
      <c r="BQ245" s="120"/>
      <c r="BR245" s="120"/>
    </row>
    <row r="246" spans="1:70" x14ac:dyDescent="0.25">
      <c r="A246" s="120"/>
      <c r="B246" s="120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0"/>
      <c r="Z246" s="120"/>
      <c r="AA246" s="120"/>
      <c r="AB246" s="120"/>
      <c r="AC246" s="120"/>
      <c r="AD246" s="120"/>
      <c r="AE246" s="120"/>
      <c r="AF246" s="120"/>
      <c r="AG246" s="120"/>
      <c r="AH246" s="120"/>
      <c r="AI246" s="120"/>
      <c r="AJ246" s="120"/>
      <c r="AK246" s="120"/>
      <c r="AL246" s="120"/>
      <c r="AM246" s="120"/>
      <c r="AN246" s="120"/>
      <c r="AO246" s="120"/>
      <c r="AP246" s="120"/>
      <c r="AQ246" s="120"/>
      <c r="AR246" s="120"/>
      <c r="AS246" s="120"/>
      <c r="AT246" s="120"/>
      <c r="AU246" s="120"/>
      <c r="AV246" s="120"/>
      <c r="AW246" s="120"/>
      <c r="AX246" s="120"/>
      <c r="AY246" s="120"/>
      <c r="AZ246" s="120"/>
      <c r="BA246" s="120"/>
      <c r="BB246" s="120"/>
      <c r="BC246" s="120"/>
      <c r="BD246" s="120"/>
      <c r="BE246" s="120"/>
      <c r="BF246" s="120"/>
      <c r="BG246" s="120"/>
      <c r="BH246" s="120"/>
      <c r="BI246" s="120"/>
      <c r="BJ246" s="120"/>
      <c r="BK246" s="120"/>
      <c r="BL246" s="120"/>
      <c r="BM246" s="120"/>
      <c r="BN246" s="120"/>
      <c r="BO246" s="120"/>
      <c r="BP246" s="120"/>
      <c r="BQ246" s="120"/>
      <c r="BR246" s="120"/>
    </row>
    <row r="247" spans="1:70" x14ac:dyDescent="0.25">
      <c r="A247" s="120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  <c r="AA247" s="120"/>
      <c r="AB247" s="120"/>
      <c r="AC247" s="120"/>
      <c r="AD247" s="120"/>
      <c r="AE247" s="120"/>
      <c r="AF247" s="120"/>
      <c r="AG247" s="120"/>
      <c r="AH247" s="120"/>
      <c r="AI247" s="120"/>
      <c r="AJ247" s="120"/>
      <c r="AK247" s="120"/>
      <c r="AL247" s="120"/>
      <c r="AM247" s="120"/>
      <c r="AN247" s="120"/>
      <c r="AO247" s="120"/>
      <c r="AP247" s="120"/>
      <c r="AQ247" s="120"/>
      <c r="AR247" s="120"/>
      <c r="AS247" s="120"/>
      <c r="AT247" s="120"/>
      <c r="AU247" s="120"/>
      <c r="AV247" s="120"/>
      <c r="AW247" s="120"/>
      <c r="AX247" s="120"/>
      <c r="AY247" s="120"/>
      <c r="AZ247" s="120"/>
      <c r="BA247" s="120"/>
      <c r="BB247" s="120"/>
      <c r="BC247" s="120"/>
      <c r="BD247" s="120"/>
      <c r="BE247" s="120"/>
      <c r="BF247" s="120"/>
      <c r="BG247" s="120"/>
      <c r="BH247" s="120"/>
      <c r="BI247" s="120"/>
      <c r="BJ247" s="120"/>
      <c r="BK247" s="120"/>
      <c r="BL247" s="120"/>
      <c r="BM247" s="120"/>
      <c r="BN247" s="120"/>
      <c r="BO247" s="120"/>
      <c r="BP247" s="120"/>
      <c r="BQ247" s="120"/>
      <c r="BR247" s="120"/>
    </row>
    <row r="248" spans="1:70" x14ac:dyDescent="0.25">
      <c r="A248" s="120"/>
      <c r="B248" s="120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120"/>
      <c r="Z248" s="120"/>
      <c r="AA248" s="120"/>
      <c r="AB248" s="120"/>
      <c r="AC248" s="120"/>
      <c r="AD248" s="120"/>
      <c r="AE248" s="120"/>
      <c r="AF248" s="120"/>
      <c r="AG248" s="120"/>
      <c r="AH248" s="120"/>
      <c r="AI248" s="120"/>
      <c r="AJ248" s="120"/>
      <c r="AK248" s="120"/>
      <c r="AL248" s="120"/>
      <c r="AM248" s="120"/>
      <c r="AN248" s="120"/>
      <c r="AO248" s="120"/>
      <c r="AP248" s="120"/>
      <c r="AQ248" s="120"/>
      <c r="AR248" s="120"/>
      <c r="AS248" s="120"/>
      <c r="AT248" s="120"/>
      <c r="AU248" s="120"/>
      <c r="AV248" s="120"/>
      <c r="AW248" s="120"/>
      <c r="AX248" s="120"/>
      <c r="AY248" s="120"/>
      <c r="AZ248" s="120"/>
      <c r="BA248" s="120"/>
      <c r="BB248" s="120"/>
      <c r="BC248" s="120"/>
      <c r="BD248" s="120"/>
      <c r="BE248" s="120"/>
      <c r="BF248" s="120"/>
      <c r="BG248" s="120"/>
      <c r="BH248" s="120"/>
      <c r="BI248" s="120"/>
      <c r="BJ248" s="120"/>
      <c r="BK248" s="120"/>
      <c r="BL248" s="120"/>
      <c r="BM248" s="120"/>
      <c r="BN248" s="120"/>
      <c r="BO248" s="120"/>
      <c r="BP248" s="120"/>
      <c r="BQ248" s="120"/>
      <c r="BR248" s="120"/>
    </row>
    <row r="249" spans="1:70" x14ac:dyDescent="0.25">
      <c r="A249" s="120"/>
      <c r="B249" s="120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0"/>
      <c r="Z249" s="120"/>
      <c r="AA249" s="120"/>
      <c r="AB249" s="120"/>
      <c r="AC249" s="120"/>
      <c r="AD249" s="120"/>
      <c r="AE249" s="120"/>
      <c r="AF249" s="120"/>
      <c r="AG249" s="120"/>
      <c r="AH249" s="120"/>
      <c r="AI249" s="120"/>
      <c r="AJ249" s="120"/>
      <c r="AK249" s="120"/>
      <c r="AL249" s="120"/>
      <c r="AM249" s="120"/>
      <c r="AN249" s="120"/>
      <c r="AO249" s="120"/>
      <c r="AP249" s="120"/>
      <c r="AQ249" s="120"/>
      <c r="AR249" s="120"/>
      <c r="AS249" s="120"/>
      <c r="AT249" s="120"/>
      <c r="AU249" s="120"/>
      <c r="AV249" s="120"/>
      <c r="AW249" s="120"/>
      <c r="AX249" s="120"/>
      <c r="AY249" s="120"/>
      <c r="AZ249" s="120"/>
      <c r="BA249" s="120"/>
      <c r="BB249" s="120"/>
      <c r="BC249" s="120"/>
      <c r="BD249" s="120"/>
      <c r="BE249" s="120"/>
      <c r="BF249" s="120"/>
      <c r="BG249" s="120"/>
      <c r="BH249" s="120"/>
      <c r="BI249" s="120"/>
      <c r="BJ249" s="120"/>
      <c r="BK249" s="120"/>
      <c r="BL249" s="120"/>
      <c r="BM249" s="120"/>
      <c r="BN249" s="120"/>
      <c r="BO249" s="120"/>
      <c r="BP249" s="120"/>
      <c r="BQ249" s="120"/>
      <c r="BR249" s="120"/>
    </row>
    <row r="250" spans="1:70" x14ac:dyDescent="0.25">
      <c r="A250" s="120"/>
      <c r="B250" s="120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120"/>
      <c r="Z250" s="120"/>
      <c r="AA250" s="120"/>
      <c r="AB250" s="120"/>
      <c r="AC250" s="120"/>
      <c r="AD250" s="120"/>
      <c r="AE250" s="120"/>
      <c r="AF250" s="120"/>
      <c r="AG250" s="120"/>
      <c r="AH250" s="120"/>
      <c r="AI250" s="120"/>
      <c r="AJ250" s="120"/>
      <c r="AK250" s="120"/>
      <c r="AL250" s="120"/>
      <c r="AM250" s="120"/>
      <c r="AN250" s="120"/>
      <c r="AO250" s="120"/>
      <c r="AP250" s="120"/>
      <c r="AQ250" s="120"/>
      <c r="AR250" s="120"/>
      <c r="AS250" s="120"/>
      <c r="AT250" s="120"/>
      <c r="AU250" s="120"/>
      <c r="AV250" s="120"/>
      <c r="AW250" s="120"/>
      <c r="AX250" s="120"/>
      <c r="AY250" s="120"/>
      <c r="AZ250" s="120"/>
      <c r="BA250" s="120"/>
      <c r="BB250" s="120"/>
      <c r="BC250" s="120"/>
      <c r="BD250" s="120"/>
      <c r="BE250" s="120"/>
      <c r="BF250" s="120"/>
      <c r="BG250" s="120"/>
      <c r="BH250" s="120"/>
      <c r="BI250" s="120"/>
      <c r="BJ250" s="120"/>
      <c r="BK250" s="120"/>
      <c r="BL250" s="120"/>
      <c r="BM250" s="120"/>
      <c r="BN250" s="120"/>
      <c r="BO250" s="120"/>
      <c r="BP250" s="120"/>
      <c r="BQ250" s="120"/>
      <c r="BR250" s="120"/>
    </row>
    <row r="251" spans="1:70" x14ac:dyDescent="0.25">
      <c r="A251" s="120"/>
      <c r="B251" s="120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120"/>
      <c r="Z251" s="120"/>
      <c r="AA251" s="120"/>
      <c r="AB251" s="120"/>
      <c r="AC251" s="120"/>
      <c r="AD251" s="120"/>
      <c r="AE251" s="120"/>
      <c r="AF251" s="120"/>
      <c r="AG251" s="120"/>
      <c r="AH251" s="120"/>
      <c r="AI251" s="120"/>
      <c r="AJ251" s="120"/>
      <c r="AK251" s="120"/>
      <c r="AL251" s="120"/>
      <c r="AM251" s="120"/>
      <c r="AN251" s="120"/>
      <c r="AO251" s="120"/>
      <c r="AP251" s="120"/>
      <c r="AQ251" s="120"/>
      <c r="AR251" s="120"/>
      <c r="AS251" s="120"/>
      <c r="AT251" s="120"/>
      <c r="AU251" s="120"/>
      <c r="AV251" s="120"/>
      <c r="AW251" s="120"/>
      <c r="AX251" s="120"/>
      <c r="AY251" s="120"/>
      <c r="AZ251" s="120"/>
      <c r="BA251" s="120"/>
      <c r="BB251" s="120"/>
      <c r="BC251" s="120"/>
      <c r="BD251" s="120"/>
      <c r="BE251" s="120"/>
      <c r="BF251" s="120"/>
      <c r="BG251" s="120"/>
      <c r="BH251" s="120"/>
      <c r="BI251" s="120"/>
      <c r="BJ251" s="120"/>
      <c r="BK251" s="120"/>
      <c r="BL251" s="120"/>
      <c r="BM251" s="120"/>
      <c r="BN251" s="120"/>
      <c r="BO251" s="120"/>
      <c r="BP251" s="120"/>
      <c r="BQ251" s="120"/>
      <c r="BR251" s="120"/>
    </row>
    <row r="252" spans="1:70" x14ac:dyDescent="0.25">
      <c r="A252" s="120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  <c r="Z252" s="120"/>
      <c r="AA252" s="120"/>
      <c r="AB252" s="120"/>
      <c r="AC252" s="120"/>
      <c r="AD252" s="120"/>
      <c r="AE252" s="120"/>
      <c r="AF252" s="120"/>
      <c r="AG252" s="120"/>
      <c r="AH252" s="120"/>
      <c r="AI252" s="120"/>
      <c r="AJ252" s="120"/>
      <c r="AK252" s="120"/>
      <c r="AL252" s="120"/>
      <c r="AM252" s="120"/>
      <c r="AN252" s="120"/>
      <c r="AO252" s="120"/>
      <c r="AP252" s="120"/>
      <c r="AQ252" s="120"/>
      <c r="AR252" s="120"/>
      <c r="AS252" s="120"/>
      <c r="AT252" s="120"/>
      <c r="AU252" s="120"/>
      <c r="AV252" s="120"/>
      <c r="AW252" s="120"/>
      <c r="AX252" s="120"/>
      <c r="AY252" s="120"/>
      <c r="AZ252" s="120"/>
      <c r="BA252" s="120"/>
      <c r="BB252" s="120"/>
      <c r="BC252" s="120"/>
      <c r="BD252" s="120"/>
      <c r="BE252" s="120"/>
      <c r="BF252" s="120"/>
      <c r="BG252" s="120"/>
      <c r="BH252" s="120"/>
      <c r="BI252" s="120"/>
      <c r="BJ252" s="120"/>
      <c r="BK252" s="120"/>
      <c r="BL252" s="120"/>
      <c r="BM252" s="120"/>
      <c r="BN252" s="120"/>
      <c r="BO252" s="120"/>
      <c r="BP252" s="120"/>
      <c r="BQ252" s="120"/>
      <c r="BR252" s="120"/>
    </row>
    <row r="253" spans="1:70" x14ac:dyDescent="0.25">
      <c r="A253" s="120"/>
      <c r="B253" s="120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120"/>
      <c r="Z253" s="120"/>
      <c r="AA253" s="120"/>
      <c r="AB253" s="120"/>
      <c r="AC253" s="120"/>
      <c r="AD253" s="120"/>
      <c r="AE253" s="120"/>
      <c r="AF253" s="120"/>
      <c r="AG253" s="120"/>
      <c r="AH253" s="120"/>
      <c r="AI253" s="120"/>
      <c r="AJ253" s="120"/>
      <c r="AK253" s="120"/>
      <c r="AL253" s="120"/>
      <c r="AM253" s="120"/>
      <c r="AN253" s="120"/>
      <c r="AO253" s="120"/>
      <c r="AP253" s="120"/>
      <c r="AQ253" s="120"/>
      <c r="AR253" s="120"/>
      <c r="AS253" s="120"/>
      <c r="AT253" s="120"/>
      <c r="AU253" s="120"/>
      <c r="AV253" s="120"/>
      <c r="AW253" s="120"/>
      <c r="AX253" s="120"/>
      <c r="AY253" s="120"/>
      <c r="AZ253" s="120"/>
      <c r="BA253" s="120"/>
      <c r="BB253" s="120"/>
      <c r="BC253" s="120"/>
      <c r="BD253" s="120"/>
      <c r="BE253" s="120"/>
      <c r="BF253" s="120"/>
      <c r="BG253" s="120"/>
      <c r="BH253" s="120"/>
      <c r="BI253" s="120"/>
      <c r="BJ253" s="120"/>
      <c r="BK253" s="120"/>
      <c r="BL253" s="120"/>
      <c r="BM253" s="120"/>
      <c r="BN253" s="120"/>
      <c r="BO253" s="120"/>
      <c r="BP253" s="120"/>
      <c r="BQ253" s="120"/>
      <c r="BR253" s="120"/>
    </row>
    <row r="254" spans="1:70" x14ac:dyDescent="0.25">
      <c r="A254" s="120"/>
      <c r="B254" s="120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120"/>
      <c r="Z254" s="120"/>
      <c r="AA254" s="120"/>
      <c r="AB254" s="120"/>
      <c r="AC254" s="120"/>
      <c r="AD254" s="120"/>
      <c r="AE254" s="120"/>
      <c r="AF254" s="120"/>
      <c r="AG254" s="120"/>
      <c r="AH254" s="120"/>
      <c r="AI254" s="120"/>
      <c r="AJ254" s="120"/>
      <c r="AK254" s="120"/>
      <c r="AL254" s="120"/>
      <c r="AM254" s="120"/>
      <c r="AN254" s="120"/>
      <c r="AO254" s="120"/>
      <c r="AP254" s="120"/>
      <c r="AQ254" s="120"/>
      <c r="AR254" s="120"/>
      <c r="AS254" s="120"/>
      <c r="AT254" s="120"/>
      <c r="AU254" s="120"/>
      <c r="AV254" s="120"/>
      <c r="AW254" s="120"/>
      <c r="AX254" s="120"/>
      <c r="AY254" s="120"/>
      <c r="AZ254" s="120"/>
      <c r="BA254" s="120"/>
      <c r="BB254" s="120"/>
      <c r="BC254" s="120"/>
      <c r="BD254" s="120"/>
      <c r="BE254" s="120"/>
      <c r="BF254" s="120"/>
      <c r="BG254" s="120"/>
      <c r="BH254" s="120"/>
      <c r="BI254" s="120"/>
      <c r="BJ254" s="120"/>
      <c r="BK254" s="120"/>
      <c r="BL254" s="120"/>
      <c r="BM254" s="120"/>
      <c r="BN254" s="120"/>
      <c r="BO254" s="120"/>
      <c r="BP254" s="120"/>
      <c r="BQ254" s="120"/>
      <c r="BR254" s="120"/>
    </row>
    <row r="255" spans="1:70" x14ac:dyDescent="0.25">
      <c r="A255" s="120"/>
      <c r="B255" s="120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  <c r="Y255" s="120"/>
      <c r="Z255" s="120"/>
      <c r="AA255" s="120"/>
      <c r="AB255" s="120"/>
      <c r="AC255" s="120"/>
      <c r="AD255" s="120"/>
      <c r="AE255" s="120"/>
      <c r="AF255" s="120"/>
      <c r="AG255" s="120"/>
      <c r="AH255" s="120"/>
      <c r="AI255" s="120"/>
      <c r="AJ255" s="120"/>
      <c r="AK255" s="120"/>
      <c r="AL255" s="120"/>
      <c r="AM255" s="120"/>
      <c r="AN255" s="120"/>
      <c r="AO255" s="120"/>
      <c r="AP255" s="120"/>
      <c r="AQ255" s="120"/>
      <c r="AR255" s="120"/>
      <c r="AS255" s="120"/>
      <c r="AT255" s="120"/>
      <c r="AU255" s="120"/>
      <c r="AV255" s="120"/>
      <c r="AW255" s="120"/>
      <c r="AX255" s="120"/>
      <c r="AY255" s="120"/>
      <c r="AZ255" s="120"/>
      <c r="BA255" s="120"/>
      <c r="BB255" s="120"/>
      <c r="BC255" s="120"/>
      <c r="BD255" s="120"/>
      <c r="BE255" s="120"/>
      <c r="BF255" s="120"/>
      <c r="BG255" s="120"/>
      <c r="BH255" s="120"/>
      <c r="BI255" s="120"/>
      <c r="BJ255" s="120"/>
      <c r="BK255" s="120"/>
      <c r="BL255" s="120"/>
      <c r="BM255" s="120"/>
      <c r="BN255" s="120"/>
      <c r="BO255" s="120"/>
      <c r="BP255" s="120"/>
      <c r="BQ255" s="120"/>
      <c r="BR255" s="120"/>
    </row>
    <row r="256" spans="1:70" x14ac:dyDescent="0.25">
      <c r="A256" s="120"/>
      <c r="B256" s="120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0"/>
      <c r="Z256" s="120"/>
      <c r="AA256" s="120"/>
      <c r="AB256" s="120"/>
      <c r="AC256" s="120"/>
      <c r="AD256" s="120"/>
      <c r="AE256" s="120"/>
      <c r="AF256" s="120"/>
      <c r="AG256" s="120"/>
      <c r="AH256" s="120"/>
      <c r="AI256" s="120"/>
      <c r="AJ256" s="120"/>
      <c r="AK256" s="120"/>
      <c r="AL256" s="120"/>
      <c r="AM256" s="120"/>
      <c r="AN256" s="120"/>
      <c r="AO256" s="120"/>
      <c r="AP256" s="120"/>
      <c r="AQ256" s="120"/>
      <c r="AR256" s="120"/>
      <c r="AS256" s="120"/>
      <c r="AT256" s="120"/>
      <c r="AU256" s="120"/>
      <c r="AV256" s="120"/>
      <c r="AW256" s="120"/>
      <c r="AX256" s="120"/>
      <c r="AY256" s="120"/>
      <c r="AZ256" s="120"/>
      <c r="BA256" s="120"/>
      <c r="BB256" s="120"/>
      <c r="BC256" s="120"/>
      <c r="BD256" s="120"/>
      <c r="BE256" s="120"/>
      <c r="BF256" s="120"/>
      <c r="BG256" s="120"/>
      <c r="BH256" s="120"/>
      <c r="BI256" s="120"/>
      <c r="BJ256" s="120"/>
      <c r="BK256" s="120"/>
      <c r="BL256" s="120"/>
      <c r="BM256" s="120"/>
      <c r="BN256" s="120"/>
      <c r="BO256" s="120"/>
      <c r="BP256" s="120"/>
      <c r="BQ256" s="120"/>
      <c r="BR256" s="120"/>
    </row>
    <row r="257" spans="1:70" x14ac:dyDescent="0.25">
      <c r="A257" s="120"/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0"/>
      <c r="Z257" s="120"/>
      <c r="AA257" s="120"/>
      <c r="AB257" s="120"/>
      <c r="AC257" s="120"/>
      <c r="AD257" s="120"/>
      <c r="AE257" s="120"/>
      <c r="AF257" s="120"/>
      <c r="AG257" s="120"/>
      <c r="AH257" s="120"/>
      <c r="AI257" s="120"/>
      <c r="AJ257" s="120"/>
      <c r="AK257" s="120"/>
      <c r="AL257" s="120"/>
      <c r="AM257" s="120"/>
      <c r="AN257" s="120"/>
      <c r="AO257" s="120"/>
      <c r="AP257" s="120"/>
      <c r="AQ257" s="120"/>
      <c r="AR257" s="120"/>
      <c r="AS257" s="120"/>
      <c r="AT257" s="120"/>
      <c r="AU257" s="120"/>
      <c r="AV257" s="120"/>
      <c r="AW257" s="120"/>
      <c r="AX257" s="120"/>
      <c r="AY257" s="120"/>
      <c r="AZ257" s="120"/>
      <c r="BA257" s="120"/>
      <c r="BB257" s="120"/>
      <c r="BC257" s="120"/>
      <c r="BD257" s="120"/>
      <c r="BE257" s="120"/>
      <c r="BF257" s="120"/>
      <c r="BG257" s="120"/>
      <c r="BH257" s="120"/>
      <c r="BI257" s="120"/>
      <c r="BJ257" s="120"/>
      <c r="BK257" s="120"/>
      <c r="BL257" s="120"/>
      <c r="BM257" s="120"/>
      <c r="BN257" s="120"/>
      <c r="BO257" s="120"/>
      <c r="BP257" s="120"/>
      <c r="BQ257" s="120"/>
      <c r="BR257" s="120"/>
    </row>
    <row r="258" spans="1:70" x14ac:dyDescent="0.25">
      <c r="A258" s="120"/>
      <c r="B258" s="120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  <c r="Y258" s="120"/>
      <c r="Z258" s="120"/>
      <c r="AA258" s="120"/>
      <c r="AB258" s="120"/>
      <c r="AC258" s="120"/>
      <c r="AD258" s="120"/>
      <c r="AE258" s="120"/>
      <c r="AF258" s="120"/>
      <c r="AG258" s="120"/>
      <c r="AH258" s="120"/>
      <c r="AI258" s="120"/>
      <c r="AJ258" s="120"/>
      <c r="AK258" s="120"/>
      <c r="AL258" s="120"/>
      <c r="AM258" s="120"/>
      <c r="AN258" s="120"/>
      <c r="AO258" s="120"/>
      <c r="AP258" s="120"/>
      <c r="AQ258" s="120"/>
      <c r="AR258" s="120"/>
      <c r="AS258" s="120"/>
      <c r="AT258" s="120"/>
      <c r="AU258" s="120"/>
      <c r="AV258" s="120"/>
      <c r="AW258" s="120"/>
      <c r="AX258" s="120"/>
      <c r="AY258" s="120"/>
      <c r="AZ258" s="120"/>
      <c r="BA258" s="120"/>
      <c r="BB258" s="120"/>
      <c r="BC258" s="120"/>
      <c r="BD258" s="120"/>
      <c r="BE258" s="120"/>
      <c r="BF258" s="120"/>
      <c r="BG258" s="120"/>
      <c r="BH258" s="120"/>
      <c r="BI258" s="120"/>
      <c r="BJ258" s="120"/>
      <c r="BK258" s="120"/>
      <c r="BL258" s="120"/>
      <c r="BM258" s="120"/>
      <c r="BN258" s="120"/>
      <c r="BO258" s="120"/>
      <c r="BP258" s="120"/>
      <c r="BQ258" s="120"/>
      <c r="BR258" s="120"/>
    </row>
    <row r="259" spans="1:70" x14ac:dyDescent="0.25">
      <c r="A259" s="120"/>
      <c r="B259" s="120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  <c r="Y259" s="120"/>
      <c r="Z259" s="120"/>
      <c r="AA259" s="120"/>
      <c r="AB259" s="120"/>
      <c r="AC259" s="120"/>
      <c r="AD259" s="120"/>
      <c r="AE259" s="120"/>
      <c r="AF259" s="120"/>
      <c r="AG259" s="120"/>
      <c r="AH259" s="120"/>
      <c r="AI259" s="120"/>
      <c r="AJ259" s="120"/>
      <c r="AK259" s="120"/>
      <c r="AL259" s="120"/>
      <c r="AM259" s="120"/>
      <c r="AN259" s="120"/>
      <c r="AO259" s="120"/>
      <c r="AP259" s="120"/>
      <c r="AQ259" s="120"/>
      <c r="AR259" s="120"/>
      <c r="AS259" s="120"/>
      <c r="AT259" s="120"/>
      <c r="AU259" s="120"/>
      <c r="AV259" s="120"/>
      <c r="AW259" s="120"/>
      <c r="AX259" s="120"/>
      <c r="AY259" s="120"/>
      <c r="AZ259" s="120"/>
      <c r="BA259" s="120"/>
      <c r="BB259" s="120"/>
      <c r="BC259" s="120"/>
      <c r="BD259" s="120"/>
      <c r="BE259" s="120"/>
      <c r="BF259" s="120"/>
      <c r="BG259" s="120"/>
      <c r="BH259" s="120"/>
      <c r="BI259" s="120"/>
      <c r="BJ259" s="120"/>
      <c r="BK259" s="120"/>
      <c r="BL259" s="120"/>
      <c r="BM259" s="120"/>
      <c r="BN259" s="120"/>
      <c r="BO259" s="120"/>
      <c r="BP259" s="120"/>
      <c r="BQ259" s="120"/>
      <c r="BR259" s="120"/>
    </row>
    <row r="260" spans="1:70" x14ac:dyDescent="0.25">
      <c r="A260" s="120"/>
      <c r="B260" s="120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  <c r="Y260" s="120"/>
      <c r="Z260" s="120"/>
      <c r="AA260" s="120"/>
      <c r="AB260" s="120"/>
      <c r="AC260" s="120"/>
      <c r="AD260" s="120"/>
      <c r="AE260" s="120"/>
      <c r="AF260" s="120"/>
      <c r="AG260" s="120"/>
      <c r="AH260" s="120"/>
      <c r="AI260" s="120"/>
      <c r="AJ260" s="120"/>
      <c r="AK260" s="120"/>
      <c r="AL260" s="120"/>
      <c r="AM260" s="120"/>
      <c r="AN260" s="120"/>
      <c r="AO260" s="120"/>
      <c r="AP260" s="120"/>
      <c r="AQ260" s="120"/>
      <c r="AR260" s="120"/>
      <c r="AS260" s="120"/>
      <c r="AT260" s="120"/>
      <c r="AU260" s="120"/>
      <c r="AV260" s="120"/>
      <c r="AW260" s="120"/>
      <c r="AX260" s="120"/>
      <c r="AY260" s="120"/>
      <c r="AZ260" s="120"/>
      <c r="BA260" s="120"/>
      <c r="BB260" s="120"/>
      <c r="BC260" s="120"/>
      <c r="BD260" s="120"/>
      <c r="BE260" s="120"/>
      <c r="BF260" s="120"/>
      <c r="BG260" s="120"/>
      <c r="BH260" s="120"/>
      <c r="BI260" s="120"/>
      <c r="BJ260" s="120"/>
      <c r="BK260" s="120"/>
      <c r="BL260" s="120"/>
      <c r="BM260" s="120"/>
      <c r="BN260" s="120"/>
      <c r="BO260" s="120"/>
      <c r="BP260" s="120"/>
      <c r="BQ260" s="120"/>
      <c r="BR260" s="120"/>
    </row>
    <row r="261" spans="1:70" x14ac:dyDescent="0.25">
      <c r="A261" s="120"/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  <c r="Z261" s="120"/>
      <c r="AA261" s="120"/>
      <c r="AB261" s="120"/>
      <c r="AC261" s="120"/>
      <c r="AD261" s="120"/>
      <c r="AE261" s="120"/>
      <c r="AF261" s="120"/>
      <c r="AG261" s="120"/>
      <c r="AH261" s="120"/>
      <c r="AI261" s="120"/>
      <c r="AJ261" s="120"/>
      <c r="AK261" s="120"/>
      <c r="AL261" s="120"/>
      <c r="AM261" s="120"/>
      <c r="AN261" s="120"/>
      <c r="AO261" s="120"/>
      <c r="AP261" s="120"/>
      <c r="AQ261" s="120"/>
      <c r="AR261" s="120"/>
      <c r="AS261" s="120"/>
      <c r="AT261" s="120"/>
      <c r="AU261" s="120"/>
      <c r="AV261" s="120"/>
      <c r="AW261" s="120"/>
      <c r="AX261" s="120"/>
      <c r="AY261" s="120"/>
      <c r="AZ261" s="120"/>
      <c r="BA261" s="120"/>
      <c r="BB261" s="120"/>
      <c r="BC261" s="120"/>
      <c r="BD261" s="120"/>
      <c r="BE261" s="120"/>
      <c r="BF261" s="120"/>
      <c r="BG261" s="120"/>
      <c r="BH261" s="120"/>
      <c r="BI261" s="120"/>
      <c r="BJ261" s="120"/>
      <c r="BK261" s="120"/>
      <c r="BL261" s="120"/>
      <c r="BM261" s="120"/>
      <c r="BN261" s="120"/>
      <c r="BO261" s="120"/>
      <c r="BP261" s="120"/>
      <c r="BQ261" s="120"/>
      <c r="BR261" s="120"/>
    </row>
    <row r="262" spans="1:70" x14ac:dyDescent="0.25">
      <c r="A262" s="120"/>
      <c r="B262" s="120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0"/>
      <c r="Z262" s="120"/>
      <c r="AA262" s="120"/>
      <c r="AB262" s="120"/>
      <c r="AC262" s="120"/>
      <c r="AD262" s="120"/>
      <c r="AE262" s="120"/>
      <c r="AF262" s="120"/>
      <c r="AG262" s="120"/>
      <c r="AH262" s="120"/>
      <c r="AI262" s="120"/>
      <c r="AJ262" s="120"/>
      <c r="AK262" s="120"/>
      <c r="AL262" s="120"/>
      <c r="AM262" s="120"/>
      <c r="AN262" s="120"/>
      <c r="AO262" s="120"/>
      <c r="AP262" s="120"/>
      <c r="AQ262" s="120"/>
      <c r="AR262" s="120"/>
      <c r="AS262" s="120"/>
      <c r="AT262" s="120"/>
      <c r="AU262" s="120"/>
      <c r="AV262" s="120"/>
      <c r="AW262" s="120"/>
      <c r="AX262" s="120"/>
      <c r="AY262" s="120"/>
      <c r="AZ262" s="120"/>
      <c r="BA262" s="120"/>
      <c r="BB262" s="120"/>
      <c r="BC262" s="120"/>
      <c r="BD262" s="120"/>
      <c r="BE262" s="120"/>
      <c r="BF262" s="120"/>
      <c r="BG262" s="120"/>
      <c r="BH262" s="120"/>
      <c r="BI262" s="120"/>
      <c r="BJ262" s="120"/>
      <c r="BK262" s="120"/>
      <c r="BL262" s="120"/>
      <c r="BM262" s="120"/>
      <c r="BN262" s="120"/>
      <c r="BO262" s="120"/>
      <c r="BP262" s="120"/>
      <c r="BQ262" s="120"/>
      <c r="BR262" s="120"/>
    </row>
    <row r="263" spans="1:70" x14ac:dyDescent="0.25">
      <c r="A263" s="120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20"/>
      <c r="AA263" s="120"/>
      <c r="AB263" s="120"/>
      <c r="AC263" s="120"/>
      <c r="AD263" s="120"/>
      <c r="AE263" s="120"/>
      <c r="AF263" s="120"/>
      <c r="AG263" s="120"/>
      <c r="AH263" s="120"/>
      <c r="AI263" s="120"/>
      <c r="AJ263" s="120"/>
      <c r="AK263" s="120"/>
      <c r="AL263" s="120"/>
      <c r="AM263" s="120"/>
      <c r="AN263" s="120"/>
      <c r="AO263" s="120"/>
      <c r="AP263" s="120"/>
      <c r="AQ263" s="120"/>
      <c r="AR263" s="120"/>
      <c r="AS263" s="120"/>
      <c r="AT263" s="120"/>
      <c r="AU263" s="120"/>
      <c r="AV263" s="120"/>
      <c r="AW263" s="120"/>
      <c r="AX263" s="120"/>
      <c r="AY263" s="120"/>
      <c r="AZ263" s="120"/>
      <c r="BA263" s="120"/>
      <c r="BB263" s="120"/>
      <c r="BC263" s="120"/>
      <c r="BD263" s="120"/>
      <c r="BE263" s="120"/>
      <c r="BF263" s="120"/>
      <c r="BG263" s="120"/>
      <c r="BH263" s="120"/>
      <c r="BI263" s="120"/>
      <c r="BJ263" s="120"/>
      <c r="BK263" s="120"/>
      <c r="BL263" s="120"/>
      <c r="BM263" s="120"/>
      <c r="BN263" s="120"/>
      <c r="BO263" s="120"/>
      <c r="BP263" s="120"/>
      <c r="BQ263" s="120"/>
      <c r="BR263" s="120"/>
    </row>
    <row r="264" spans="1:70" x14ac:dyDescent="0.25">
      <c r="A264" s="120"/>
      <c r="B264" s="120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120"/>
      <c r="AR264" s="120"/>
      <c r="AS264" s="120"/>
      <c r="AT264" s="120"/>
      <c r="AU264" s="120"/>
      <c r="AV264" s="120"/>
      <c r="AW264" s="120"/>
      <c r="AX264" s="120"/>
      <c r="AY264" s="120"/>
      <c r="AZ264" s="120"/>
      <c r="BA264" s="120"/>
      <c r="BB264" s="120"/>
      <c r="BC264" s="120"/>
      <c r="BD264" s="120"/>
      <c r="BE264" s="120"/>
      <c r="BF264" s="120"/>
      <c r="BG264" s="120"/>
      <c r="BH264" s="120"/>
      <c r="BI264" s="120"/>
      <c r="BJ264" s="120"/>
      <c r="BK264" s="120"/>
      <c r="BL264" s="120"/>
      <c r="BM264" s="120"/>
      <c r="BN264" s="120"/>
      <c r="BO264" s="120"/>
      <c r="BP264" s="120"/>
      <c r="BQ264" s="120"/>
      <c r="BR264" s="120"/>
    </row>
    <row r="265" spans="1:70" x14ac:dyDescent="0.25">
      <c r="A265" s="120"/>
      <c r="B265" s="120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120"/>
      <c r="AR265" s="120"/>
      <c r="AS265" s="120"/>
      <c r="AT265" s="120"/>
      <c r="AU265" s="120"/>
      <c r="AV265" s="120"/>
      <c r="AW265" s="120"/>
      <c r="AX265" s="120"/>
      <c r="AY265" s="120"/>
      <c r="AZ265" s="120"/>
      <c r="BA265" s="120"/>
      <c r="BB265" s="120"/>
      <c r="BC265" s="120"/>
      <c r="BD265" s="120"/>
      <c r="BE265" s="120"/>
      <c r="BF265" s="120"/>
      <c r="BG265" s="120"/>
      <c r="BH265" s="120"/>
      <c r="BI265" s="120"/>
      <c r="BJ265" s="120"/>
      <c r="BK265" s="120"/>
      <c r="BL265" s="120"/>
      <c r="BM265" s="120"/>
      <c r="BN265" s="120"/>
      <c r="BO265" s="120"/>
      <c r="BP265" s="120"/>
      <c r="BQ265" s="120"/>
      <c r="BR265" s="120"/>
    </row>
    <row r="266" spans="1:70" x14ac:dyDescent="0.25">
      <c r="A266" s="120"/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120"/>
      <c r="AR266" s="120"/>
      <c r="AS266" s="120"/>
      <c r="AT266" s="120"/>
      <c r="AU266" s="120"/>
      <c r="AV266" s="120"/>
      <c r="AW266" s="120"/>
      <c r="AX266" s="120"/>
      <c r="AY266" s="120"/>
      <c r="AZ266" s="120"/>
      <c r="BA266" s="120"/>
      <c r="BB266" s="120"/>
      <c r="BC266" s="120"/>
      <c r="BD266" s="120"/>
      <c r="BE266" s="120"/>
      <c r="BF266" s="120"/>
      <c r="BG266" s="120"/>
      <c r="BH266" s="120"/>
      <c r="BI266" s="120"/>
      <c r="BJ266" s="120"/>
      <c r="BK266" s="120"/>
      <c r="BL266" s="120"/>
      <c r="BM266" s="120"/>
      <c r="BN266" s="120"/>
      <c r="BO266" s="120"/>
      <c r="BP266" s="120"/>
      <c r="BQ266" s="120"/>
      <c r="BR266" s="120"/>
    </row>
    <row r="267" spans="1:70" x14ac:dyDescent="0.25">
      <c r="A267" s="120"/>
      <c r="B267" s="120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120"/>
      <c r="AR267" s="120"/>
      <c r="AS267" s="120"/>
      <c r="AT267" s="120"/>
      <c r="AU267" s="120"/>
      <c r="AV267" s="120"/>
      <c r="AW267" s="120"/>
      <c r="AX267" s="120"/>
      <c r="AY267" s="120"/>
      <c r="AZ267" s="120"/>
      <c r="BA267" s="120"/>
      <c r="BB267" s="120"/>
      <c r="BC267" s="120"/>
      <c r="BD267" s="120"/>
      <c r="BE267" s="120"/>
      <c r="BF267" s="120"/>
      <c r="BG267" s="120"/>
      <c r="BH267" s="120"/>
      <c r="BI267" s="120"/>
      <c r="BJ267" s="120"/>
      <c r="BK267" s="120"/>
      <c r="BL267" s="120"/>
      <c r="BM267" s="120"/>
      <c r="BN267" s="120"/>
      <c r="BO267" s="120"/>
      <c r="BP267" s="120"/>
      <c r="BQ267" s="120"/>
      <c r="BR267" s="120"/>
    </row>
    <row r="268" spans="1:70" x14ac:dyDescent="0.25">
      <c r="A268" s="120"/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120"/>
      <c r="AR268" s="120"/>
      <c r="AS268" s="120"/>
      <c r="AT268" s="120"/>
      <c r="AU268" s="120"/>
      <c r="AV268" s="120"/>
      <c r="AW268" s="120"/>
      <c r="AX268" s="120"/>
      <c r="AY268" s="120"/>
      <c r="AZ268" s="120"/>
      <c r="BA268" s="120"/>
      <c r="BB268" s="120"/>
      <c r="BC268" s="120"/>
      <c r="BD268" s="120"/>
      <c r="BE268" s="120"/>
      <c r="BF268" s="120"/>
      <c r="BG268" s="120"/>
      <c r="BH268" s="120"/>
      <c r="BI268" s="120"/>
      <c r="BJ268" s="120"/>
      <c r="BK268" s="120"/>
      <c r="BL268" s="120"/>
      <c r="BM268" s="120"/>
      <c r="BN268" s="120"/>
      <c r="BO268" s="120"/>
      <c r="BP268" s="120"/>
      <c r="BQ268" s="120"/>
      <c r="BR268" s="120"/>
    </row>
    <row r="269" spans="1:70" x14ac:dyDescent="0.25">
      <c r="A269" s="120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120"/>
      <c r="AR269" s="120"/>
      <c r="AS269" s="120"/>
      <c r="AT269" s="120"/>
      <c r="AU269" s="120"/>
      <c r="AV269" s="120"/>
      <c r="AW269" s="120"/>
      <c r="AX269" s="120"/>
      <c r="AY269" s="120"/>
      <c r="AZ269" s="120"/>
      <c r="BA269" s="120"/>
      <c r="BB269" s="120"/>
      <c r="BC269" s="120"/>
      <c r="BD269" s="120"/>
      <c r="BE269" s="120"/>
      <c r="BF269" s="120"/>
      <c r="BG269" s="120"/>
      <c r="BH269" s="120"/>
      <c r="BI269" s="120"/>
      <c r="BJ269" s="120"/>
      <c r="BK269" s="120"/>
      <c r="BL269" s="120"/>
      <c r="BM269" s="120"/>
      <c r="BN269" s="120"/>
      <c r="BO269" s="120"/>
      <c r="BP269" s="120"/>
      <c r="BQ269" s="120"/>
      <c r="BR269" s="120"/>
    </row>
    <row r="270" spans="1:70" x14ac:dyDescent="0.25">
      <c r="A270" s="120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120"/>
      <c r="AR270" s="120"/>
      <c r="AS270" s="120"/>
      <c r="AT270" s="120"/>
      <c r="AU270" s="120"/>
      <c r="AV270" s="120"/>
      <c r="AW270" s="120"/>
      <c r="AX270" s="120"/>
      <c r="AY270" s="120"/>
      <c r="AZ270" s="120"/>
      <c r="BA270" s="120"/>
      <c r="BB270" s="120"/>
      <c r="BC270" s="120"/>
      <c r="BD270" s="120"/>
      <c r="BE270" s="120"/>
      <c r="BF270" s="120"/>
      <c r="BG270" s="120"/>
      <c r="BH270" s="120"/>
      <c r="BI270" s="120"/>
      <c r="BJ270" s="120"/>
      <c r="BK270" s="120"/>
      <c r="BL270" s="120"/>
      <c r="BM270" s="120"/>
      <c r="BN270" s="120"/>
      <c r="BO270" s="120"/>
      <c r="BP270" s="120"/>
      <c r="BQ270" s="120"/>
      <c r="BR270" s="120"/>
    </row>
    <row r="271" spans="1:70" x14ac:dyDescent="0.25">
      <c r="A271" s="120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120"/>
      <c r="AR271" s="120"/>
      <c r="AS271" s="120"/>
      <c r="AT271" s="120"/>
      <c r="AU271" s="120"/>
      <c r="AV271" s="120"/>
      <c r="AW271" s="120"/>
      <c r="AX271" s="120"/>
      <c r="AY271" s="120"/>
      <c r="AZ271" s="120"/>
      <c r="BA271" s="120"/>
      <c r="BB271" s="120"/>
      <c r="BC271" s="120"/>
      <c r="BD271" s="120"/>
      <c r="BE271" s="120"/>
      <c r="BF271" s="120"/>
      <c r="BG271" s="120"/>
      <c r="BH271" s="120"/>
      <c r="BI271" s="120"/>
      <c r="BJ271" s="120"/>
      <c r="BK271" s="120"/>
      <c r="BL271" s="120"/>
      <c r="BM271" s="120"/>
      <c r="BN271" s="120"/>
      <c r="BO271" s="120"/>
      <c r="BP271" s="120"/>
      <c r="BQ271" s="120"/>
      <c r="BR271" s="120"/>
    </row>
    <row r="272" spans="1:70" x14ac:dyDescent="0.25">
      <c r="A272" s="120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120"/>
      <c r="AR272" s="120"/>
      <c r="AS272" s="120"/>
      <c r="AT272" s="120"/>
      <c r="AU272" s="120"/>
      <c r="AV272" s="120"/>
      <c r="AW272" s="120"/>
      <c r="AX272" s="120"/>
      <c r="AY272" s="120"/>
      <c r="AZ272" s="120"/>
      <c r="BA272" s="120"/>
      <c r="BB272" s="120"/>
      <c r="BC272" s="120"/>
      <c r="BD272" s="120"/>
      <c r="BE272" s="120"/>
      <c r="BF272" s="120"/>
      <c r="BG272" s="120"/>
      <c r="BH272" s="120"/>
      <c r="BI272" s="120"/>
      <c r="BJ272" s="120"/>
      <c r="BK272" s="120"/>
      <c r="BL272" s="120"/>
      <c r="BM272" s="120"/>
      <c r="BN272" s="120"/>
      <c r="BO272" s="120"/>
      <c r="BP272" s="120"/>
      <c r="BQ272" s="120"/>
      <c r="BR272" s="120"/>
    </row>
    <row r="273" spans="1:70" x14ac:dyDescent="0.25">
      <c r="A273" s="120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120"/>
      <c r="AR273" s="120"/>
      <c r="AS273" s="120"/>
      <c r="AT273" s="120"/>
      <c r="AU273" s="120"/>
      <c r="AV273" s="120"/>
      <c r="AW273" s="120"/>
      <c r="AX273" s="120"/>
      <c r="AY273" s="120"/>
      <c r="AZ273" s="120"/>
      <c r="BA273" s="120"/>
      <c r="BB273" s="120"/>
      <c r="BC273" s="120"/>
      <c r="BD273" s="120"/>
      <c r="BE273" s="120"/>
      <c r="BF273" s="120"/>
      <c r="BG273" s="120"/>
      <c r="BH273" s="120"/>
      <c r="BI273" s="120"/>
      <c r="BJ273" s="120"/>
      <c r="BK273" s="120"/>
      <c r="BL273" s="120"/>
      <c r="BM273" s="120"/>
      <c r="BN273" s="120"/>
      <c r="BO273" s="120"/>
      <c r="BP273" s="120"/>
      <c r="BQ273" s="120"/>
      <c r="BR273" s="120"/>
    </row>
    <row r="274" spans="1:70" x14ac:dyDescent="0.25">
      <c r="A274" s="120"/>
      <c r="B274" s="120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120"/>
      <c r="AR274" s="120"/>
      <c r="AS274" s="120"/>
      <c r="AT274" s="120"/>
      <c r="AU274" s="120"/>
      <c r="AV274" s="120"/>
      <c r="AW274" s="120"/>
      <c r="AX274" s="120"/>
      <c r="AY274" s="120"/>
      <c r="AZ274" s="120"/>
      <c r="BA274" s="120"/>
      <c r="BB274" s="120"/>
      <c r="BC274" s="120"/>
      <c r="BD274" s="120"/>
      <c r="BE274" s="120"/>
      <c r="BF274" s="120"/>
      <c r="BG274" s="120"/>
      <c r="BH274" s="120"/>
      <c r="BI274" s="120"/>
      <c r="BJ274" s="120"/>
      <c r="BK274" s="120"/>
      <c r="BL274" s="120"/>
      <c r="BM274" s="120"/>
      <c r="BN274" s="120"/>
      <c r="BO274" s="120"/>
      <c r="BP274" s="120"/>
      <c r="BQ274" s="120"/>
      <c r="BR274" s="120"/>
    </row>
    <row r="275" spans="1:70" x14ac:dyDescent="0.25">
      <c r="A275" s="120"/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120"/>
      <c r="AR275" s="120"/>
      <c r="AS275" s="120"/>
      <c r="AT275" s="120"/>
      <c r="AU275" s="120"/>
      <c r="AV275" s="120"/>
      <c r="AW275" s="120"/>
      <c r="AX275" s="120"/>
      <c r="AY275" s="120"/>
      <c r="AZ275" s="120"/>
      <c r="BA275" s="120"/>
      <c r="BB275" s="120"/>
      <c r="BC275" s="120"/>
      <c r="BD275" s="120"/>
      <c r="BE275" s="120"/>
      <c r="BF275" s="120"/>
      <c r="BG275" s="120"/>
      <c r="BH275" s="120"/>
      <c r="BI275" s="120"/>
      <c r="BJ275" s="120"/>
      <c r="BK275" s="120"/>
      <c r="BL275" s="120"/>
      <c r="BM275" s="120"/>
      <c r="BN275" s="120"/>
      <c r="BO275" s="120"/>
      <c r="BP275" s="120"/>
      <c r="BQ275" s="120"/>
      <c r="BR275" s="120"/>
    </row>
    <row r="276" spans="1:70" x14ac:dyDescent="0.25">
      <c r="A276" s="120"/>
      <c r="B276" s="120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120"/>
      <c r="AR276" s="120"/>
      <c r="AS276" s="120"/>
      <c r="AT276" s="120"/>
      <c r="AU276" s="120"/>
      <c r="AV276" s="120"/>
      <c r="AW276" s="120"/>
      <c r="AX276" s="120"/>
      <c r="AY276" s="120"/>
      <c r="AZ276" s="120"/>
      <c r="BA276" s="120"/>
      <c r="BB276" s="120"/>
      <c r="BC276" s="120"/>
      <c r="BD276" s="120"/>
      <c r="BE276" s="120"/>
      <c r="BF276" s="120"/>
      <c r="BG276" s="120"/>
      <c r="BH276" s="120"/>
      <c r="BI276" s="120"/>
      <c r="BJ276" s="120"/>
      <c r="BK276" s="120"/>
      <c r="BL276" s="120"/>
      <c r="BM276" s="120"/>
      <c r="BN276" s="120"/>
      <c r="BO276" s="120"/>
      <c r="BP276" s="120"/>
      <c r="BQ276" s="120"/>
      <c r="BR276" s="120"/>
    </row>
    <row r="277" spans="1:70" x14ac:dyDescent="0.25">
      <c r="A277" s="120"/>
      <c r="B277" s="120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120"/>
      <c r="AR277" s="120"/>
      <c r="AS277" s="120"/>
      <c r="AT277" s="120"/>
      <c r="AU277" s="120"/>
      <c r="AV277" s="120"/>
      <c r="AW277" s="120"/>
      <c r="AX277" s="120"/>
      <c r="AY277" s="120"/>
      <c r="AZ277" s="120"/>
      <c r="BA277" s="120"/>
      <c r="BB277" s="120"/>
      <c r="BC277" s="120"/>
      <c r="BD277" s="120"/>
      <c r="BE277" s="120"/>
      <c r="BF277" s="120"/>
      <c r="BG277" s="120"/>
      <c r="BH277" s="120"/>
      <c r="BI277" s="120"/>
      <c r="BJ277" s="120"/>
      <c r="BK277" s="120"/>
      <c r="BL277" s="120"/>
      <c r="BM277" s="120"/>
      <c r="BN277" s="120"/>
      <c r="BO277" s="120"/>
      <c r="BP277" s="120"/>
      <c r="BQ277" s="120"/>
      <c r="BR277" s="120"/>
    </row>
    <row r="278" spans="1:70" x14ac:dyDescent="0.25">
      <c r="A278" s="120"/>
      <c r="B278" s="120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120"/>
      <c r="AR278" s="120"/>
      <c r="AS278" s="120"/>
      <c r="AT278" s="120"/>
      <c r="AU278" s="120"/>
      <c r="AV278" s="120"/>
      <c r="AW278" s="120"/>
      <c r="AX278" s="120"/>
      <c r="AY278" s="120"/>
      <c r="AZ278" s="120"/>
      <c r="BA278" s="120"/>
      <c r="BB278" s="120"/>
      <c r="BC278" s="120"/>
      <c r="BD278" s="120"/>
      <c r="BE278" s="120"/>
      <c r="BF278" s="120"/>
      <c r="BG278" s="120"/>
      <c r="BH278" s="120"/>
      <c r="BI278" s="120"/>
      <c r="BJ278" s="120"/>
      <c r="BK278" s="120"/>
      <c r="BL278" s="120"/>
      <c r="BM278" s="120"/>
      <c r="BN278" s="120"/>
      <c r="BO278" s="120"/>
      <c r="BP278" s="120"/>
      <c r="BQ278" s="120"/>
      <c r="BR278" s="120"/>
    </row>
    <row r="279" spans="1:70" x14ac:dyDescent="0.25">
      <c r="A279" s="120"/>
      <c r="B279" s="120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120"/>
      <c r="AR279" s="120"/>
      <c r="AS279" s="120"/>
      <c r="AT279" s="120"/>
      <c r="AU279" s="120"/>
      <c r="AV279" s="120"/>
      <c r="AW279" s="120"/>
      <c r="AX279" s="120"/>
      <c r="AY279" s="120"/>
      <c r="AZ279" s="120"/>
      <c r="BA279" s="120"/>
      <c r="BB279" s="120"/>
      <c r="BC279" s="120"/>
      <c r="BD279" s="120"/>
      <c r="BE279" s="120"/>
      <c r="BF279" s="120"/>
      <c r="BG279" s="120"/>
      <c r="BH279" s="120"/>
      <c r="BI279" s="120"/>
      <c r="BJ279" s="120"/>
      <c r="BK279" s="120"/>
      <c r="BL279" s="120"/>
      <c r="BM279" s="120"/>
      <c r="BN279" s="120"/>
      <c r="BO279" s="120"/>
      <c r="BP279" s="120"/>
      <c r="BQ279" s="120"/>
      <c r="BR279" s="120"/>
    </row>
    <row r="280" spans="1:70" x14ac:dyDescent="0.25">
      <c r="A280" s="120"/>
      <c r="B280" s="120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120"/>
      <c r="AR280" s="120"/>
      <c r="AS280" s="120"/>
      <c r="AT280" s="120"/>
      <c r="AU280" s="120"/>
      <c r="AV280" s="120"/>
      <c r="AW280" s="120"/>
      <c r="AX280" s="120"/>
      <c r="AY280" s="120"/>
      <c r="AZ280" s="120"/>
      <c r="BA280" s="120"/>
      <c r="BB280" s="120"/>
      <c r="BC280" s="120"/>
      <c r="BD280" s="120"/>
      <c r="BE280" s="120"/>
      <c r="BF280" s="120"/>
      <c r="BG280" s="120"/>
      <c r="BH280" s="120"/>
      <c r="BI280" s="120"/>
      <c r="BJ280" s="120"/>
      <c r="BK280" s="120"/>
      <c r="BL280" s="120"/>
      <c r="BM280" s="120"/>
      <c r="BN280" s="120"/>
      <c r="BO280" s="120"/>
      <c r="BP280" s="120"/>
      <c r="BQ280" s="120"/>
      <c r="BR280" s="120"/>
    </row>
    <row r="281" spans="1:70" x14ac:dyDescent="0.25">
      <c r="A281" s="120"/>
      <c r="B281" s="120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120"/>
      <c r="AR281" s="120"/>
      <c r="AS281" s="120"/>
      <c r="AT281" s="120"/>
      <c r="AU281" s="120"/>
      <c r="AV281" s="120"/>
      <c r="AW281" s="120"/>
      <c r="AX281" s="120"/>
      <c r="AY281" s="120"/>
      <c r="AZ281" s="120"/>
      <c r="BA281" s="120"/>
      <c r="BB281" s="120"/>
      <c r="BC281" s="120"/>
      <c r="BD281" s="120"/>
      <c r="BE281" s="120"/>
      <c r="BF281" s="120"/>
      <c r="BG281" s="120"/>
      <c r="BH281" s="120"/>
      <c r="BI281" s="120"/>
      <c r="BJ281" s="120"/>
      <c r="BK281" s="120"/>
      <c r="BL281" s="120"/>
      <c r="BM281" s="120"/>
      <c r="BN281" s="120"/>
      <c r="BO281" s="120"/>
      <c r="BP281" s="120"/>
      <c r="BQ281" s="120"/>
      <c r="BR281" s="120"/>
    </row>
    <row r="282" spans="1:70" x14ac:dyDescent="0.25">
      <c r="A282" s="120"/>
      <c r="B282" s="120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120"/>
      <c r="AR282" s="120"/>
      <c r="AS282" s="120"/>
      <c r="AT282" s="120"/>
      <c r="AU282" s="120"/>
      <c r="AV282" s="120"/>
      <c r="AW282" s="120"/>
      <c r="AX282" s="120"/>
      <c r="AY282" s="120"/>
      <c r="AZ282" s="120"/>
      <c r="BA282" s="120"/>
      <c r="BB282" s="120"/>
      <c r="BC282" s="120"/>
      <c r="BD282" s="120"/>
      <c r="BE282" s="120"/>
      <c r="BF282" s="120"/>
      <c r="BG282" s="120"/>
      <c r="BH282" s="120"/>
      <c r="BI282" s="120"/>
      <c r="BJ282" s="120"/>
      <c r="BK282" s="120"/>
      <c r="BL282" s="120"/>
      <c r="BM282" s="120"/>
      <c r="BN282" s="120"/>
      <c r="BO282" s="120"/>
      <c r="BP282" s="120"/>
      <c r="BQ282" s="120"/>
      <c r="BR282" s="120"/>
    </row>
    <row r="283" spans="1:70" x14ac:dyDescent="0.25">
      <c r="A283" s="120"/>
      <c r="B283" s="120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120"/>
      <c r="AR283" s="120"/>
      <c r="AS283" s="120"/>
      <c r="AT283" s="120"/>
      <c r="AU283" s="120"/>
      <c r="AV283" s="120"/>
      <c r="AW283" s="120"/>
      <c r="AX283" s="120"/>
      <c r="AY283" s="120"/>
      <c r="AZ283" s="120"/>
      <c r="BA283" s="120"/>
      <c r="BB283" s="120"/>
      <c r="BC283" s="120"/>
      <c r="BD283" s="120"/>
      <c r="BE283" s="120"/>
      <c r="BF283" s="120"/>
      <c r="BG283" s="120"/>
      <c r="BH283" s="120"/>
      <c r="BI283" s="120"/>
      <c r="BJ283" s="120"/>
      <c r="BK283" s="120"/>
      <c r="BL283" s="120"/>
      <c r="BM283" s="120"/>
      <c r="BN283" s="120"/>
      <c r="BO283" s="120"/>
      <c r="BP283" s="120"/>
      <c r="BQ283" s="120"/>
      <c r="BR283" s="120"/>
    </row>
    <row r="284" spans="1:70" x14ac:dyDescent="0.25">
      <c r="A284" s="120"/>
      <c r="B284" s="120"/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120"/>
      <c r="AR284" s="120"/>
      <c r="AS284" s="120"/>
      <c r="AT284" s="120"/>
      <c r="AU284" s="120"/>
      <c r="AV284" s="120"/>
      <c r="AW284" s="120"/>
      <c r="AX284" s="120"/>
      <c r="AY284" s="120"/>
      <c r="AZ284" s="120"/>
      <c r="BA284" s="120"/>
      <c r="BB284" s="120"/>
      <c r="BC284" s="120"/>
      <c r="BD284" s="120"/>
      <c r="BE284" s="120"/>
      <c r="BF284" s="120"/>
      <c r="BG284" s="120"/>
      <c r="BH284" s="120"/>
      <c r="BI284" s="120"/>
      <c r="BJ284" s="120"/>
      <c r="BK284" s="120"/>
      <c r="BL284" s="120"/>
      <c r="BM284" s="120"/>
      <c r="BN284" s="120"/>
      <c r="BO284" s="120"/>
      <c r="BP284" s="120"/>
      <c r="BQ284" s="120"/>
      <c r="BR284" s="120"/>
    </row>
    <row r="285" spans="1:70" x14ac:dyDescent="0.25">
      <c r="A285" s="120"/>
      <c r="B285" s="120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120"/>
      <c r="AK285" s="120"/>
      <c r="AL285" s="120"/>
      <c r="AM285" s="120"/>
      <c r="AN285" s="120"/>
      <c r="AO285" s="120"/>
      <c r="AP285" s="120"/>
      <c r="AQ285" s="120"/>
      <c r="AR285" s="120"/>
      <c r="AS285" s="120"/>
      <c r="AT285" s="120"/>
      <c r="AU285" s="120"/>
      <c r="AV285" s="120"/>
      <c r="AW285" s="120"/>
      <c r="AX285" s="120"/>
      <c r="AY285" s="120"/>
      <c r="AZ285" s="120"/>
      <c r="BA285" s="120"/>
      <c r="BB285" s="120"/>
      <c r="BC285" s="120"/>
      <c r="BD285" s="120"/>
      <c r="BE285" s="120"/>
      <c r="BF285" s="120"/>
      <c r="BG285" s="120"/>
      <c r="BH285" s="120"/>
      <c r="BI285" s="120"/>
      <c r="BJ285" s="120"/>
      <c r="BK285" s="120"/>
      <c r="BL285" s="120"/>
      <c r="BM285" s="120"/>
      <c r="BN285" s="120"/>
      <c r="BO285" s="120"/>
      <c r="BP285" s="120"/>
      <c r="BQ285" s="120"/>
      <c r="BR285" s="120"/>
    </row>
    <row r="286" spans="1:70" x14ac:dyDescent="0.25">
      <c r="A286" s="120"/>
      <c r="B286" s="120"/>
      <c r="C286" s="120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120"/>
      <c r="AK286" s="120"/>
      <c r="AL286" s="120"/>
      <c r="AM286" s="120"/>
      <c r="AN286" s="120"/>
      <c r="AO286" s="120"/>
      <c r="AP286" s="120"/>
      <c r="AQ286" s="120"/>
      <c r="AR286" s="120"/>
      <c r="AS286" s="120"/>
      <c r="AT286" s="120"/>
      <c r="AU286" s="120"/>
      <c r="AV286" s="120"/>
      <c r="AW286" s="120"/>
      <c r="AX286" s="120"/>
      <c r="AY286" s="120"/>
      <c r="AZ286" s="120"/>
      <c r="BA286" s="120"/>
      <c r="BB286" s="120"/>
      <c r="BC286" s="120"/>
      <c r="BD286" s="120"/>
      <c r="BE286" s="120"/>
      <c r="BF286" s="120"/>
      <c r="BG286" s="120"/>
      <c r="BH286" s="120"/>
      <c r="BI286" s="120"/>
      <c r="BJ286" s="120"/>
      <c r="BK286" s="120"/>
      <c r="BL286" s="120"/>
      <c r="BM286" s="120"/>
      <c r="BN286" s="120"/>
      <c r="BO286" s="120"/>
      <c r="BP286" s="120"/>
      <c r="BQ286" s="120"/>
      <c r="BR286" s="120"/>
    </row>
    <row r="287" spans="1:70" x14ac:dyDescent="0.25">
      <c r="A287" s="120"/>
      <c r="B287" s="120"/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  <c r="AA287" s="120"/>
      <c r="AB287" s="120"/>
      <c r="AC287" s="120"/>
      <c r="AD287" s="120"/>
      <c r="AE287" s="120"/>
      <c r="AF287" s="120"/>
      <c r="AG287" s="120"/>
      <c r="AH287" s="120"/>
      <c r="AI287" s="120"/>
      <c r="AJ287" s="120"/>
      <c r="AK287" s="120"/>
      <c r="AL287" s="120"/>
      <c r="AM287" s="120"/>
      <c r="AN287" s="120"/>
      <c r="AO287" s="120"/>
      <c r="AP287" s="120"/>
      <c r="AQ287" s="120"/>
      <c r="AR287" s="120"/>
      <c r="AS287" s="120"/>
      <c r="AT287" s="120"/>
      <c r="AU287" s="120"/>
      <c r="AV287" s="120"/>
      <c r="AW287" s="120"/>
      <c r="AX287" s="120"/>
      <c r="AY287" s="120"/>
      <c r="AZ287" s="120"/>
      <c r="BA287" s="120"/>
      <c r="BB287" s="120"/>
      <c r="BC287" s="120"/>
      <c r="BD287" s="120"/>
      <c r="BE287" s="120"/>
      <c r="BF287" s="120"/>
      <c r="BG287" s="120"/>
      <c r="BH287" s="120"/>
      <c r="BI287" s="120"/>
      <c r="BJ287" s="120"/>
      <c r="BK287" s="120"/>
      <c r="BL287" s="120"/>
      <c r="BM287" s="120"/>
      <c r="BN287" s="120"/>
      <c r="BO287" s="120"/>
      <c r="BP287" s="120"/>
      <c r="BQ287" s="120"/>
      <c r="BR287" s="120"/>
    </row>
    <row r="288" spans="1:70" x14ac:dyDescent="0.25">
      <c r="A288" s="120"/>
      <c r="B288" s="120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  <c r="AA288" s="120"/>
      <c r="AB288" s="120"/>
      <c r="AC288" s="120"/>
      <c r="AD288" s="120"/>
      <c r="AE288" s="120"/>
      <c r="AF288" s="120"/>
      <c r="AG288" s="120"/>
      <c r="AH288" s="120"/>
      <c r="AI288" s="120"/>
      <c r="AJ288" s="120"/>
      <c r="AK288" s="120"/>
      <c r="AL288" s="120"/>
      <c r="AM288" s="120"/>
      <c r="AN288" s="120"/>
      <c r="AO288" s="120"/>
      <c r="AP288" s="120"/>
      <c r="AQ288" s="120"/>
      <c r="AR288" s="120"/>
      <c r="AS288" s="120"/>
      <c r="AT288" s="120"/>
      <c r="AU288" s="120"/>
      <c r="AV288" s="120"/>
      <c r="AW288" s="120"/>
      <c r="AX288" s="120"/>
      <c r="AY288" s="120"/>
      <c r="AZ288" s="120"/>
      <c r="BA288" s="120"/>
      <c r="BB288" s="120"/>
      <c r="BC288" s="120"/>
      <c r="BD288" s="120"/>
      <c r="BE288" s="120"/>
      <c r="BF288" s="120"/>
      <c r="BG288" s="120"/>
      <c r="BH288" s="120"/>
      <c r="BI288" s="120"/>
      <c r="BJ288" s="120"/>
      <c r="BK288" s="120"/>
      <c r="BL288" s="120"/>
      <c r="BM288" s="120"/>
      <c r="BN288" s="120"/>
      <c r="BO288" s="120"/>
      <c r="BP288" s="120"/>
      <c r="BQ288" s="120"/>
      <c r="BR288" s="120"/>
    </row>
    <row r="289" spans="1:70" x14ac:dyDescent="0.25">
      <c r="A289" s="120"/>
      <c r="B289" s="120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120"/>
      <c r="AK289" s="120"/>
      <c r="AL289" s="120"/>
      <c r="AM289" s="120"/>
      <c r="AN289" s="120"/>
      <c r="AO289" s="120"/>
      <c r="AP289" s="120"/>
      <c r="AQ289" s="120"/>
      <c r="AR289" s="120"/>
      <c r="AS289" s="120"/>
      <c r="AT289" s="120"/>
      <c r="AU289" s="120"/>
      <c r="AV289" s="120"/>
      <c r="AW289" s="120"/>
      <c r="AX289" s="120"/>
      <c r="AY289" s="120"/>
      <c r="AZ289" s="120"/>
      <c r="BA289" s="120"/>
      <c r="BB289" s="120"/>
      <c r="BC289" s="120"/>
      <c r="BD289" s="120"/>
      <c r="BE289" s="120"/>
      <c r="BF289" s="120"/>
      <c r="BG289" s="120"/>
      <c r="BH289" s="120"/>
      <c r="BI289" s="120"/>
      <c r="BJ289" s="120"/>
      <c r="BK289" s="120"/>
      <c r="BL289" s="120"/>
      <c r="BM289" s="120"/>
      <c r="BN289" s="120"/>
      <c r="BO289" s="120"/>
      <c r="BP289" s="120"/>
      <c r="BQ289" s="120"/>
      <c r="BR289" s="120"/>
    </row>
    <row r="290" spans="1:70" x14ac:dyDescent="0.25">
      <c r="A290" s="120"/>
      <c r="B290" s="120"/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120"/>
      <c r="AK290" s="120"/>
      <c r="AL290" s="120"/>
      <c r="AM290" s="120"/>
      <c r="AN290" s="120"/>
      <c r="AO290" s="120"/>
      <c r="AP290" s="120"/>
      <c r="AQ290" s="120"/>
      <c r="AR290" s="120"/>
      <c r="AS290" s="120"/>
      <c r="AT290" s="120"/>
      <c r="AU290" s="120"/>
      <c r="AV290" s="120"/>
      <c r="AW290" s="120"/>
      <c r="AX290" s="120"/>
      <c r="AY290" s="120"/>
      <c r="AZ290" s="120"/>
      <c r="BA290" s="120"/>
      <c r="BB290" s="120"/>
      <c r="BC290" s="120"/>
      <c r="BD290" s="120"/>
      <c r="BE290" s="120"/>
      <c r="BF290" s="120"/>
      <c r="BG290" s="120"/>
      <c r="BH290" s="120"/>
      <c r="BI290" s="120"/>
      <c r="BJ290" s="120"/>
      <c r="BK290" s="120"/>
      <c r="BL290" s="120"/>
      <c r="BM290" s="120"/>
      <c r="BN290" s="120"/>
      <c r="BO290" s="120"/>
      <c r="BP290" s="120"/>
      <c r="BQ290" s="120"/>
      <c r="BR290" s="120"/>
    </row>
    <row r="291" spans="1:70" x14ac:dyDescent="0.25">
      <c r="A291" s="120"/>
      <c r="B291" s="120"/>
      <c r="C291" s="120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120"/>
      <c r="AK291" s="120"/>
      <c r="AL291" s="120"/>
      <c r="AM291" s="120"/>
      <c r="AN291" s="120"/>
      <c r="AO291" s="120"/>
      <c r="AP291" s="120"/>
      <c r="AQ291" s="120"/>
      <c r="AR291" s="120"/>
      <c r="AS291" s="120"/>
      <c r="AT291" s="120"/>
      <c r="AU291" s="120"/>
      <c r="AV291" s="120"/>
      <c r="AW291" s="120"/>
      <c r="AX291" s="120"/>
      <c r="AY291" s="120"/>
      <c r="AZ291" s="120"/>
      <c r="BA291" s="120"/>
      <c r="BB291" s="120"/>
      <c r="BC291" s="120"/>
      <c r="BD291" s="120"/>
      <c r="BE291" s="120"/>
      <c r="BF291" s="120"/>
      <c r="BG291" s="120"/>
      <c r="BH291" s="120"/>
      <c r="BI291" s="120"/>
      <c r="BJ291" s="120"/>
      <c r="BK291" s="120"/>
      <c r="BL291" s="120"/>
      <c r="BM291" s="120"/>
      <c r="BN291" s="120"/>
      <c r="BO291" s="120"/>
      <c r="BP291" s="120"/>
      <c r="BQ291" s="120"/>
      <c r="BR291" s="120"/>
    </row>
    <row r="292" spans="1:70" x14ac:dyDescent="0.25">
      <c r="A292" s="120"/>
      <c r="B292" s="120"/>
      <c r="C292" s="120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120"/>
      <c r="AK292" s="120"/>
      <c r="AL292" s="120"/>
      <c r="AM292" s="120"/>
      <c r="AN292" s="120"/>
      <c r="AO292" s="120"/>
      <c r="AP292" s="120"/>
      <c r="AQ292" s="120"/>
      <c r="AR292" s="120"/>
      <c r="AS292" s="120"/>
      <c r="AT292" s="120"/>
      <c r="AU292" s="120"/>
      <c r="AV292" s="120"/>
      <c r="AW292" s="120"/>
      <c r="AX292" s="120"/>
      <c r="AY292" s="120"/>
      <c r="AZ292" s="120"/>
      <c r="BA292" s="120"/>
      <c r="BB292" s="120"/>
      <c r="BC292" s="120"/>
      <c r="BD292" s="120"/>
      <c r="BE292" s="120"/>
      <c r="BF292" s="120"/>
      <c r="BG292" s="120"/>
      <c r="BH292" s="120"/>
      <c r="BI292" s="120"/>
      <c r="BJ292" s="120"/>
      <c r="BK292" s="120"/>
      <c r="BL292" s="120"/>
      <c r="BM292" s="120"/>
      <c r="BN292" s="120"/>
      <c r="BO292" s="120"/>
      <c r="BP292" s="120"/>
      <c r="BQ292" s="120"/>
      <c r="BR292" s="120"/>
    </row>
    <row r="293" spans="1:70" x14ac:dyDescent="0.25">
      <c r="A293" s="120"/>
      <c r="B293" s="120"/>
      <c r="C293" s="120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  <c r="AA293" s="120"/>
      <c r="AB293" s="120"/>
      <c r="AC293" s="120"/>
      <c r="AD293" s="120"/>
      <c r="AE293" s="120"/>
      <c r="AF293" s="120"/>
      <c r="AG293" s="120"/>
      <c r="AH293" s="120"/>
      <c r="AI293" s="120"/>
      <c r="AJ293" s="120"/>
      <c r="AK293" s="120"/>
      <c r="AL293" s="120"/>
      <c r="AM293" s="120"/>
      <c r="AN293" s="120"/>
      <c r="AO293" s="120"/>
      <c r="AP293" s="120"/>
      <c r="AQ293" s="120"/>
      <c r="AR293" s="120"/>
      <c r="AS293" s="120"/>
      <c r="AT293" s="120"/>
      <c r="AU293" s="120"/>
      <c r="AV293" s="120"/>
      <c r="AW293" s="120"/>
      <c r="AX293" s="120"/>
      <c r="AY293" s="120"/>
      <c r="AZ293" s="120"/>
      <c r="BA293" s="120"/>
      <c r="BB293" s="120"/>
      <c r="BC293" s="120"/>
      <c r="BD293" s="120"/>
      <c r="BE293" s="120"/>
      <c r="BF293" s="120"/>
      <c r="BG293" s="120"/>
      <c r="BH293" s="120"/>
      <c r="BI293" s="120"/>
      <c r="BJ293" s="120"/>
      <c r="BK293" s="120"/>
      <c r="BL293" s="120"/>
      <c r="BM293" s="120"/>
      <c r="BN293" s="120"/>
      <c r="BO293" s="120"/>
      <c r="BP293" s="120"/>
      <c r="BQ293" s="120"/>
      <c r="BR293" s="120"/>
    </row>
    <row r="294" spans="1:70" x14ac:dyDescent="0.25">
      <c r="A294" s="120"/>
      <c r="B294" s="120"/>
      <c r="C294" s="120"/>
      <c r="D294" s="120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  <c r="AA294" s="120"/>
      <c r="AB294" s="120"/>
      <c r="AC294" s="120"/>
      <c r="AD294" s="120"/>
      <c r="AE294" s="120"/>
      <c r="AF294" s="120"/>
      <c r="AG294" s="120"/>
      <c r="AH294" s="120"/>
      <c r="AI294" s="120"/>
      <c r="AJ294" s="120"/>
      <c r="AK294" s="120"/>
      <c r="AL294" s="120"/>
      <c r="AM294" s="120"/>
      <c r="AN294" s="120"/>
      <c r="AO294" s="120"/>
      <c r="AP294" s="120"/>
      <c r="AQ294" s="120"/>
      <c r="AR294" s="120"/>
      <c r="AS294" s="120"/>
      <c r="AT294" s="120"/>
      <c r="AU294" s="120"/>
      <c r="AV294" s="120"/>
      <c r="AW294" s="120"/>
      <c r="AX294" s="120"/>
      <c r="AY294" s="120"/>
      <c r="AZ294" s="120"/>
      <c r="BA294" s="120"/>
      <c r="BB294" s="120"/>
      <c r="BC294" s="120"/>
      <c r="BD294" s="120"/>
      <c r="BE294" s="120"/>
      <c r="BF294" s="120"/>
      <c r="BG294" s="120"/>
      <c r="BH294" s="120"/>
      <c r="BI294" s="120"/>
      <c r="BJ294" s="120"/>
      <c r="BK294" s="120"/>
      <c r="BL294" s="120"/>
      <c r="BM294" s="120"/>
      <c r="BN294" s="120"/>
      <c r="BO294" s="120"/>
      <c r="BP294" s="120"/>
      <c r="BQ294" s="120"/>
      <c r="BR294" s="120"/>
    </row>
    <row r="295" spans="1:70" x14ac:dyDescent="0.25">
      <c r="A295" s="120"/>
      <c r="B295" s="120"/>
      <c r="C295" s="120"/>
      <c r="D295" s="120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120"/>
      <c r="AK295" s="120"/>
      <c r="AL295" s="120"/>
      <c r="AM295" s="120"/>
      <c r="AN295" s="120"/>
      <c r="AO295" s="120"/>
      <c r="AP295" s="120"/>
      <c r="AQ295" s="120"/>
      <c r="AR295" s="120"/>
      <c r="AS295" s="120"/>
      <c r="AT295" s="120"/>
      <c r="AU295" s="120"/>
      <c r="AV295" s="120"/>
      <c r="AW295" s="120"/>
      <c r="AX295" s="120"/>
      <c r="AY295" s="120"/>
      <c r="AZ295" s="120"/>
      <c r="BA295" s="120"/>
      <c r="BB295" s="120"/>
      <c r="BC295" s="120"/>
      <c r="BD295" s="120"/>
      <c r="BE295" s="120"/>
      <c r="BF295" s="120"/>
      <c r="BG295" s="120"/>
      <c r="BH295" s="120"/>
      <c r="BI295" s="120"/>
      <c r="BJ295" s="120"/>
      <c r="BK295" s="120"/>
      <c r="BL295" s="120"/>
      <c r="BM295" s="120"/>
      <c r="BN295" s="120"/>
      <c r="BO295" s="120"/>
      <c r="BP295" s="120"/>
      <c r="BQ295" s="120"/>
      <c r="BR295" s="120"/>
    </row>
    <row r="296" spans="1:70" x14ac:dyDescent="0.25">
      <c r="A296" s="120"/>
      <c r="B296" s="120"/>
      <c r="C296" s="120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120"/>
      <c r="AK296" s="120"/>
      <c r="AL296" s="120"/>
      <c r="AM296" s="120"/>
      <c r="AN296" s="120"/>
      <c r="AO296" s="120"/>
      <c r="AP296" s="120"/>
      <c r="AQ296" s="120"/>
      <c r="AR296" s="120"/>
      <c r="AS296" s="120"/>
      <c r="AT296" s="120"/>
      <c r="AU296" s="120"/>
      <c r="AV296" s="120"/>
      <c r="AW296" s="120"/>
      <c r="AX296" s="120"/>
      <c r="AY296" s="120"/>
      <c r="AZ296" s="120"/>
      <c r="BA296" s="120"/>
      <c r="BB296" s="120"/>
      <c r="BC296" s="120"/>
      <c r="BD296" s="120"/>
      <c r="BE296" s="120"/>
      <c r="BF296" s="120"/>
      <c r="BG296" s="120"/>
      <c r="BH296" s="120"/>
      <c r="BI296" s="120"/>
      <c r="BJ296" s="120"/>
      <c r="BK296" s="120"/>
      <c r="BL296" s="120"/>
      <c r="BM296" s="120"/>
      <c r="BN296" s="120"/>
      <c r="BO296" s="120"/>
      <c r="BP296" s="120"/>
      <c r="BQ296" s="120"/>
      <c r="BR296" s="120"/>
    </row>
    <row r="297" spans="1:70" x14ac:dyDescent="0.25">
      <c r="A297" s="120"/>
      <c r="B297" s="120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120"/>
      <c r="AK297" s="120"/>
      <c r="AL297" s="120"/>
      <c r="AM297" s="120"/>
      <c r="AN297" s="120"/>
      <c r="AO297" s="120"/>
      <c r="AP297" s="120"/>
      <c r="AQ297" s="120"/>
      <c r="AR297" s="120"/>
      <c r="AS297" s="120"/>
      <c r="AT297" s="120"/>
      <c r="AU297" s="120"/>
      <c r="AV297" s="120"/>
      <c r="AW297" s="120"/>
      <c r="AX297" s="120"/>
      <c r="AY297" s="120"/>
      <c r="AZ297" s="120"/>
      <c r="BA297" s="120"/>
      <c r="BB297" s="120"/>
      <c r="BC297" s="120"/>
      <c r="BD297" s="120"/>
      <c r="BE297" s="120"/>
      <c r="BF297" s="120"/>
      <c r="BG297" s="120"/>
      <c r="BH297" s="120"/>
      <c r="BI297" s="120"/>
      <c r="BJ297" s="120"/>
      <c r="BK297" s="120"/>
      <c r="BL297" s="120"/>
      <c r="BM297" s="120"/>
      <c r="BN297" s="120"/>
      <c r="BO297" s="120"/>
      <c r="BP297" s="120"/>
      <c r="BQ297" s="120"/>
      <c r="BR297" s="120"/>
    </row>
    <row r="298" spans="1:70" x14ac:dyDescent="0.25">
      <c r="A298" s="120"/>
      <c r="B298" s="120"/>
      <c r="C298" s="120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  <c r="AA298" s="120"/>
      <c r="AB298" s="120"/>
      <c r="AC298" s="120"/>
      <c r="AD298" s="120"/>
      <c r="AE298" s="120"/>
      <c r="AF298" s="120"/>
      <c r="AG298" s="120"/>
      <c r="AH298" s="120"/>
      <c r="AI298" s="120"/>
      <c r="AJ298" s="120"/>
      <c r="AK298" s="120"/>
      <c r="AL298" s="120"/>
      <c r="AM298" s="120"/>
      <c r="AN298" s="120"/>
      <c r="AO298" s="120"/>
      <c r="AP298" s="120"/>
      <c r="AQ298" s="120"/>
      <c r="AR298" s="120"/>
      <c r="AS298" s="120"/>
      <c r="AT298" s="120"/>
      <c r="AU298" s="120"/>
      <c r="AV298" s="120"/>
      <c r="AW298" s="120"/>
      <c r="AX298" s="120"/>
      <c r="AY298" s="120"/>
      <c r="AZ298" s="120"/>
      <c r="BA298" s="120"/>
      <c r="BB298" s="120"/>
      <c r="BC298" s="120"/>
      <c r="BD298" s="120"/>
      <c r="BE298" s="120"/>
      <c r="BF298" s="120"/>
      <c r="BG298" s="120"/>
      <c r="BH298" s="120"/>
      <c r="BI298" s="120"/>
      <c r="BJ298" s="120"/>
      <c r="BK298" s="120"/>
      <c r="BL298" s="120"/>
      <c r="BM298" s="120"/>
      <c r="BN298" s="120"/>
      <c r="BO298" s="120"/>
      <c r="BP298" s="120"/>
      <c r="BQ298" s="120"/>
      <c r="BR298" s="120"/>
    </row>
    <row r="299" spans="1:70" x14ac:dyDescent="0.25">
      <c r="A299" s="120"/>
      <c r="B299" s="120"/>
      <c r="C299" s="120"/>
      <c r="D299" s="120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  <c r="AA299" s="120"/>
      <c r="AB299" s="120"/>
      <c r="AC299" s="120"/>
      <c r="AD299" s="120"/>
      <c r="AE299" s="120"/>
      <c r="AF299" s="120"/>
      <c r="AG299" s="120"/>
      <c r="AH299" s="120"/>
      <c r="AI299" s="120"/>
      <c r="AJ299" s="120"/>
      <c r="AK299" s="120"/>
      <c r="AL299" s="120"/>
      <c r="AM299" s="120"/>
      <c r="AN299" s="120"/>
      <c r="AO299" s="120"/>
      <c r="AP299" s="120"/>
      <c r="AQ299" s="120"/>
      <c r="AR299" s="120"/>
      <c r="AS299" s="120"/>
      <c r="AT299" s="120"/>
      <c r="AU299" s="120"/>
      <c r="AV299" s="120"/>
      <c r="AW299" s="120"/>
      <c r="AX299" s="120"/>
      <c r="AY299" s="120"/>
      <c r="AZ299" s="120"/>
      <c r="BA299" s="120"/>
      <c r="BB299" s="120"/>
      <c r="BC299" s="120"/>
      <c r="BD299" s="120"/>
      <c r="BE299" s="120"/>
      <c r="BF299" s="120"/>
      <c r="BG299" s="120"/>
      <c r="BH299" s="120"/>
      <c r="BI299" s="120"/>
      <c r="BJ299" s="120"/>
      <c r="BK299" s="120"/>
      <c r="BL299" s="120"/>
      <c r="BM299" s="120"/>
      <c r="BN299" s="120"/>
      <c r="BO299" s="120"/>
      <c r="BP299" s="120"/>
      <c r="BQ299" s="120"/>
      <c r="BR299" s="120"/>
    </row>
    <row r="300" spans="1:70" x14ac:dyDescent="0.25">
      <c r="A300" s="120"/>
      <c r="B300" s="120"/>
      <c r="C300" s="120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120"/>
      <c r="AK300" s="120"/>
      <c r="AL300" s="120"/>
      <c r="AM300" s="120"/>
      <c r="AN300" s="120"/>
      <c r="AO300" s="120"/>
      <c r="AP300" s="120"/>
      <c r="AQ300" s="120"/>
      <c r="AR300" s="120"/>
      <c r="AS300" s="120"/>
      <c r="AT300" s="120"/>
      <c r="AU300" s="120"/>
      <c r="AV300" s="120"/>
      <c r="AW300" s="120"/>
      <c r="AX300" s="120"/>
      <c r="AY300" s="120"/>
      <c r="AZ300" s="120"/>
      <c r="BA300" s="120"/>
      <c r="BB300" s="120"/>
      <c r="BC300" s="120"/>
      <c r="BD300" s="120"/>
      <c r="BE300" s="120"/>
      <c r="BF300" s="120"/>
      <c r="BG300" s="120"/>
      <c r="BH300" s="120"/>
      <c r="BI300" s="120"/>
      <c r="BJ300" s="120"/>
      <c r="BK300" s="120"/>
      <c r="BL300" s="120"/>
      <c r="BM300" s="120"/>
      <c r="BN300" s="120"/>
      <c r="BO300" s="120"/>
      <c r="BP300" s="120"/>
      <c r="BQ300" s="120"/>
      <c r="BR300" s="120"/>
    </row>
    <row r="301" spans="1:70" x14ac:dyDescent="0.25">
      <c r="A301" s="120"/>
      <c r="B301" s="120"/>
      <c r="C301" s="120"/>
      <c r="D301" s="120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120"/>
      <c r="AK301" s="120"/>
      <c r="AL301" s="120"/>
      <c r="AM301" s="120"/>
      <c r="AN301" s="120"/>
      <c r="AO301" s="120"/>
      <c r="AP301" s="120"/>
      <c r="AQ301" s="120"/>
      <c r="AR301" s="120"/>
      <c r="AS301" s="120"/>
      <c r="AT301" s="120"/>
      <c r="AU301" s="120"/>
      <c r="AV301" s="120"/>
      <c r="AW301" s="120"/>
      <c r="AX301" s="120"/>
      <c r="AY301" s="120"/>
      <c r="AZ301" s="120"/>
      <c r="BA301" s="120"/>
      <c r="BB301" s="120"/>
      <c r="BC301" s="120"/>
      <c r="BD301" s="120"/>
      <c r="BE301" s="120"/>
      <c r="BF301" s="120"/>
      <c r="BG301" s="120"/>
      <c r="BH301" s="120"/>
      <c r="BI301" s="120"/>
      <c r="BJ301" s="120"/>
      <c r="BK301" s="120"/>
      <c r="BL301" s="120"/>
      <c r="BM301" s="120"/>
      <c r="BN301" s="120"/>
      <c r="BO301" s="120"/>
      <c r="BP301" s="120"/>
      <c r="BQ301" s="120"/>
      <c r="BR301" s="120"/>
    </row>
    <row r="302" spans="1:70" x14ac:dyDescent="0.25">
      <c r="A302" s="120"/>
      <c r="B302" s="120"/>
      <c r="C302" s="120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120"/>
      <c r="AK302" s="120"/>
      <c r="AL302" s="120"/>
      <c r="AM302" s="120"/>
      <c r="AN302" s="120"/>
      <c r="AO302" s="120"/>
      <c r="AP302" s="120"/>
      <c r="AQ302" s="120"/>
      <c r="AR302" s="120"/>
      <c r="AS302" s="120"/>
      <c r="AT302" s="120"/>
      <c r="AU302" s="120"/>
      <c r="AV302" s="120"/>
      <c r="AW302" s="120"/>
      <c r="AX302" s="120"/>
      <c r="AY302" s="120"/>
      <c r="AZ302" s="120"/>
      <c r="BA302" s="120"/>
      <c r="BB302" s="120"/>
      <c r="BC302" s="120"/>
      <c r="BD302" s="120"/>
      <c r="BE302" s="120"/>
      <c r="BF302" s="120"/>
      <c r="BG302" s="120"/>
      <c r="BH302" s="120"/>
      <c r="BI302" s="120"/>
      <c r="BJ302" s="120"/>
      <c r="BK302" s="120"/>
      <c r="BL302" s="120"/>
      <c r="BM302" s="120"/>
      <c r="BN302" s="120"/>
      <c r="BO302" s="120"/>
      <c r="BP302" s="120"/>
      <c r="BQ302" s="120"/>
      <c r="BR302" s="120"/>
    </row>
    <row r="303" spans="1:70" x14ac:dyDescent="0.25">
      <c r="A303" s="120"/>
      <c r="B303" s="120"/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120"/>
      <c r="AK303" s="120"/>
      <c r="AL303" s="120"/>
      <c r="AM303" s="120"/>
      <c r="AN303" s="120"/>
      <c r="AO303" s="120"/>
      <c r="AP303" s="120"/>
      <c r="AQ303" s="120"/>
      <c r="AR303" s="120"/>
      <c r="AS303" s="120"/>
      <c r="AT303" s="120"/>
      <c r="AU303" s="120"/>
      <c r="AV303" s="120"/>
      <c r="AW303" s="120"/>
      <c r="AX303" s="120"/>
      <c r="AY303" s="120"/>
      <c r="AZ303" s="120"/>
      <c r="BA303" s="120"/>
      <c r="BB303" s="120"/>
      <c r="BC303" s="120"/>
      <c r="BD303" s="120"/>
      <c r="BE303" s="120"/>
      <c r="BF303" s="120"/>
      <c r="BG303" s="120"/>
      <c r="BH303" s="120"/>
      <c r="BI303" s="120"/>
      <c r="BJ303" s="120"/>
      <c r="BK303" s="120"/>
      <c r="BL303" s="120"/>
      <c r="BM303" s="120"/>
      <c r="BN303" s="120"/>
      <c r="BO303" s="120"/>
      <c r="BP303" s="120"/>
      <c r="BQ303" s="120"/>
      <c r="BR303" s="120"/>
    </row>
    <row r="304" spans="1:70" x14ac:dyDescent="0.25">
      <c r="A304" s="120"/>
      <c r="B304" s="120"/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  <c r="AA304" s="120"/>
      <c r="AB304" s="120"/>
      <c r="AC304" s="120"/>
      <c r="AD304" s="120"/>
      <c r="AE304" s="120"/>
      <c r="AF304" s="120"/>
      <c r="AG304" s="120"/>
      <c r="AH304" s="120"/>
      <c r="AI304" s="120"/>
      <c r="AJ304" s="120"/>
      <c r="AK304" s="120"/>
      <c r="AL304" s="120"/>
      <c r="AM304" s="120"/>
      <c r="AN304" s="120"/>
      <c r="AO304" s="120"/>
      <c r="AP304" s="120"/>
      <c r="AQ304" s="120"/>
      <c r="AR304" s="120"/>
      <c r="AS304" s="120"/>
      <c r="AT304" s="120"/>
      <c r="AU304" s="120"/>
      <c r="AV304" s="120"/>
      <c r="AW304" s="120"/>
      <c r="AX304" s="120"/>
      <c r="AY304" s="120"/>
      <c r="AZ304" s="120"/>
      <c r="BA304" s="120"/>
      <c r="BB304" s="120"/>
      <c r="BC304" s="120"/>
      <c r="BD304" s="120"/>
      <c r="BE304" s="120"/>
      <c r="BF304" s="120"/>
      <c r="BG304" s="120"/>
      <c r="BH304" s="120"/>
      <c r="BI304" s="120"/>
      <c r="BJ304" s="120"/>
      <c r="BK304" s="120"/>
      <c r="BL304" s="120"/>
      <c r="BM304" s="120"/>
      <c r="BN304" s="120"/>
      <c r="BO304" s="120"/>
      <c r="BP304" s="120"/>
      <c r="BQ304" s="120"/>
      <c r="BR304" s="120"/>
    </row>
    <row r="305" spans="1:70" x14ac:dyDescent="0.25">
      <c r="A305" s="120"/>
      <c r="B305" s="120"/>
      <c r="C305" s="120"/>
      <c r="D305" s="120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  <c r="AA305" s="120"/>
      <c r="AB305" s="120"/>
      <c r="AC305" s="120"/>
      <c r="AD305" s="120"/>
      <c r="AE305" s="120"/>
      <c r="AF305" s="120"/>
      <c r="AG305" s="120"/>
      <c r="AH305" s="120"/>
      <c r="AI305" s="120"/>
      <c r="AJ305" s="120"/>
      <c r="AK305" s="120"/>
      <c r="AL305" s="120"/>
      <c r="AM305" s="120"/>
      <c r="AN305" s="120"/>
      <c r="AO305" s="120"/>
      <c r="AP305" s="120"/>
      <c r="AQ305" s="120"/>
      <c r="AR305" s="120"/>
      <c r="AS305" s="120"/>
      <c r="AT305" s="120"/>
      <c r="AU305" s="120"/>
      <c r="AV305" s="120"/>
      <c r="AW305" s="120"/>
      <c r="AX305" s="120"/>
      <c r="AY305" s="120"/>
      <c r="AZ305" s="120"/>
      <c r="BA305" s="120"/>
      <c r="BB305" s="120"/>
      <c r="BC305" s="120"/>
      <c r="BD305" s="120"/>
      <c r="BE305" s="120"/>
      <c r="BF305" s="120"/>
      <c r="BG305" s="120"/>
      <c r="BH305" s="120"/>
      <c r="BI305" s="120"/>
      <c r="BJ305" s="120"/>
      <c r="BK305" s="120"/>
      <c r="BL305" s="120"/>
      <c r="BM305" s="120"/>
      <c r="BN305" s="120"/>
      <c r="BO305" s="120"/>
      <c r="BP305" s="120"/>
      <c r="BQ305" s="120"/>
      <c r="BR305" s="120"/>
    </row>
    <row r="306" spans="1:70" x14ac:dyDescent="0.25">
      <c r="A306" s="120"/>
      <c r="B306" s="120"/>
      <c r="C306" s="120"/>
      <c r="D306" s="120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120"/>
      <c r="AK306" s="120"/>
      <c r="AL306" s="120"/>
      <c r="AM306" s="120"/>
      <c r="AN306" s="120"/>
      <c r="AO306" s="120"/>
      <c r="AP306" s="120"/>
      <c r="AQ306" s="120"/>
      <c r="AR306" s="120"/>
      <c r="AS306" s="120"/>
      <c r="AT306" s="120"/>
      <c r="AU306" s="120"/>
      <c r="AV306" s="120"/>
      <c r="AW306" s="120"/>
      <c r="AX306" s="120"/>
      <c r="AY306" s="120"/>
      <c r="AZ306" s="120"/>
      <c r="BA306" s="120"/>
      <c r="BB306" s="120"/>
      <c r="BC306" s="120"/>
      <c r="BD306" s="120"/>
      <c r="BE306" s="120"/>
      <c r="BF306" s="120"/>
      <c r="BG306" s="120"/>
      <c r="BH306" s="120"/>
      <c r="BI306" s="120"/>
      <c r="BJ306" s="120"/>
      <c r="BK306" s="120"/>
      <c r="BL306" s="120"/>
      <c r="BM306" s="120"/>
      <c r="BN306" s="120"/>
      <c r="BO306" s="120"/>
      <c r="BP306" s="120"/>
      <c r="BQ306" s="120"/>
      <c r="BR306" s="120"/>
    </row>
    <row r="307" spans="1:70" x14ac:dyDescent="0.25">
      <c r="A307" s="120"/>
      <c r="B307" s="120"/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120"/>
      <c r="AR307" s="120"/>
      <c r="AS307" s="120"/>
      <c r="AT307" s="120"/>
      <c r="AU307" s="120"/>
      <c r="AV307" s="120"/>
      <c r="AW307" s="120"/>
      <c r="AX307" s="120"/>
      <c r="AY307" s="120"/>
      <c r="AZ307" s="120"/>
      <c r="BA307" s="120"/>
      <c r="BB307" s="120"/>
      <c r="BC307" s="120"/>
      <c r="BD307" s="120"/>
      <c r="BE307" s="120"/>
      <c r="BF307" s="120"/>
      <c r="BG307" s="120"/>
      <c r="BH307" s="120"/>
      <c r="BI307" s="120"/>
      <c r="BJ307" s="120"/>
      <c r="BK307" s="120"/>
      <c r="BL307" s="120"/>
      <c r="BM307" s="120"/>
      <c r="BN307" s="120"/>
      <c r="BO307" s="120"/>
      <c r="BP307" s="120"/>
      <c r="BQ307" s="120"/>
      <c r="BR307" s="120"/>
    </row>
    <row r="308" spans="1:70" x14ac:dyDescent="0.25">
      <c r="A308" s="120"/>
      <c r="B308" s="120"/>
      <c r="C308" s="120"/>
      <c r="D308" s="120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120"/>
      <c r="AK308" s="120"/>
      <c r="AL308" s="120"/>
      <c r="AM308" s="120"/>
      <c r="AN308" s="120"/>
      <c r="AO308" s="120"/>
      <c r="AP308" s="120"/>
      <c r="AQ308" s="120"/>
      <c r="AR308" s="120"/>
      <c r="AS308" s="120"/>
      <c r="AT308" s="120"/>
      <c r="AU308" s="120"/>
      <c r="AV308" s="120"/>
      <c r="AW308" s="120"/>
      <c r="AX308" s="120"/>
      <c r="AY308" s="120"/>
      <c r="AZ308" s="120"/>
      <c r="BA308" s="120"/>
      <c r="BB308" s="120"/>
      <c r="BC308" s="120"/>
      <c r="BD308" s="120"/>
      <c r="BE308" s="120"/>
      <c r="BF308" s="120"/>
      <c r="BG308" s="120"/>
      <c r="BH308" s="120"/>
      <c r="BI308" s="120"/>
      <c r="BJ308" s="120"/>
      <c r="BK308" s="120"/>
      <c r="BL308" s="120"/>
      <c r="BM308" s="120"/>
      <c r="BN308" s="120"/>
      <c r="BO308" s="120"/>
      <c r="BP308" s="120"/>
      <c r="BQ308" s="120"/>
      <c r="BR308" s="120"/>
    </row>
    <row r="309" spans="1:70" x14ac:dyDescent="0.25">
      <c r="A309" s="120"/>
      <c r="B309" s="120"/>
      <c r="C309" s="120"/>
      <c r="D309" s="120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  <c r="AA309" s="120"/>
      <c r="AB309" s="120"/>
      <c r="AC309" s="120"/>
      <c r="AD309" s="120"/>
      <c r="AE309" s="120"/>
      <c r="AF309" s="120"/>
      <c r="AG309" s="120"/>
      <c r="AH309" s="120"/>
      <c r="AI309" s="120"/>
      <c r="AJ309" s="120"/>
      <c r="AK309" s="120"/>
      <c r="AL309" s="120"/>
      <c r="AM309" s="120"/>
      <c r="AN309" s="120"/>
      <c r="AO309" s="120"/>
      <c r="AP309" s="120"/>
      <c r="AQ309" s="120"/>
      <c r="AR309" s="120"/>
      <c r="AS309" s="120"/>
      <c r="AT309" s="120"/>
      <c r="AU309" s="120"/>
      <c r="AV309" s="120"/>
      <c r="AW309" s="120"/>
      <c r="AX309" s="120"/>
      <c r="AY309" s="120"/>
      <c r="AZ309" s="120"/>
      <c r="BA309" s="120"/>
      <c r="BB309" s="120"/>
      <c r="BC309" s="120"/>
      <c r="BD309" s="120"/>
      <c r="BE309" s="120"/>
      <c r="BF309" s="120"/>
      <c r="BG309" s="120"/>
      <c r="BH309" s="120"/>
      <c r="BI309" s="120"/>
      <c r="BJ309" s="120"/>
      <c r="BK309" s="120"/>
      <c r="BL309" s="120"/>
      <c r="BM309" s="120"/>
      <c r="BN309" s="120"/>
      <c r="BO309" s="120"/>
      <c r="BP309" s="120"/>
      <c r="BQ309" s="120"/>
      <c r="BR309" s="120"/>
    </row>
    <row r="310" spans="1:70" x14ac:dyDescent="0.25">
      <c r="A310" s="120"/>
      <c r="B310" s="120"/>
      <c r="C310" s="120"/>
      <c r="D310" s="120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  <c r="AA310" s="120"/>
      <c r="AB310" s="120"/>
      <c r="AC310" s="120"/>
      <c r="AD310" s="120"/>
      <c r="AE310" s="120"/>
      <c r="AF310" s="120"/>
      <c r="AG310" s="120"/>
      <c r="AH310" s="120"/>
      <c r="AI310" s="120"/>
      <c r="AJ310" s="120"/>
      <c r="AK310" s="120"/>
      <c r="AL310" s="120"/>
      <c r="AM310" s="120"/>
      <c r="AN310" s="120"/>
      <c r="AO310" s="120"/>
      <c r="AP310" s="120"/>
      <c r="AQ310" s="120"/>
      <c r="AR310" s="120"/>
      <c r="AS310" s="120"/>
      <c r="AT310" s="120"/>
      <c r="AU310" s="120"/>
      <c r="AV310" s="120"/>
      <c r="AW310" s="120"/>
      <c r="AX310" s="120"/>
      <c r="AY310" s="120"/>
      <c r="AZ310" s="120"/>
      <c r="BA310" s="120"/>
      <c r="BB310" s="120"/>
      <c r="BC310" s="120"/>
      <c r="BD310" s="120"/>
      <c r="BE310" s="120"/>
      <c r="BF310" s="120"/>
      <c r="BG310" s="120"/>
      <c r="BH310" s="120"/>
      <c r="BI310" s="120"/>
      <c r="BJ310" s="120"/>
      <c r="BK310" s="120"/>
      <c r="BL310" s="120"/>
      <c r="BM310" s="120"/>
      <c r="BN310" s="120"/>
      <c r="BO310" s="120"/>
      <c r="BP310" s="120"/>
      <c r="BQ310" s="120"/>
      <c r="BR310" s="120"/>
    </row>
    <row r="311" spans="1:70" x14ac:dyDescent="0.25">
      <c r="A311" s="120"/>
      <c r="B311" s="120"/>
      <c r="C311" s="120"/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120"/>
      <c r="AK311" s="120"/>
      <c r="AL311" s="120"/>
      <c r="AM311" s="120"/>
      <c r="AN311" s="120"/>
      <c r="AO311" s="120"/>
      <c r="AP311" s="120"/>
      <c r="AQ311" s="120"/>
      <c r="AR311" s="120"/>
      <c r="AS311" s="120"/>
      <c r="AT311" s="120"/>
      <c r="AU311" s="120"/>
      <c r="AV311" s="120"/>
      <c r="AW311" s="120"/>
      <c r="AX311" s="120"/>
      <c r="AY311" s="120"/>
      <c r="AZ311" s="120"/>
      <c r="BA311" s="120"/>
      <c r="BB311" s="120"/>
      <c r="BC311" s="120"/>
      <c r="BD311" s="120"/>
      <c r="BE311" s="120"/>
      <c r="BF311" s="120"/>
      <c r="BG311" s="120"/>
      <c r="BH311" s="120"/>
      <c r="BI311" s="120"/>
      <c r="BJ311" s="120"/>
      <c r="BK311" s="120"/>
      <c r="BL311" s="120"/>
      <c r="BM311" s="120"/>
      <c r="BN311" s="120"/>
      <c r="BO311" s="120"/>
      <c r="BP311" s="120"/>
      <c r="BQ311" s="120"/>
      <c r="BR311" s="120"/>
    </row>
    <row r="312" spans="1:70" x14ac:dyDescent="0.25">
      <c r="A312" s="120"/>
      <c r="B312" s="120"/>
      <c r="C312" s="120"/>
      <c r="D312" s="120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120"/>
      <c r="AR312" s="120"/>
      <c r="AS312" s="120"/>
      <c r="AT312" s="120"/>
      <c r="AU312" s="120"/>
      <c r="AV312" s="120"/>
      <c r="AW312" s="120"/>
      <c r="AX312" s="120"/>
      <c r="AY312" s="120"/>
      <c r="AZ312" s="120"/>
      <c r="BA312" s="120"/>
      <c r="BB312" s="120"/>
      <c r="BC312" s="120"/>
      <c r="BD312" s="120"/>
      <c r="BE312" s="120"/>
      <c r="BF312" s="120"/>
      <c r="BG312" s="120"/>
      <c r="BH312" s="120"/>
      <c r="BI312" s="120"/>
      <c r="BJ312" s="120"/>
      <c r="BK312" s="120"/>
      <c r="BL312" s="120"/>
      <c r="BM312" s="120"/>
      <c r="BN312" s="120"/>
      <c r="BO312" s="120"/>
      <c r="BP312" s="120"/>
      <c r="BQ312" s="120"/>
      <c r="BR312" s="120"/>
    </row>
    <row r="313" spans="1:70" x14ac:dyDescent="0.25">
      <c r="A313" s="120"/>
      <c r="B313" s="120"/>
      <c r="C313" s="120"/>
      <c r="D313" s="120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120"/>
      <c r="AR313" s="120"/>
      <c r="AS313" s="120"/>
      <c r="AT313" s="120"/>
      <c r="AU313" s="120"/>
      <c r="AV313" s="120"/>
      <c r="AW313" s="120"/>
      <c r="AX313" s="120"/>
      <c r="AY313" s="120"/>
      <c r="AZ313" s="120"/>
      <c r="BA313" s="120"/>
      <c r="BB313" s="120"/>
      <c r="BC313" s="120"/>
      <c r="BD313" s="120"/>
      <c r="BE313" s="120"/>
      <c r="BF313" s="120"/>
      <c r="BG313" s="120"/>
      <c r="BH313" s="120"/>
      <c r="BI313" s="120"/>
      <c r="BJ313" s="120"/>
      <c r="BK313" s="120"/>
      <c r="BL313" s="120"/>
      <c r="BM313" s="120"/>
      <c r="BN313" s="120"/>
      <c r="BO313" s="120"/>
      <c r="BP313" s="120"/>
      <c r="BQ313" s="120"/>
      <c r="BR313" s="120"/>
    </row>
    <row r="314" spans="1:70" x14ac:dyDescent="0.25">
      <c r="A314" s="120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120"/>
      <c r="AK314" s="120"/>
      <c r="AL314" s="120"/>
      <c r="AM314" s="120"/>
      <c r="AN314" s="120"/>
      <c r="AO314" s="120"/>
      <c r="AP314" s="120"/>
      <c r="AQ314" s="120"/>
      <c r="AR314" s="120"/>
      <c r="AS314" s="120"/>
      <c r="AT314" s="120"/>
      <c r="AU314" s="120"/>
      <c r="AV314" s="120"/>
      <c r="AW314" s="120"/>
      <c r="AX314" s="120"/>
      <c r="AY314" s="120"/>
      <c r="AZ314" s="120"/>
      <c r="BA314" s="120"/>
      <c r="BB314" s="120"/>
      <c r="BC314" s="120"/>
      <c r="BD314" s="120"/>
      <c r="BE314" s="120"/>
      <c r="BF314" s="120"/>
      <c r="BG314" s="120"/>
      <c r="BH314" s="120"/>
      <c r="BI314" s="120"/>
      <c r="BJ314" s="120"/>
      <c r="BK314" s="120"/>
      <c r="BL314" s="120"/>
      <c r="BM314" s="120"/>
      <c r="BN314" s="120"/>
      <c r="BO314" s="120"/>
      <c r="BP314" s="120"/>
      <c r="BQ314" s="120"/>
      <c r="BR314" s="120"/>
    </row>
    <row r="315" spans="1:70" x14ac:dyDescent="0.25">
      <c r="A315" s="120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  <c r="AA315" s="120"/>
      <c r="AB315" s="120"/>
      <c r="AC315" s="120"/>
      <c r="AD315" s="120"/>
      <c r="AE315" s="120"/>
      <c r="AF315" s="120"/>
      <c r="AG315" s="120"/>
      <c r="AH315" s="120"/>
      <c r="AI315" s="120"/>
      <c r="AJ315" s="120"/>
      <c r="AK315" s="120"/>
      <c r="AL315" s="120"/>
      <c r="AM315" s="120"/>
      <c r="AN315" s="120"/>
      <c r="AO315" s="120"/>
      <c r="AP315" s="120"/>
      <c r="AQ315" s="120"/>
      <c r="AR315" s="120"/>
      <c r="AS315" s="120"/>
      <c r="AT315" s="120"/>
      <c r="AU315" s="120"/>
      <c r="AV315" s="120"/>
      <c r="AW315" s="120"/>
      <c r="AX315" s="120"/>
      <c r="AY315" s="120"/>
      <c r="AZ315" s="120"/>
      <c r="BA315" s="120"/>
      <c r="BB315" s="120"/>
      <c r="BC315" s="120"/>
      <c r="BD315" s="120"/>
      <c r="BE315" s="120"/>
      <c r="BF315" s="120"/>
      <c r="BG315" s="120"/>
      <c r="BH315" s="120"/>
      <c r="BI315" s="120"/>
      <c r="BJ315" s="120"/>
      <c r="BK315" s="120"/>
      <c r="BL315" s="120"/>
      <c r="BM315" s="120"/>
      <c r="BN315" s="120"/>
      <c r="BO315" s="120"/>
      <c r="BP315" s="120"/>
      <c r="BQ315" s="120"/>
      <c r="BR315" s="120"/>
    </row>
    <row r="316" spans="1:70" x14ac:dyDescent="0.25">
      <c r="A316" s="120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120"/>
      <c r="AR316" s="120"/>
      <c r="AS316" s="120"/>
      <c r="AT316" s="120"/>
      <c r="AU316" s="120"/>
      <c r="AV316" s="120"/>
      <c r="AW316" s="120"/>
      <c r="AX316" s="120"/>
      <c r="AY316" s="120"/>
      <c r="AZ316" s="120"/>
      <c r="BA316" s="120"/>
      <c r="BB316" s="120"/>
      <c r="BC316" s="120"/>
      <c r="BD316" s="120"/>
      <c r="BE316" s="120"/>
      <c r="BF316" s="120"/>
      <c r="BG316" s="120"/>
      <c r="BH316" s="120"/>
      <c r="BI316" s="120"/>
      <c r="BJ316" s="120"/>
      <c r="BK316" s="120"/>
      <c r="BL316" s="120"/>
      <c r="BM316" s="120"/>
      <c r="BN316" s="120"/>
      <c r="BO316" s="120"/>
      <c r="BP316" s="120"/>
      <c r="BQ316" s="120"/>
      <c r="BR316" s="120"/>
    </row>
    <row r="317" spans="1:70" x14ac:dyDescent="0.25">
      <c r="A317" s="120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120"/>
      <c r="AR317" s="120"/>
      <c r="AS317" s="120"/>
      <c r="AT317" s="120"/>
      <c r="AU317" s="120"/>
      <c r="AV317" s="120"/>
      <c r="AW317" s="120"/>
      <c r="AX317" s="120"/>
      <c r="AY317" s="120"/>
      <c r="AZ317" s="120"/>
      <c r="BA317" s="120"/>
      <c r="BB317" s="120"/>
      <c r="BC317" s="120"/>
      <c r="BD317" s="120"/>
      <c r="BE317" s="120"/>
      <c r="BF317" s="120"/>
      <c r="BG317" s="120"/>
      <c r="BH317" s="120"/>
      <c r="BI317" s="120"/>
      <c r="BJ317" s="120"/>
      <c r="BK317" s="120"/>
      <c r="BL317" s="120"/>
      <c r="BM317" s="120"/>
      <c r="BN317" s="120"/>
      <c r="BO317" s="120"/>
      <c r="BP317" s="120"/>
      <c r="BQ317" s="120"/>
      <c r="BR317" s="120"/>
    </row>
    <row r="318" spans="1:70" x14ac:dyDescent="0.25">
      <c r="A318" s="120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120"/>
      <c r="AK318" s="120"/>
      <c r="AL318" s="120"/>
      <c r="AM318" s="120"/>
      <c r="AN318" s="120"/>
      <c r="AO318" s="120"/>
      <c r="AP318" s="120"/>
      <c r="AQ318" s="120"/>
      <c r="AR318" s="120"/>
      <c r="AS318" s="120"/>
      <c r="AT318" s="120"/>
      <c r="AU318" s="120"/>
      <c r="AV318" s="120"/>
      <c r="AW318" s="120"/>
      <c r="AX318" s="120"/>
      <c r="AY318" s="120"/>
      <c r="AZ318" s="120"/>
      <c r="BA318" s="120"/>
      <c r="BB318" s="120"/>
      <c r="BC318" s="120"/>
      <c r="BD318" s="120"/>
      <c r="BE318" s="120"/>
      <c r="BF318" s="120"/>
      <c r="BG318" s="120"/>
      <c r="BH318" s="120"/>
      <c r="BI318" s="120"/>
      <c r="BJ318" s="120"/>
      <c r="BK318" s="120"/>
      <c r="BL318" s="120"/>
      <c r="BM318" s="120"/>
      <c r="BN318" s="120"/>
      <c r="BO318" s="120"/>
      <c r="BP318" s="120"/>
      <c r="BQ318" s="120"/>
      <c r="BR318" s="120"/>
    </row>
    <row r="319" spans="1:70" x14ac:dyDescent="0.25">
      <c r="A319" s="120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  <c r="AA319" s="120"/>
      <c r="AB319" s="120"/>
      <c r="AC319" s="120"/>
      <c r="AD319" s="120"/>
      <c r="AE319" s="120"/>
      <c r="AF319" s="120"/>
      <c r="AG319" s="120"/>
      <c r="AH319" s="120"/>
      <c r="AI319" s="120"/>
      <c r="AJ319" s="120"/>
      <c r="AK319" s="120"/>
      <c r="AL319" s="120"/>
      <c r="AM319" s="120"/>
      <c r="AN319" s="120"/>
      <c r="AO319" s="120"/>
      <c r="AP319" s="120"/>
      <c r="AQ319" s="120"/>
      <c r="AR319" s="120"/>
      <c r="AS319" s="120"/>
      <c r="AT319" s="120"/>
      <c r="AU319" s="120"/>
      <c r="AV319" s="120"/>
      <c r="AW319" s="120"/>
      <c r="AX319" s="120"/>
      <c r="AY319" s="120"/>
      <c r="AZ319" s="120"/>
      <c r="BA319" s="120"/>
      <c r="BB319" s="120"/>
      <c r="BC319" s="120"/>
      <c r="BD319" s="120"/>
      <c r="BE319" s="120"/>
      <c r="BF319" s="120"/>
      <c r="BG319" s="120"/>
      <c r="BH319" s="120"/>
      <c r="BI319" s="120"/>
      <c r="BJ319" s="120"/>
      <c r="BK319" s="120"/>
      <c r="BL319" s="120"/>
      <c r="BM319" s="120"/>
      <c r="BN319" s="120"/>
      <c r="BO319" s="120"/>
      <c r="BP319" s="120"/>
      <c r="BQ319" s="120"/>
      <c r="BR319" s="120"/>
    </row>
    <row r="320" spans="1:70" x14ac:dyDescent="0.25">
      <c r="A320" s="120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  <c r="AA320" s="120"/>
      <c r="AB320" s="120"/>
      <c r="AC320" s="120"/>
      <c r="AD320" s="120"/>
      <c r="AE320" s="120"/>
      <c r="AF320" s="120"/>
      <c r="AG320" s="120"/>
      <c r="AH320" s="120"/>
      <c r="AI320" s="120"/>
      <c r="AJ320" s="120"/>
      <c r="AK320" s="120"/>
      <c r="AL320" s="120"/>
      <c r="AM320" s="120"/>
      <c r="AN320" s="120"/>
      <c r="AO320" s="120"/>
      <c r="AP320" s="120"/>
      <c r="AQ320" s="120"/>
      <c r="AR320" s="120"/>
      <c r="AS320" s="120"/>
      <c r="AT320" s="120"/>
      <c r="AU320" s="120"/>
      <c r="AV320" s="120"/>
      <c r="AW320" s="120"/>
      <c r="AX320" s="120"/>
      <c r="AY320" s="120"/>
      <c r="AZ320" s="120"/>
      <c r="BA320" s="120"/>
      <c r="BB320" s="120"/>
      <c r="BC320" s="120"/>
      <c r="BD320" s="120"/>
      <c r="BE320" s="120"/>
      <c r="BF320" s="120"/>
      <c r="BG320" s="120"/>
      <c r="BH320" s="120"/>
      <c r="BI320" s="120"/>
      <c r="BJ320" s="120"/>
      <c r="BK320" s="120"/>
      <c r="BL320" s="120"/>
      <c r="BM320" s="120"/>
      <c r="BN320" s="120"/>
      <c r="BO320" s="120"/>
      <c r="BP320" s="120"/>
      <c r="BQ320" s="120"/>
      <c r="BR320" s="120"/>
    </row>
    <row r="321" spans="1:70" x14ac:dyDescent="0.25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120"/>
      <c r="AK321" s="120"/>
      <c r="AL321" s="120"/>
      <c r="AM321" s="120"/>
      <c r="AN321" s="120"/>
      <c r="AO321" s="120"/>
      <c r="AP321" s="120"/>
      <c r="AQ321" s="120"/>
      <c r="AR321" s="120"/>
      <c r="AS321" s="120"/>
      <c r="AT321" s="120"/>
      <c r="AU321" s="120"/>
      <c r="AV321" s="120"/>
      <c r="AW321" s="120"/>
      <c r="AX321" s="120"/>
      <c r="AY321" s="120"/>
      <c r="AZ321" s="120"/>
      <c r="BA321" s="120"/>
      <c r="BB321" s="120"/>
      <c r="BC321" s="120"/>
      <c r="BD321" s="120"/>
      <c r="BE321" s="120"/>
      <c r="BF321" s="120"/>
      <c r="BG321" s="120"/>
      <c r="BH321" s="120"/>
      <c r="BI321" s="120"/>
      <c r="BJ321" s="120"/>
      <c r="BK321" s="120"/>
      <c r="BL321" s="120"/>
      <c r="BM321" s="120"/>
      <c r="BN321" s="120"/>
      <c r="BO321" s="120"/>
      <c r="BP321" s="120"/>
      <c r="BQ321" s="120"/>
      <c r="BR321" s="120"/>
    </row>
    <row r="322" spans="1:70" x14ac:dyDescent="0.25">
      <c r="A322" s="120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120"/>
      <c r="AK322" s="120"/>
      <c r="AL322" s="120"/>
      <c r="AM322" s="120"/>
      <c r="AN322" s="120"/>
      <c r="AO322" s="120"/>
      <c r="AP322" s="120"/>
      <c r="AQ322" s="120"/>
      <c r="AR322" s="120"/>
      <c r="AS322" s="120"/>
      <c r="AT322" s="120"/>
      <c r="AU322" s="120"/>
      <c r="AV322" s="120"/>
      <c r="AW322" s="120"/>
      <c r="AX322" s="120"/>
      <c r="AY322" s="120"/>
      <c r="AZ322" s="120"/>
      <c r="BA322" s="120"/>
      <c r="BB322" s="120"/>
      <c r="BC322" s="120"/>
      <c r="BD322" s="120"/>
      <c r="BE322" s="120"/>
      <c r="BF322" s="120"/>
      <c r="BG322" s="120"/>
      <c r="BH322" s="120"/>
      <c r="BI322" s="120"/>
      <c r="BJ322" s="120"/>
      <c r="BK322" s="120"/>
      <c r="BL322" s="120"/>
      <c r="BM322" s="120"/>
      <c r="BN322" s="120"/>
      <c r="BO322" s="120"/>
      <c r="BP322" s="120"/>
      <c r="BQ322" s="120"/>
      <c r="BR322" s="120"/>
    </row>
    <row r="323" spans="1:70" x14ac:dyDescent="0.25">
      <c r="A323" s="120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120"/>
      <c r="AK323" s="120"/>
      <c r="AL323" s="120"/>
      <c r="AM323" s="120"/>
      <c r="AN323" s="120"/>
      <c r="AO323" s="120"/>
      <c r="AP323" s="120"/>
      <c r="AQ323" s="120"/>
      <c r="AR323" s="120"/>
      <c r="AS323" s="120"/>
      <c r="AT323" s="120"/>
      <c r="AU323" s="120"/>
      <c r="AV323" s="120"/>
      <c r="AW323" s="120"/>
      <c r="AX323" s="120"/>
      <c r="AY323" s="120"/>
      <c r="AZ323" s="120"/>
      <c r="BA323" s="120"/>
      <c r="BB323" s="120"/>
      <c r="BC323" s="120"/>
      <c r="BD323" s="120"/>
      <c r="BE323" s="120"/>
      <c r="BF323" s="120"/>
      <c r="BG323" s="120"/>
      <c r="BH323" s="120"/>
      <c r="BI323" s="120"/>
      <c r="BJ323" s="120"/>
      <c r="BK323" s="120"/>
      <c r="BL323" s="120"/>
      <c r="BM323" s="120"/>
      <c r="BN323" s="120"/>
      <c r="BO323" s="120"/>
      <c r="BP323" s="120"/>
      <c r="BQ323" s="120"/>
      <c r="BR323" s="120"/>
    </row>
    <row r="324" spans="1:70" x14ac:dyDescent="0.25">
      <c r="A324" s="120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120"/>
      <c r="AK324" s="120"/>
      <c r="AL324" s="120"/>
      <c r="AM324" s="120"/>
      <c r="AN324" s="120"/>
      <c r="AO324" s="120"/>
      <c r="AP324" s="120"/>
      <c r="AQ324" s="120"/>
      <c r="AR324" s="120"/>
      <c r="AS324" s="120"/>
      <c r="AT324" s="120"/>
      <c r="AU324" s="120"/>
      <c r="AV324" s="120"/>
      <c r="AW324" s="120"/>
      <c r="AX324" s="120"/>
      <c r="AY324" s="120"/>
      <c r="AZ324" s="120"/>
      <c r="BA324" s="120"/>
      <c r="BB324" s="120"/>
      <c r="BC324" s="120"/>
      <c r="BD324" s="120"/>
      <c r="BE324" s="120"/>
      <c r="BF324" s="120"/>
      <c r="BG324" s="120"/>
      <c r="BH324" s="120"/>
      <c r="BI324" s="120"/>
      <c r="BJ324" s="120"/>
      <c r="BK324" s="120"/>
      <c r="BL324" s="120"/>
      <c r="BM324" s="120"/>
      <c r="BN324" s="120"/>
      <c r="BO324" s="120"/>
      <c r="BP324" s="120"/>
      <c r="BQ324" s="120"/>
      <c r="BR324" s="120"/>
    </row>
    <row r="325" spans="1:70" x14ac:dyDescent="0.25">
      <c r="A325" s="120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  <c r="AA325" s="120"/>
      <c r="AB325" s="120"/>
      <c r="AC325" s="120"/>
      <c r="AD325" s="120"/>
      <c r="AE325" s="120"/>
      <c r="AF325" s="120"/>
      <c r="AG325" s="120"/>
      <c r="AH325" s="120"/>
      <c r="AI325" s="120"/>
      <c r="AJ325" s="120"/>
      <c r="AK325" s="120"/>
      <c r="AL325" s="120"/>
      <c r="AM325" s="120"/>
      <c r="AN325" s="120"/>
      <c r="AO325" s="120"/>
      <c r="AP325" s="120"/>
      <c r="AQ325" s="120"/>
      <c r="AR325" s="120"/>
      <c r="AS325" s="120"/>
      <c r="AT325" s="120"/>
      <c r="AU325" s="120"/>
      <c r="AV325" s="120"/>
      <c r="AW325" s="120"/>
      <c r="AX325" s="120"/>
      <c r="AY325" s="120"/>
      <c r="AZ325" s="120"/>
      <c r="BA325" s="120"/>
      <c r="BB325" s="120"/>
      <c r="BC325" s="120"/>
      <c r="BD325" s="120"/>
      <c r="BE325" s="120"/>
      <c r="BF325" s="120"/>
      <c r="BG325" s="120"/>
      <c r="BH325" s="120"/>
      <c r="BI325" s="120"/>
      <c r="BJ325" s="120"/>
      <c r="BK325" s="120"/>
      <c r="BL325" s="120"/>
      <c r="BM325" s="120"/>
      <c r="BN325" s="120"/>
      <c r="BO325" s="120"/>
      <c r="BP325" s="120"/>
      <c r="BQ325" s="120"/>
      <c r="BR325" s="120"/>
    </row>
  </sheetData>
  <mergeCells count="26">
    <mergeCell ref="A1:BQ4"/>
    <mergeCell ref="BS77:BU77"/>
    <mergeCell ref="BV77:CA77"/>
    <mergeCell ref="A79:BQ79"/>
    <mergeCell ref="A86:E86"/>
    <mergeCell ref="F86:I86"/>
    <mergeCell ref="K86:O86"/>
    <mergeCell ref="P86:S86"/>
    <mergeCell ref="U86:Y86"/>
    <mergeCell ref="Z86:AC86"/>
    <mergeCell ref="BI86:BM86"/>
    <mergeCell ref="BN86:BQ86"/>
    <mergeCell ref="AE86:AI86"/>
    <mergeCell ref="AJ86:AM86"/>
    <mergeCell ref="AO86:AS86"/>
    <mergeCell ref="AT86:AW86"/>
    <mergeCell ref="BD86:BG86"/>
    <mergeCell ref="A80:BQ80"/>
    <mergeCell ref="A5:BQ5"/>
    <mergeCell ref="A81:BQ81"/>
    <mergeCell ref="A82:BQ82"/>
    <mergeCell ref="A83:BQ83"/>
    <mergeCell ref="A84:BQ84"/>
    <mergeCell ref="A85:BQ85"/>
    <mergeCell ref="A7:BQ77"/>
    <mergeCell ref="AY86:BC86"/>
  </mergeCells>
  <printOptions horizontalCentered="1" verticalCentered="1"/>
  <pageMargins left="0.23622047244094491" right="0.23622047244094491" top="0.23622047244094491" bottom="0.23622047244094491" header="0.23622047244094491" footer="0.23622047244094491"/>
  <pageSetup paperSize="9" scale="8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8</vt:i4>
      </vt:variant>
    </vt:vector>
  </HeadingPairs>
  <TitlesOfParts>
    <vt:vector size="17" baseType="lpstr">
      <vt:lpstr>Школа1</vt:lpstr>
      <vt:lpstr>Школа2</vt:lpstr>
      <vt:lpstr>Детский сад1</vt:lpstr>
      <vt:lpstr>Детский сад2</vt:lpstr>
      <vt:lpstr>Столы</vt:lpstr>
      <vt:lpstr>Тумбы</vt:lpstr>
      <vt:lpstr>Шкафы</vt:lpstr>
      <vt:lpstr>Библиотека</vt:lpstr>
      <vt:lpstr>Цвета</vt:lpstr>
      <vt:lpstr>Библиотека!Область_печати</vt:lpstr>
      <vt:lpstr>'Детский сад1'!Область_печати</vt:lpstr>
      <vt:lpstr>'Детский сад2'!Область_печати</vt:lpstr>
      <vt:lpstr>Столы!Область_печати</vt:lpstr>
      <vt:lpstr>Тумбы!Область_печати</vt:lpstr>
      <vt:lpstr>Цвета!Область_печати</vt:lpstr>
      <vt:lpstr>Шкафы!Область_печати</vt:lpstr>
      <vt:lpstr>Школа1!Область_печати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2022-02-17T09:31:38Z</dcterms:modified>
</cp:coreProperties>
</file>