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60" windowWidth="19440" windowHeight="11700"/>
  </bookViews>
  <sheets>
    <sheet name="Оглавление" sheetId="8" r:id="rId1"/>
    <sheet name="Сэндвич (430 0,5)" sheetId="1" r:id="rId2"/>
    <sheet name="Технический лист" sheetId="9" r:id="rId3"/>
    <sheet name="Сэндвич (430 0,8)" sheetId="2" r:id="rId4"/>
    <sheet name="Сэндвич 304 (0,5)" sheetId="3" r:id="rId5"/>
    <sheet name="Сэндвич 304 (0,8)" sheetId="4" r:id="rId6"/>
    <sheet name="Сэндвич 321 (0,5)" sheetId="5" r:id="rId7"/>
    <sheet name="Сэндвич 321 (0,8)" sheetId="6" r:id="rId8"/>
    <sheet name="Сэндвич 430 (0,5)50" sheetId="14" r:id="rId9"/>
    <sheet name="Сэндвич 430 (0,8)50" sheetId="15" r:id="rId10"/>
    <sheet name="Сэндвич 304 (0,5)50" sheetId="16" r:id="rId11"/>
    <sheet name="Сэндвич 304 (0,8)50" sheetId="17" r:id="rId12"/>
    <sheet name="Сэндвич 321 (0,5)50" sheetId="18" r:id="rId13"/>
    <sheet name="Сэндвич 321 (0,8)50" sheetId="19" r:id="rId14"/>
    <sheet name="Сэндвич оц (0,5)35" sheetId="7" r:id="rId15"/>
    <sheet name="Моно 430 (0,5-0,8)" sheetId="11" r:id="rId16"/>
    <sheet name="Моно 304 (0,5-0,8)" sheetId="10" r:id="rId17"/>
    <sheet name="Моно 321 (0,5-0,8)" sheetId="12" r:id="rId18"/>
    <sheet name="Моно оц (0,5-0,7)" sheetId="13" r:id="rId19"/>
    <sheet name="Моно 430 (1-1,5)" sheetId="24" r:id="rId20"/>
    <sheet name="Моно 304 (1-1,5)" sheetId="27" r:id="rId21"/>
    <sheet name="Моно 321 (1-1,5)" sheetId="28" r:id="rId22"/>
    <sheet name="Сэндвич оц (0,5)50" sheetId="31" r:id="rId23"/>
    <sheet name="Сэндвич 321 (1)50" sheetId="32" r:id="rId24"/>
    <sheet name="Сэндвич 304 (1)50" sheetId="33" r:id="rId25"/>
    <sheet name="Сэндвич 321 (1)35" sheetId="34" r:id="rId26"/>
    <sheet name="Сэндвич 304 (1)35" sheetId="35" r:id="rId27"/>
  </sheets>
  <definedNames>
    <definedName name="_xlnm.Print_Area" localSheetId="16">'Моно 304 (0,5-0,8)'!$A$1:$P$36</definedName>
    <definedName name="_xlnm.Print_Area" localSheetId="17">'Моно 321 (0,5-0,8)'!$A$1:$P$34</definedName>
    <definedName name="_xlnm.Print_Area" localSheetId="15">'Моно 430 (0,5-0,8)'!$A$1:$P$39</definedName>
    <definedName name="_xlnm.Print_Area" localSheetId="18">'Моно оц (0,5-0,7)'!$A$1:$P$38</definedName>
    <definedName name="_xlnm.Print_Area" localSheetId="1">'Сэндвич (430 0,5)'!$A$1:$P$32</definedName>
    <definedName name="_xlnm.Print_Area" localSheetId="3">'Сэндвич (430 0,8)'!$A$1:$P$33</definedName>
    <definedName name="_xlnm.Print_Area" localSheetId="4">'Сэндвич 304 (0,5)'!$A$1:$P$33</definedName>
    <definedName name="_xlnm.Print_Area" localSheetId="10">'Сэндвич 304 (0,5)50'!$A$1:$P$33</definedName>
    <definedName name="_xlnm.Print_Area" localSheetId="5">'Сэндвич 304 (0,8)'!$A$1:$P$32</definedName>
    <definedName name="_xlnm.Print_Area" localSheetId="11">'Сэндвич 304 (0,8)50'!$A$1:$P$33</definedName>
    <definedName name="_xlnm.Print_Area" localSheetId="6">'Сэндвич 321 (0,5)'!$A$1:$P$33</definedName>
    <definedName name="_xlnm.Print_Area" localSheetId="12">'Сэндвич 321 (0,5)50'!$A$1:$P$32</definedName>
    <definedName name="_xlnm.Print_Area" localSheetId="7">'Сэндвич 321 (0,8)'!$A$1:$P$33</definedName>
    <definedName name="_xlnm.Print_Area" localSheetId="13">'Сэндвич 321 (0,8)50'!$A$1:$P$33</definedName>
    <definedName name="_xlnm.Print_Area" localSheetId="8">'Сэндвич 430 (0,5)50'!$A$1:$P$33</definedName>
    <definedName name="_xlnm.Print_Area" localSheetId="9">'Сэндвич 430 (0,8)50'!$A$1:$P$32</definedName>
    <definedName name="_xlnm.Print_Area" localSheetId="14">'Сэндвич оц (0,5)35'!$A$1:$P$32</definedName>
    <definedName name="Сендвич_дымоходы___________оц_0_5_оцинк_0_5_____________оц_0_5_430_0_5">Оглавление!$W$20</definedName>
  </definedNames>
  <calcPr calcId="125725" refMode="R1C1"/>
</workbook>
</file>

<file path=xl/calcChain.xml><?xml version="1.0" encoding="utf-8"?>
<calcChain xmlns="http://schemas.openxmlformats.org/spreadsheetml/2006/main">
  <c r="C22" i="28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B22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B21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B19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B17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B12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B11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B9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B7"/>
  <c r="C22" i="27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B22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B21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B19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B17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B12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B11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B9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B7"/>
  <c r="C26" i="24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B26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B24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B21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B19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B14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B13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B10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B8"/>
  <c r="C35" i="13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B35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B33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B30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B28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B26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B15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B12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B10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B8"/>
  <c r="C32" i="1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B32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B30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B27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B25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B23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B17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B15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B12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B10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B8"/>
  <c r="C32" i="10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B32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B30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B27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B25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B23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B17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B15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B12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B10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B8"/>
  <c r="C35" i="11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B35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B33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B30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B28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B2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B17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B15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B12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B10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B8"/>
  <c r="C29" i="35"/>
  <c r="D29"/>
  <c r="E29"/>
  <c r="F29"/>
  <c r="G29"/>
  <c r="H29"/>
  <c r="I29"/>
  <c r="J29"/>
  <c r="K29"/>
  <c r="L29"/>
  <c r="M29"/>
  <c r="N29"/>
  <c r="O29"/>
  <c r="P29"/>
  <c r="Q29"/>
  <c r="R29"/>
  <c r="S29"/>
  <c r="B29"/>
  <c r="C28"/>
  <c r="D28"/>
  <c r="E28"/>
  <c r="F28"/>
  <c r="G28"/>
  <c r="H28"/>
  <c r="I28"/>
  <c r="J28"/>
  <c r="K28"/>
  <c r="L28"/>
  <c r="M28"/>
  <c r="N28"/>
  <c r="O28"/>
  <c r="P28"/>
  <c r="Q28"/>
  <c r="R28"/>
  <c r="S28"/>
  <c r="B28"/>
  <c r="C26"/>
  <c r="D26"/>
  <c r="E26"/>
  <c r="F26"/>
  <c r="G26"/>
  <c r="H26"/>
  <c r="I26"/>
  <c r="J26"/>
  <c r="K26"/>
  <c r="L26"/>
  <c r="M26"/>
  <c r="N26"/>
  <c r="O26"/>
  <c r="P26"/>
  <c r="Q26"/>
  <c r="R26"/>
  <c r="S26"/>
  <c r="B26"/>
  <c r="C24"/>
  <c r="D24"/>
  <c r="E24"/>
  <c r="F24"/>
  <c r="G24"/>
  <c r="H24"/>
  <c r="I24"/>
  <c r="J24"/>
  <c r="K24"/>
  <c r="L24"/>
  <c r="M24"/>
  <c r="N24"/>
  <c r="O24"/>
  <c r="P24"/>
  <c r="Q24"/>
  <c r="R24"/>
  <c r="S24"/>
  <c r="B24"/>
  <c r="C22"/>
  <c r="D22"/>
  <c r="E22"/>
  <c r="F22"/>
  <c r="G22"/>
  <c r="H22"/>
  <c r="I22"/>
  <c r="J22"/>
  <c r="K22"/>
  <c r="L22"/>
  <c r="M22"/>
  <c r="N22"/>
  <c r="O22"/>
  <c r="P22"/>
  <c r="Q22"/>
  <c r="R22"/>
  <c r="S22"/>
  <c r="B22"/>
  <c r="C15"/>
  <c r="D15"/>
  <c r="E15"/>
  <c r="F15"/>
  <c r="G15"/>
  <c r="H15"/>
  <c r="I15"/>
  <c r="J15"/>
  <c r="K15"/>
  <c r="L15"/>
  <c r="M15"/>
  <c r="N15"/>
  <c r="O15"/>
  <c r="P15"/>
  <c r="Q15"/>
  <c r="R15"/>
  <c r="S15"/>
  <c r="B15"/>
  <c r="C14"/>
  <c r="D14"/>
  <c r="E14"/>
  <c r="F14"/>
  <c r="G14"/>
  <c r="H14"/>
  <c r="I14"/>
  <c r="J14"/>
  <c r="K14"/>
  <c r="L14"/>
  <c r="M14"/>
  <c r="N14"/>
  <c r="O14"/>
  <c r="P14"/>
  <c r="Q14"/>
  <c r="R14"/>
  <c r="S14"/>
  <c r="B14"/>
  <c r="C12"/>
  <c r="D12"/>
  <c r="E12"/>
  <c r="F12"/>
  <c r="G12"/>
  <c r="H12"/>
  <c r="I12"/>
  <c r="J12"/>
  <c r="K12"/>
  <c r="L12"/>
  <c r="M12"/>
  <c r="N12"/>
  <c r="O12"/>
  <c r="P12"/>
  <c r="Q12"/>
  <c r="R12"/>
  <c r="S12"/>
  <c r="B13"/>
  <c r="B12"/>
  <c r="C10"/>
  <c r="D10"/>
  <c r="E10"/>
  <c r="F10"/>
  <c r="G10"/>
  <c r="H10"/>
  <c r="I10"/>
  <c r="J10"/>
  <c r="K10"/>
  <c r="L10"/>
  <c r="M10"/>
  <c r="N10"/>
  <c r="O10"/>
  <c r="P10"/>
  <c r="Q10"/>
  <c r="R10"/>
  <c r="S10"/>
  <c r="B10"/>
  <c r="C8"/>
  <c r="D8"/>
  <c r="E8"/>
  <c r="F8"/>
  <c r="G8"/>
  <c r="H8"/>
  <c r="I8"/>
  <c r="J8"/>
  <c r="K8"/>
  <c r="L8"/>
  <c r="M8"/>
  <c r="N8"/>
  <c r="O8"/>
  <c r="P8"/>
  <c r="Q8"/>
  <c r="R8"/>
  <c r="S8"/>
  <c r="B8"/>
  <c r="C29" i="34"/>
  <c r="D29"/>
  <c r="E29"/>
  <c r="F29"/>
  <c r="G29"/>
  <c r="H29"/>
  <c r="I29"/>
  <c r="J29"/>
  <c r="K29"/>
  <c r="L29"/>
  <c r="M29"/>
  <c r="N29"/>
  <c r="O29"/>
  <c r="P29"/>
  <c r="Q29"/>
  <c r="R29"/>
  <c r="S29"/>
  <c r="B29"/>
  <c r="C28"/>
  <c r="D28"/>
  <c r="E28"/>
  <c r="F28"/>
  <c r="G28"/>
  <c r="H28"/>
  <c r="I28"/>
  <c r="J28"/>
  <c r="K28"/>
  <c r="L28"/>
  <c r="M28"/>
  <c r="N28"/>
  <c r="O28"/>
  <c r="P28"/>
  <c r="Q28"/>
  <c r="R28"/>
  <c r="S28"/>
  <c r="B28"/>
  <c r="C26"/>
  <c r="D26"/>
  <c r="E26"/>
  <c r="F26"/>
  <c r="G26"/>
  <c r="H26"/>
  <c r="I26"/>
  <c r="J26"/>
  <c r="K26"/>
  <c r="L26"/>
  <c r="M26"/>
  <c r="N26"/>
  <c r="O26"/>
  <c r="P26"/>
  <c r="Q26"/>
  <c r="R26"/>
  <c r="S26"/>
  <c r="B26"/>
  <c r="C24"/>
  <c r="D24"/>
  <c r="E24"/>
  <c r="F24"/>
  <c r="G24"/>
  <c r="H24"/>
  <c r="I24"/>
  <c r="J24"/>
  <c r="K24"/>
  <c r="L24"/>
  <c r="M24"/>
  <c r="N24"/>
  <c r="O24"/>
  <c r="P24"/>
  <c r="Q24"/>
  <c r="R24"/>
  <c r="S24"/>
  <c r="B24"/>
  <c r="C22"/>
  <c r="D22"/>
  <c r="E22"/>
  <c r="F22"/>
  <c r="G22"/>
  <c r="H22"/>
  <c r="I22"/>
  <c r="J22"/>
  <c r="K22"/>
  <c r="L22"/>
  <c r="M22"/>
  <c r="N22"/>
  <c r="O22"/>
  <c r="P22"/>
  <c r="Q22"/>
  <c r="R22"/>
  <c r="S22"/>
  <c r="B22"/>
  <c r="C15"/>
  <c r="D15"/>
  <c r="E15"/>
  <c r="F15"/>
  <c r="G15"/>
  <c r="H15"/>
  <c r="I15"/>
  <c r="J15"/>
  <c r="K15"/>
  <c r="L15"/>
  <c r="M15"/>
  <c r="N15"/>
  <c r="O15"/>
  <c r="P15"/>
  <c r="Q15"/>
  <c r="R15"/>
  <c r="S15"/>
  <c r="B15"/>
  <c r="C14"/>
  <c r="D14"/>
  <c r="E14"/>
  <c r="F14"/>
  <c r="G14"/>
  <c r="H14"/>
  <c r="I14"/>
  <c r="J14"/>
  <c r="K14"/>
  <c r="L14"/>
  <c r="M14"/>
  <c r="N14"/>
  <c r="O14"/>
  <c r="P14"/>
  <c r="Q14"/>
  <c r="R14"/>
  <c r="S14"/>
  <c r="B14"/>
  <c r="C12"/>
  <c r="D12"/>
  <c r="E12"/>
  <c r="F12"/>
  <c r="G12"/>
  <c r="H12"/>
  <c r="I12"/>
  <c r="J12"/>
  <c r="K12"/>
  <c r="L12"/>
  <c r="M12"/>
  <c r="N12"/>
  <c r="O12"/>
  <c r="P12"/>
  <c r="Q12"/>
  <c r="R12"/>
  <c r="S12"/>
  <c r="B12"/>
  <c r="C10"/>
  <c r="D10"/>
  <c r="E10"/>
  <c r="F10"/>
  <c r="G10"/>
  <c r="H10"/>
  <c r="I10"/>
  <c r="J10"/>
  <c r="K10"/>
  <c r="L10"/>
  <c r="M10"/>
  <c r="N10"/>
  <c r="O10"/>
  <c r="P10"/>
  <c r="Q10"/>
  <c r="R10"/>
  <c r="S10"/>
  <c r="B10"/>
  <c r="C8"/>
  <c r="D8"/>
  <c r="E8"/>
  <c r="F8"/>
  <c r="G8"/>
  <c r="H8"/>
  <c r="I8"/>
  <c r="J8"/>
  <c r="K8"/>
  <c r="L8"/>
  <c r="M8"/>
  <c r="N8"/>
  <c r="O8"/>
  <c r="P8"/>
  <c r="Q8"/>
  <c r="R8"/>
  <c r="S8"/>
  <c r="B8"/>
  <c r="C29" i="33"/>
  <c r="D29"/>
  <c r="E29"/>
  <c r="F29"/>
  <c r="G29"/>
  <c r="H29"/>
  <c r="I29"/>
  <c r="J29"/>
  <c r="K29"/>
  <c r="L29"/>
  <c r="M29"/>
  <c r="N29"/>
  <c r="O29"/>
  <c r="P29"/>
  <c r="Q29"/>
  <c r="R29"/>
  <c r="S29"/>
  <c r="B29"/>
  <c r="C28"/>
  <c r="D28"/>
  <c r="E28"/>
  <c r="F28"/>
  <c r="G28"/>
  <c r="H28"/>
  <c r="I28"/>
  <c r="J28"/>
  <c r="K28"/>
  <c r="L28"/>
  <c r="M28"/>
  <c r="N28"/>
  <c r="O28"/>
  <c r="P28"/>
  <c r="Q28"/>
  <c r="R28"/>
  <c r="S28"/>
  <c r="B28"/>
  <c r="C26"/>
  <c r="D26"/>
  <c r="E26"/>
  <c r="F26"/>
  <c r="G26"/>
  <c r="H26"/>
  <c r="I26"/>
  <c r="J26"/>
  <c r="K26"/>
  <c r="L26"/>
  <c r="M26"/>
  <c r="N26"/>
  <c r="O26"/>
  <c r="P26"/>
  <c r="Q26"/>
  <c r="R26"/>
  <c r="S26"/>
  <c r="B26"/>
  <c r="C24"/>
  <c r="D24"/>
  <c r="E24"/>
  <c r="F24"/>
  <c r="G24"/>
  <c r="H24"/>
  <c r="I24"/>
  <c r="J24"/>
  <c r="K24"/>
  <c r="L24"/>
  <c r="M24"/>
  <c r="N24"/>
  <c r="O24"/>
  <c r="P24"/>
  <c r="Q24"/>
  <c r="R24"/>
  <c r="S24"/>
  <c r="B24"/>
  <c r="C22"/>
  <c r="D22"/>
  <c r="E22"/>
  <c r="F22"/>
  <c r="G22"/>
  <c r="H22"/>
  <c r="I22"/>
  <c r="J22"/>
  <c r="K22"/>
  <c r="L22"/>
  <c r="M22"/>
  <c r="N22"/>
  <c r="O22"/>
  <c r="P22"/>
  <c r="Q22"/>
  <c r="R22"/>
  <c r="S22"/>
  <c r="B22"/>
  <c r="C15"/>
  <c r="D15"/>
  <c r="E15"/>
  <c r="F15"/>
  <c r="G15"/>
  <c r="H15"/>
  <c r="I15"/>
  <c r="J15"/>
  <c r="K15"/>
  <c r="L15"/>
  <c r="M15"/>
  <c r="N15"/>
  <c r="O15"/>
  <c r="P15"/>
  <c r="Q15"/>
  <c r="R15"/>
  <c r="S15"/>
  <c r="B15"/>
  <c r="C14"/>
  <c r="D14"/>
  <c r="E14"/>
  <c r="F14"/>
  <c r="G14"/>
  <c r="H14"/>
  <c r="I14"/>
  <c r="J14"/>
  <c r="K14"/>
  <c r="L14"/>
  <c r="M14"/>
  <c r="N14"/>
  <c r="O14"/>
  <c r="P14"/>
  <c r="Q14"/>
  <c r="R14"/>
  <c r="S14"/>
  <c r="B14"/>
  <c r="C12"/>
  <c r="D12"/>
  <c r="E12"/>
  <c r="F12"/>
  <c r="G12"/>
  <c r="H12"/>
  <c r="I12"/>
  <c r="J12"/>
  <c r="K12"/>
  <c r="L12"/>
  <c r="M12"/>
  <c r="N12"/>
  <c r="O12"/>
  <c r="P12"/>
  <c r="Q12"/>
  <c r="R12"/>
  <c r="S12"/>
  <c r="B12"/>
  <c r="C10"/>
  <c r="D10"/>
  <c r="E10"/>
  <c r="F10"/>
  <c r="G10"/>
  <c r="H10"/>
  <c r="I10"/>
  <c r="J10"/>
  <c r="K10"/>
  <c r="L10"/>
  <c r="M10"/>
  <c r="N10"/>
  <c r="O10"/>
  <c r="P10"/>
  <c r="Q10"/>
  <c r="R10"/>
  <c r="S10"/>
  <c r="B10"/>
  <c r="C8"/>
  <c r="D8"/>
  <c r="E8"/>
  <c r="F8"/>
  <c r="G8"/>
  <c r="H8"/>
  <c r="I8"/>
  <c r="J8"/>
  <c r="K8"/>
  <c r="L8"/>
  <c r="M8"/>
  <c r="N8"/>
  <c r="O8"/>
  <c r="P8"/>
  <c r="Q8"/>
  <c r="R8"/>
  <c r="S8"/>
  <c r="B8"/>
  <c r="C29" i="32"/>
  <c r="D29"/>
  <c r="E29"/>
  <c r="F29"/>
  <c r="G29"/>
  <c r="H29"/>
  <c r="I29"/>
  <c r="J29"/>
  <c r="K29"/>
  <c r="L29"/>
  <c r="M29"/>
  <c r="N29"/>
  <c r="O29"/>
  <c r="P29"/>
  <c r="Q29"/>
  <c r="R29"/>
  <c r="S29"/>
  <c r="B29"/>
  <c r="C28"/>
  <c r="D28"/>
  <c r="E28"/>
  <c r="F28"/>
  <c r="G28"/>
  <c r="H28"/>
  <c r="I28"/>
  <c r="J28"/>
  <c r="K28"/>
  <c r="L28"/>
  <c r="M28"/>
  <c r="N28"/>
  <c r="O28"/>
  <c r="P28"/>
  <c r="Q28"/>
  <c r="R28"/>
  <c r="S28"/>
  <c r="B28"/>
  <c r="C26"/>
  <c r="D26"/>
  <c r="E26"/>
  <c r="F26"/>
  <c r="G26"/>
  <c r="H26"/>
  <c r="I26"/>
  <c r="J26"/>
  <c r="K26"/>
  <c r="L26"/>
  <c r="M26"/>
  <c r="N26"/>
  <c r="O26"/>
  <c r="P26"/>
  <c r="Q26"/>
  <c r="R26"/>
  <c r="S26"/>
  <c r="B26"/>
  <c r="C24"/>
  <c r="D24"/>
  <c r="E24"/>
  <c r="F24"/>
  <c r="G24"/>
  <c r="H24"/>
  <c r="I24"/>
  <c r="J24"/>
  <c r="K24"/>
  <c r="L24"/>
  <c r="M24"/>
  <c r="N24"/>
  <c r="O24"/>
  <c r="P24"/>
  <c r="Q24"/>
  <c r="R24"/>
  <c r="S24"/>
  <c r="B24"/>
  <c r="C22"/>
  <c r="D22"/>
  <c r="E22"/>
  <c r="F22"/>
  <c r="G22"/>
  <c r="H22"/>
  <c r="I22"/>
  <c r="J22"/>
  <c r="K22"/>
  <c r="L22"/>
  <c r="M22"/>
  <c r="N22"/>
  <c r="O22"/>
  <c r="P22"/>
  <c r="Q22"/>
  <c r="R22"/>
  <c r="S22"/>
  <c r="B22"/>
  <c r="C15"/>
  <c r="D15"/>
  <c r="E15"/>
  <c r="F15"/>
  <c r="G15"/>
  <c r="H15"/>
  <c r="I15"/>
  <c r="J15"/>
  <c r="K15"/>
  <c r="L15"/>
  <c r="M15"/>
  <c r="N15"/>
  <c r="O15"/>
  <c r="P15"/>
  <c r="Q15"/>
  <c r="R15"/>
  <c r="S15"/>
  <c r="B15"/>
  <c r="C14"/>
  <c r="D14"/>
  <c r="E14"/>
  <c r="F14"/>
  <c r="G14"/>
  <c r="H14"/>
  <c r="I14"/>
  <c r="J14"/>
  <c r="K14"/>
  <c r="L14"/>
  <c r="M14"/>
  <c r="N14"/>
  <c r="O14"/>
  <c r="P14"/>
  <c r="Q14"/>
  <c r="R14"/>
  <c r="S14"/>
  <c r="B14"/>
  <c r="C12"/>
  <c r="D12"/>
  <c r="E12"/>
  <c r="F12"/>
  <c r="G12"/>
  <c r="H12"/>
  <c r="I12"/>
  <c r="J12"/>
  <c r="K12"/>
  <c r="L12"/>
  <c r="M12"/>
  <c r="N12"/>
  <c r="O12"/>
  <c r="P12"/>
  <c r="Q12"/>
  <c r="R12"/>
  <c r="S12"/>
  <c r="B12"/>
  <c r="C10"/>
  <c r="D10"/>
  <c r="E10"/>
  <c r="F10"/>
  <c r="G10"/>
  <c r="H10"/>
  <c r="I10"/>
  <c r="J10"/>
  <c r="K10"/>
  <c r="L10"/>
  <c r="M10"/>
  <c r="N10"/>
  <c r="O10"/>
  <c r="P10"/>
  <c r="Q10"/>
  <c r="R10"/>
  <c r="S10"/>
  <c r="B10"/>
  <c r="C8"/>
  <c r="D8"/>
  <c r="E8"/>
  <c r="F8"/>
  <c r="G8"/>
  <c r="H8"/>
  <c r="I8"/>
  <c r="J8"/>
  <c r="K8"/>
  <c r="L8"/>
  <c r="M8"/>
  <c r="N8"/>
  <c r="O8"/>
  <c r="P8"/>
  <c r="Q8"/>
  <c r="R8"/>
  <c r="S8"/>
  <c r="B8"/>
  <c r="C29" i="31"/>
  <c r="D29"/>
  <c r="E29"/>
  <c r="F29"/>
  <c r="G29"/>
  <c r="H29"/>
  <c r="I29"/>
  <c r="J29"/>
  <c r="K29"/>
  <c r="L29"/>
  <c r="M29"/>
  <c r="N29"/>
  <c r="O29"/>
  <c r="P29"/>
  <c r="Q29"/>
  <c r="R29"/>
  <c r="S29"/>
  <c r="B29"/>
  <c r="C28"/>
  <c r="D28"/>
  <c r="E28"/>
  <c r="F28"/>
  <c r="G28"/>
  <c r="H28"/>
  <c r="I28"/>
  <c r="J28"/>
  <c r="K28"/>
  <c r="L28"/>
  <c r="M28"/>
  <c r="N28"/>
  <c r="O28"/>
  <c r="P28"/>
  <c r="Q28"/>
  <c r="R28"/>
  <c r="S28"/>
  <c r="B28"/>
  <c r="C26"/>
  <c r="D26"/>
  <c r="E26"/>
  <c r="F26"/>
  <c r="G26"/>
  <c r="H26"/>
  <c r="I26"/>
  <c r="J26"/>
  <c r="K26"/>
  <c r="L26"/>
  <c r="M26"/>
  <c r="N26"/>
  <c r="O26"/>
  <c r="P26"/>
  <c r="Q26"/>
  <c r="R26"/>
  <c r="S26"/>
  <c r="B26"/>
  <c r="C24"/>
  <c r="D24"/>
  <c r="E24"/>
  <c r="F24"/>
  <c r="G24"/>
  <c r="H24"/>
  <c r="I24"/>
  <c r="J24"/>
  <c r="K24"/>
  <c r="L24"/>
  <c r="M24"/>
  <c r="N24"/>
  <c r="O24"/>
  <c r="P24"/>
  <c r="Q24"/>
  <c r="R24"/>
  <c r="S24"/>
  <c r="B24"/>
  <c r="C22"/>
  <c r="D22"/>
  <c r="E22"/>
  <c r="F22"/>
  <c r="G22"/>
  <c r="H22"/>
  <c r="I22"/>
  <c r="J22"/>
  <c r="K22"/>
  <c r="L22"/>
  <c r="M22"/>
  <c r="N22"/>
  <c r="O22"/>
  <c r="P22"/>
  <c r="Q22"/>
  <c r="R22"/>
  <c r="S22"/>
  <c r="B22"/>
  <c r="C15"/>
  <c r="D15"/>
  <c r="E15"/>
  <c r="F15"/>
  <c r="G15"/>
  <c r="H15"/>
  <c r="I15"/>
  <c r="J15"/>
  <c r="K15"/>
  <c r="L15"/>
  <c r="M15"/>
  <c r="N15"/>
  <c r="O15"/>
  <c r="P15"/>
  <c r="Q15"/>
  <c r="R15"/>
  <c r="S15"/>
  <c r="B15"/>
  <c r="C14"/>
  <c r="D14"/>
  <c r="E14"/>
  <c r="F14"/>
  <c r="G14"/>
  <c r="H14"/>
  <c r="I14"/>
  <c r="J14"/>
  <c r="K14"/>
  <c r="L14"/>
  <c r="M14"/>
  <c r="N14"/>
  <c r="O14"/>
  <c r="P14"/>
  <c r="Q14"/>
  <c r="R14"/>
  <c r="S14"/>
  <c r="B14"/>
  <c r="C12"/>
  <c r="D12"/>
  <c r="E12"/>
  <c r="F12"/>
  <c r="G12"/>
  <c r="H12"/>
  <c r="I12"/>
  <c r="J12"/>
  <c r="K12"/>
  <c r="L12"/>
  <c r="M12"/>
  <c r="N12"/>
  <c r="O12"/>
  <c r="P12"/>
  <c r="Q12"/>
  <c r="R12"/>
  <c r="S12"/>
  <c r="B12"/>
  <c r="C10"/>
  <c r="D10"/>
  <c r="E10"/>
  <c r="F10"/>
  <c r="G10"/>
  <c r="H10"/>
  <c r="I10"/>
  <c r="J10"/>
  <c r="K10"/>
  <c r="L10"/>
  <c r="M10"/>
  <c r="N10"/>
  <c r="O10"/>
  <c r="P10"/>
  <c r="Q10"/>
  <c r="R10"/>
  <c r="S10"/>
  <c r="B10"/>
  <c r="C8"/>
  <c r="D8"/>
  <c r="E8"/>
  <c r="F8"/>
  <c r="G8"/>
  <c r="H8"/>
  <c r="I8"/>
  <c r="J8"/>
  <c r="K8"/>
  <c r="L8"/>
  <c r="M8"/>
  <c r="N8"/>
  <c r="O8"/>
  <c r="P8"/>
  <c r="Q8"/>
  <c r="R8"/>
  <c r="S8"/>
  <c r="B8"/>
  <c r="C29" i="19"/>
  <c r="D29"/>
  <c r="E29"/>
  <c r="F29"/>
  <c r="G29"/>
  <c r="H29"/>
  <c r="I29"/>
  <c r="J29"/>
  <c r="K29"/>
  <c r="L29"/>
  <c r="M29"/>
  <c r="N29"/>
  <c r="O29"/>
  <c r="P29"/>
  <c r="Q29"/>
  <c r="R29"/>
  <c r="S29"/>
  <c r="B29"/>
  <c r="C28"/>
  <c r="D28"/>
  <c r="E28"/>
  <c r="F28"/>
  <c r="G28"/>
  <c r="H28"/>
  <c r="I28"/>
  <c r="J28"/>
  <c r="K28"/>
  <c r="L28"/>
  <c r="M28"/>
  <c r="N28"/>
  <c r="O28"/>
  <c r="P28"/>
  <c r="Q28"/>
  <c r="R28"/>
  <c r="S28"/>
  <c r="B28"/>
  <c r="C26"/>
  <c r="D26"/>
  <c r="E26"/>
  <c r="F26"/>
  <c r="G26"/>
  <c r="H26"/>
  <c r="I26"/>
  <c r="J26"/>
  <c r="K26"/>
  <c r="L26"/>
  <c r="M26"/>
  <c r="N26"/>
  <c r="O26"/>
  <c r="P26"/>
  <c r="Q26"/>
  <c r="R26"/>
  <c r="S26"/>
  <c r="B26"/>
  <c r="C24"/>
  <c r="D24"/>
  <c r="E24"/>
  <c r="F24"/>
  <c r="G24"/>
  <c r="H24"/>
  <c r="I24"/>
  <c r="J24"/>
  <c r="K24"/>
  <c r="L24"/>
  <c r="M24"/>
  <c r="N24"/>
  <c r="O24"/>
  <c r="P24"/>
  <c r="Q24"/>
  <c r="R24"/>
  <c r="S24"/>
  <c r="B24"/>
  <c r="C22"/>
  <c r="D22"/>
  <c r="E22"/>
  <c r="F22"/>
  <c r="G22"/>
  <c r="H22"/>
  <c r="I22"/>
  <c r="J22"/>
  <c r="K22"/>
  <c r="L22"/>
  <c r="M22"/>
  <c r="N22"/>
  <c r="O22"/>
  <c r="P22"/>
  <c r="Q22"/>
  <c r="R22"/>
  <c r="S22"/>
  <c r="B22"/>
  <c r="C15"/>
  <c r="D15"/>
  <c r="E15"/>
  <c r="F15"/>
  <c r="G15"/>
  <c r="H15"/>
  <c r="I15"/>
  <c r="J15"/>
  <c r="K15"/>
  <c r="L15"/>
  <c r="M15"/>
  <c r="N15"/>
  <c r="O15"/>
  <c r="P15"/>
  <c r="Q15"/>
  <c r="R15"/>
  <c r="S15"/>
  <c r="B15"/>
  <c r="C14"/>
  <c r="D14"/>
  <c r="E14"/>
  <c r="F14"/>
  <c r="G14"/>
  <c r="H14"/>
  <c r="I14"/>
  <c r="J14"/>
  <c r="K14"/>
  <c r="L14"/>
  <c r="M14"/>
  <c r="N14"/>
  <c r="O14"/>
  <c r="P14"/>
  <c r="Q14"/>
  <c r="R14"/>
  <c r="S14"/>
  <c r="B14"/>
  <c r="C12"/>
  <c r="D12"/>
  <c r="E12"/>
  <c r="F12"/>
  <c r="G12"/>
  <c r="H12"/>
  <c r="I12"/>
  <c r="J12"/>
  <c r="K12"/>
  <c r="L12"/>
  <c r="M12"/>
  <c r="N12"/>
  <c r="O12"/>
  <c r="P12"/>
  <c r="Q12"/>
  <c r="R12"/>
  <c r="S12"/>
  <c r="B12"/>
  <c r="C10"/>
  <c r="D10"/>
  <c r="E10"/>
  <c r="F10"/>
  <c r="G10"/>
  <c r="H10"/>
  <c r="I10"/>
  <c r="J10"/>
  <c r="K10"/>
  <c r="L10"/>
  <c r="M10"/>
  <c r="N10"/>
  <c r="O10"/>
  <c r="P10"/>
  <c r="Q10"/>
  <c r="R10"/>
  <c r="S10"/>
  <c r="B10"/>
  <c r="C8"/>
  <c r="D8"/>
  <c r="E8"/>
  <c r="F8"/>
  <c r="G8"/>
  <c r="H8"/>
  <c r="I8"/>
  <c r="J8"/>
  <c r="K8"/>
  <c r="L8"/>
  <c r="M8"/>
  <c r="N8"/>
  <c r="O8"/>
  <c r="P8"/>
  <c r="Q8"/>
  <c r="R8"/>
  <c r="S8"/>
  <c r="B8"/>
  <c r="C29" i="18"/>
  <c r="D29"/>
  <c r="E29"/>
  <c r="F29"/>
  <c r="G29"/>
  <c r="H29"/>
  <c r="I29"/>
  <c r="J29"/>
  <c r="K29"/>
  <c r="L29"/>
  <c r="M29"/>
  <c r="N29"/>
  <c r="O29"/>
  <c r="P29"/>
  <c r="Q29"/>
  <c r="R29"/>
  <c r="S29"/>
  <c r="B29"/>
  <c r="C28"/>
  <c r="D28"/>
  <c r="E28"/>
  <c r="F28"/>
  <c r="G28"/>
  <c r="H28"/>
  <c r="I28"/>
  <c r="J28"/>
  <c r="K28"/>
  <c r="L28"/>
  <c r="M28"/>
  <c r="N28"/>
  <c r="O28"/>
  <c r="P28"/>
  <c r="Q28"/>
  <c r="R28"/>
  <c r="S28"/>
  <c r="B28"/>
  <c r="C26"/>
  <c r="D26"/>
  <c r="E26"/>
  <c r="F26"/>
  <c r="G26"/>
  <c r="H26"/>
  <c r="I26"/>
  <c r="J26"/>
  <c r="K26"/>
  <c r="L26"/>
  <c r="M26"/>
  <c r="N26"/>
  <c r="O26"/>
  <c r="P26"/>
  <c r="Q26"/>
  <c r="R26"/>
  <c r="S26"/>
  <c r="B26"/>
  <c r="C24"/>
  <c r="D24"/>
  <c r="E24"/>
  <c r="F24"/>
  <c r="G24"/>
  <c r="H24"/>
  <c r="I24"/>
  <c r="J24"/>
  <c r="K24"/>
  <c r="L24"/>
  <c r="M24"/>
  <c r="N24"/>
  <c r="O24"/>
  <c r="P24"/>
  <c r="Q24"/>
  <c r="R24"/>
  <c r="S24"/>
  <c r="B24"/>
  <c r="C22"/>
  <c r="D22"/>
  <c r="E22"/>
  <c r="F22"/>
  <c r="G22"/>
  <c r="H22"/>
  <c r="I22"/>
  <c r="J22"/>
  <c r="K22"/>
  <c r="L22"/>
  <c r="M22"/>
  <c r="N22"/>
  <c r="O22"/>
  <c r="P22"/>
  <c r="Q22"/>
  <c r="R22"/>
  <c r="S22"/>
  <c r="B22"/>
  <c r="C15"/>
  <c r="D15"/>
  <c r="E15"/>
  <c r="F15"/>
  <c r="G15"/>
  <c r="H15"/>
  <c r="I15"/>
  <c r="J15"/>
  <c r="K15"/>
  <c r="L15"/>
  <c r="M15"/>
  <c r="N15"/>
  <c r="O15"/>
  <c r="P15"/>
  <c r="Q15"/>
  <c r="R15"/>
  <c r="S15"/>
  <c r="B15"/>
  <c r="C14"/>
  <c r="D14"/>
  <c r="E14"/>
  <c r="F14"/>
  <c r="G14"/>
  <c r="H14"/>
  <c r="I14"/>
  <c r="J14"/>
  <c r="K14"/>
  <c r="L14"/>
  <c r="M14"/>
  <c r="N14"/>
  <c r="O14"/>
  <c r="P14"/>
  <c r="Q14"/>
  <c r="R14"/>
  <c r="S14"/>
  <c r="B14"/>
  <c r="C12"/>
  <c r="D12"/>
  <c r="E12"/>
  <c r="F12"/>
  <c r="G12"/>
  <c r="H12"/>
  <c r="I12"/>
  <c r="J12"/>
  <c r="K12"/>
  <c r="L12"/>
  <c r="M12"/>
  <c r="N12"/>
  <c r="O12"/>
  <c r="P12"/>
  <c r="Q12"/>
  <c r="R12"/>
  <c r="S12"/>
  <c r="B12"/>
  <c r="C10"/>
  <c r="D10"/>
  <c r="E10"/>
  <c r="F10"/>
  <c r="G10"/>
  <c r="H10"/>
  <c r="I10"/>
  <c r="J10"/>
  <c r="K10"/>
  <c r="L10"/>
  <c r="M10"/>
  <c r="N10"/>
  <c r="O10"/>
  <c r="P10"/>
  <c r="Q10"/>
  <c r="R10"/>
  <c r="S10"/>
  <c r="B10"/>
  <c r="C8"/>
  <c r="D8"/>
  <c r="E8"/>
  <c r="F8"/>
  <c r="G8"/>
  <c r="H8"/>
  <c r="I8"/>
  <c r="J8"/>
  <c r="K8"/>
  <c r="L8"/>
  <c r="M8"/>
  <c r="N8"/>
  <c r="O8"/>
  <c r="P8"/>
  <c r="Q8"/>
  <c r="R8"/>
  <c r="S8"/>
  <c r="B8"/>
  <c r="C29" i="17"/>
  <c r="D29"/>
  <c r="E29"/>
  <c r="F29"/>
  <c r="G29"/>
  <c r="H29"/>
  <c r="I29"/>
  <c r="J29"/>
  <c r="K29"/>
  <c r="L29"/>
  <c r="M29"/>
  <c r="N29"/>
  <c r="O29"/>
  <c r="P29"/>
  <c r="Q29"/>
  <c r="R29"/>
  <c r="S29"/>
  <c r="B29"/>
  <c r="C28"/>
  <c r="D28"/>
  <c r="E28"/>
  <c r="F28"/>
  <c r="G28"/>
  <c r="H28"/>
  <c r="I28"/>
  <c r="J28"/>
  <c r="K28"/>
  <c r="L28"/>
  <c r="M28"/>
  <c r="N28"/>
  <c r="O28"/>
  <c r="P28"/>
  <c r="Q28"/>
  <c r="R28"/>
  <c r="S28"/>
  <c r="B28"/>
  <c r="C26"/>
  <c r="D26"/>
  <c r="E26"/>
  <c r="F26"/>
  <c r="G26"/>
  <c r="H26"/>
  <c r="I26"/>
  <c r="J26"/>
  <c r="K26"/>
  <c r="L26"/>
  <c r="M26"/>
  <c r="N26"/>
  <c r="O26"/>
  <c r="P26"/>
  <c r="Q26"/>
  <c r="R26"/>
  <c r="S26"/>
  <c r="B26"/>
  <c r="C24"/>
  <c r="D24"/>
  <c r="E24"/>
  <c r="F24"/>
  <c r="G24"/>
  <c r="H24"/>
  <c r="I24"/>
  <c r="J24"/>
  <c r="K24"/>
  <c r="L24"/>
  <c r="M24"/>
  <c r="N24"/>
  <c r="O24"/>
  <c r="P24"/>
  <c r="Q24"/>
  <c r="R24"/>
  <c r="S24"/>
  <c r="B24"/>
  <c r="C22"/>
  <c r="D22"/>
  <c r="E22"/>
  <c r="F22"/>
  <c r="G22"/>
  <c r="H22"/>
  <c r="I22"/>
  <c r="J22"/>
  <c r="K22"/>
  <c r="L22"/>
  <c r="M22"/>
  <c r="N22"/>
  <c r="O22"/>
  <c r="P22"/>
  <c r="Q22"/>
  <c r="R22"/>
  <c r="S22"/>
  <c r="B22"/>
  <c r="C15"/>
  <c r="D15"/>
  <c r="E15"/>
  <c r="F15"/>
  <c r="G15"/>
  <c r="H15"/>
  <c r="I15"/>
  <c r="J15"/>
  <c r="K15"/>
  <c r="L15"/>
  <c r="M15"/>
  <c r="N15"/>
  <c r="O15"/>
  <c r="P15"/>
  <c r="Q15"/>
  <c r="R15"/>
  <c r="S15"/>
  <c r="B15"/>
  <c r="C14"/>
  <c r="D14"/>
  <c r="E14"/>
  <c r="F14"/>
  <c r="G14"/>
  <c r="H14"/>
  <c r="I14"/>
  <c r="J14"/>
  <c r="K14"/>
  <c r="L14"/>
  <c r="M14"/>
  <c r="N14"/>
  <c r="O14"/>
  <c r="P14"/>
  <c r="Q14"/>
  <c r="R14"/>
  <c r="S14"/>
  <c r="B14"/>
  <c r="C12"/>
  <c r="D12"/>
  <c r="E12"/>
  <c r="F12"/>
  <c r="G12"/>
  <c r="H12"/>
  <c r="I12"/>
  <c r="J12"/>
  <c r="K12"/>
  <c r="L12"/>
  <c r="M12"/>
  <c r="N12"/>
  <c r="O12"/>
  <c r="P12"/>
  <c r="Q12"/>
  <c r="R12"/>
  <c r="S12"/>
  <c r="B12"/>
  <c r="C10"/>
  <c r="D10"/>
  <c r="E10"/>
  <c r="F10"/>
  <c r="G10"/>
  <c r="H10"/>
  <c r="I10"/>
  <c r="J10"/>
  <c r="K10"/>
  <c r="L10"/>
  <c r="M10"/>
  <c r="N10"/>
  <c r="O10"/>
  <c r="P10"/>
  <c r="Q10"/>
  <c r="R10"/>
  <c r="S10"/>
  <c r="B10"/>
  <c r="C8"/>
  <c r="D8"/>
  <c r="E8"/>
  <c r="F8"/>
  <c r="G8"/>
  <c r="H8"/>
  <c r="I8"/>
  <c r="J8"/>
  <c r="K8"/>
  <c r="L8"/>
  <c r="M8"/>
  <c r="N8"/>
  <c r="O8"/>
  <c r="P8"/>
  <c r="Q8"/>
  <c r="R8"/>
  <c r="S8"/>
  <c r="B8"/>
  <c r="C29" i="16"/>
  <c r="D29"/>
  <c r="E29"/>
  <c r="F29"/>
  <c r="G29"/>
  <c r="H29"/>
  <c r="I29"/>
  <c r="J29"/>
  <c r="K29"/>
  <c r="L29"/>
  <c r="M29"/>
  <c r="N29"/>
  <c r="O29"/>
  <c r="P29"/>
  <c r="Q29"/>
  <c r="R29"/>
  <c r="S29"/>
  <c r="B29"/>
  <c r="C28"/>
  <c r="D28"/>
  <c r="E28"/>
  <c r="F28"/>
  <c r="G28"/>
  <c r="H28"/>
  <c r="I28"/>
  <c r="J28"/>
  <c r="K28"/>
  <c r="L28"/>
  <c r="M28"/>
  <c r="N28"/>
  <c r="O28"/>
  <c r="P28"/>
  <c r="Q28"/>
  <c r="R28"/>
  <c r="S28"/>
  <c r="B28"/>
  <c r="C26"/>
  <c r="D26"/>
  <c r="E26"/>
  <c r="F26"/>
  <c r="G26"/>
  <c r="H26"/>
  <c r="I26"/>
  <c r="J26"/>
  <c r="K26"/>
  <c r="L26"/>
  <c r="M26"/>
  <c r="N26"/>
  <c r="O26"/>
  <c r="P26"/>
  <c r="Q26"/>
  <c r="R26"/>
  <c r="S26"/>
  <c r="B26"/>
  <c r="C24"/>
  <c r="D24"/>
  <c r="E24"/>
  <c r="F24"/>
  <c r="G24"/>
  <c r="H24"/>
  <c r="I24"/>
  <c r="J24"/>
  <c r="K24"/>
  <c r="L24"/>
  <c r="M24"/>
  <c r="N24"/>
  <c r="O24"/>
  <c r="P24"/>
  <c r="Q24"/>
  <c r="R24"/>
  <c r="S24"/>
  <c r="B24"/>
  <c r="C22"/>
  <c r="D22"/>
  <c r="E22"/>
  <c r="F22"/>
  <c r="G22"/>
  <c r="H22"/>
  <c r="I22"/>
  <c r="J22"/>
  <c r="K22"/>
  <c r="L22"/>
  <c r="M22"/>
  <c r="N22"/>
  <c r="O22"/>
  <c r="P22"/>
  <c r="Q22"/>
  <c r="R22"/>
  <c r="S22"/>
  <c r="B22"/>
  <c r="C15"/>
  <c r="D15"/>
  <c r="E15"/>
  <c r="F15"/>
  <c r="G15"/>
  <c r="H15"/>
  <c r="I15"/>
  <c r="J15"/>
  <c r="K15"/>
  <c r="L15"/>
  <c r="M15"/>
  <c r="N15"/>
  <c r="O15"/>
  <c r="P15"/>
  <c r="Q15"/>
  <c r="R15"/>
  <c r="S15"/>
  <c r="B15"/>
  <c r="C14"/>
  <c r="D14"/>
  <c r="E14"/>
  <c r="F14"/>
  <c r="G14"/>
  <c r="H14"/>
  <c r="I14"/>
  <c r="J14"/>
  <c r="K14"/>
  <c r="L14"/>
  <c r="M14"/>
  <c r="N14"/>
  <c r="O14"/>
  <c r="P14"/>
  <c r="Q14"/>
  <c r="R14"/>
  <c r="S14"/>
  <c r="B14"/>
  <c r="C12"/>
  <c r="D12"/>
  <c r="E12"/>
  <c r="F12"/>
  <c r="G12"/>
  <c r="H12"/>
  <c r="I12"/>
  <c r="J12"/>
  <c r="K12"/>
  <c r="L12"/>
  <c r="M12"/>
  <c r="N12"/>
  <c r="O12"/>
  <c r="P12"/>
  <c r="Q12"/>
  <c r="R12"/>
  <c r="S12"/>
  <c r="B12"/>
  <c r="C10"/>
  <c r="D10"/>
  <c r="E10"/>
  <c r="F10"/>
  <c r="G10"/>
  <c r="H10"/>
  <c r="I10"/>
  <c r="J10"/>
  <c r="K10"/>
  <c r="L10"/>
  <c r="M10"/>
  <c r="N10"/>
  <c r="O10"/>
  <c r="P10"/>
  <c r="Q10"/>
  <c r="R10"/>
  <c r="S10"/>
  <c r="B10"/>
  <c r="C8"/>
  <c r="D8"/>
  <c r="E8"/>
  <c r="F8"/>
  <c r="G8"/>
  <c r="H8"/>
  <c r="I8"/>
  <c r="J8"/>
  <c r="K8"/>
  <c r="L8"/>
  <c r="M8"/>
  <c r="N8"/>
  <c r="O8"/>
  <c r="P8"/>
  <c r="Q8"/>
  <c r="R8"/>
  <c r="S8"/>
  <c r="B8"/>
  <c r="C29" i="15"/>
  <c r="D29"/>
  <c r="E29"/>
  <c r="F29"/>
  <c r="G29"/>
  <c r="H29"/>
  <c r="I29"/>
  <c r="J29"/>
  <c r="K29"/>
  <c r="L29"/>
  <c r="M29"/>
  <c r="N29"/>
  <c r="O29"/>
  <c r="P29"/>
  <c r="Q29"/>
  <c r="R29"/>
  <c r="S29"/>
  <c r="B29"/>
  <c r="C28"/>
  <c r="D28"/>
  <c r="E28"/>
  <c r="F28"/>
  <c r="G28"/>
  <c r="H28"/>
  <c r="I28"/>
  <c r="J28"/>
  <c r="K28"/>
  <c r="L28"/>
  <c r="M28"/>
  <c r="N28"/>
  <c r="O28"/>
  <c r="P28"/>
  <c r="Q28"/>
  <c r="R28"/>
  <c r="S28"/>
  <c r="B28"/>
  <c r="C26"/>
  <c r="D26"/>
  <c r="E26"/>
  <c r="F26"/>
  <c r="G26"/>
  <c r="H26"/>
  <c r="I26"/>
  <c r="J26"/>
  <c r="K26"/>
  <c r="L26"/>
  <c r="M26"/>
  <c r="N26"/>
  <c r="O26"/>
  <c r="P26"/>
  <c r="Q26"/>
  <c r="R26"/>
  <c r="S26"/>
  <c r="B26"/>
  <c r="C24"/>
  <c r="D24"/>
  <c r="E24"/>
  <c r="F24"/>
  <c r="G24"/>
  <c r="H24"/>
  <c r="I24"/>
  <c r="J24"/>
  <c r="K24"/>
  <c r="L24"/>
  <c r="M24"/>
  <c r="N24"/>
  <c r="O24"/>
  <c r="P24"/>
  <c r="Q24"/>
  <c r="R24"/>
  <c r="S24"/>
  <c r="B24"/>
  <c r="C22"/>
  <c r="D22"/>
  <c r="E22"/>
  <c r="F22"/>
  <c r="G22"/>
  <c r="H22"/>
  <c r="I22"/>
  <c r="J22"/>
  <c r="K22"/>
  <c r="L22"/>
  <c r="M22"/>
  <c r="N22"/>
  <c r="O22"/>
  <c r="P22"/>
  <c r="Q22"/>
  <c r="R22"/>
  <c r="S22"/>
  <c r="B22"/>
  <c r="C15"/>
  <c r="D15"/>
  <c r="E15"/>
  <c r="F15"/>
  <c r="G15"/>
  <c r="H15"/>
  <c r="I15"/>
  <c r="J15"/>
  <c r="K15"/>
  <c r="L15"/>
  <c r="M15"/>
  <c r="N15"/>
  <c r="O15"/>
  <c r="P15"/>
  <c r="Q15"/>
  <c r="R15"/>
  <c r="S15"/>
  <c r="B15"/>
  <c r="C14"/>
  <c r="D14"/>
  <c r="E14"/>
  <c r="F14"/>
  <c r="G14"/>
  <c r="H14"/>
  <c r="I14"/>
  <c r="J14"/>
  <c r="K14"/>
  <c r="L14"/>
  <c r="M14"/>
  <c r="N14"/>
  <c r="O14"/>
  <c r="P14"/>
  <c r="Q14"/>
  <c r="R14"/>
  <c r="S14"/>
  <c r="B14"/>
  <c r="C12"/>
  <c r="D12"/>
  <c r="E12"/>
  <c r="F12"/>
  <c r="G12"/>
  <c r="H12"/>
  <c r="I12"/>
  <c r="J12"/>
  <c r="K12"/>
  <c r="L12"/>
  <c r="M12"/>
  <c r="N12"/>
  <c r="O12"/>
  <c r="P12"/>
  <c r="Q12"/>
  <c r="R12"/>
  <c r="S12"/>
  <c r="B12"/>
  <c r="C10"/>
  <c r="D10"/>
  <c r="E10"/>
  <c r="F10"/>
  <c r="G10"/>
  <c r="H10"/>
  <c r="I10"/>
  <c r="J10"/>
  <c r="K10"/>
  <c r="L10"/>
  <c r="M10"/>
  <c r="N10"/>
  <c r="O10"/>
  <c r="P10"/>
  <c r="Q10"/>
  <c r="R10"/>
  <c r="S10"/>
  <c r="B10"/>
  <c r="C8"/>
  <c r="D8"/>
  <c r="E8"/>
  <c r="F8"/>
  <c r="G8"/>
  <c r="H8"/>
  <c r="I8"/>
  <c r="J8"/>
  <c r="K8"/>
  <c r="L8"/>
  <c r="M8"/>
  <c r="N8"/>
  <c r="O8"/>
  <c r="P8"/>
  <c r="Q8"/>
  <c r="R8"/>
  <c r="S8"/>
  <c r="B8"/>
  <c r="C29" i="14"/>
  <c r="D29"/>
  <c r="E29"/>
  <c r="F29"/>
  <c r="G29"/>
  <c r="H29"/>
  <c r="I29"/>
  <c r="J29"/>
  <c r="K29"/>
  <c r="L29"/>
  <c r="M29"/>
  <c r="N29"/>
  <c r="O29"/>
  <c r="P29"/>
  <c r="Q29"/>
  <c r="R29"/>
  <c r="S29"/>
  <c r="B29"/>
  <c r="C28"/>
  <c r="D28"/>
  <c r="E28"/>
  <c r="F28"/>
  <c r="G28"/>
  <c r="H28"/>
  <c r="I28"/>
  <c r="J28"/>
  <c r="K28"/>
  <c r="L28"/>
  <c r="M28"/>
  <c r="N28"/>
  <c r="O28"/>
  <c r="P28"/>
  <c r="Q28"/>
  <c r="R28"/>
  <c r="S28"/>
  <c r="B28"/>
  <c r="C26"/>
  <c r="D26"/>
  <c r="E26"/>
  <c r="F26"/>
  <c r="G26"/>
  <c r="H26"/>
  <c r="I26"/>
  <c r="J26"/>
  <c r="K26"/>
  <c r="L26"/>
  <c r="M26"/>
  <c r="N26"/>
  <c r="O26"/>
  <c r="P26"/>
  <c r="Q26"/>
  <c r="R26"/>
  <c r="S26"/>
  <c r="B26"/>
  <c r="C24"/>
  <c r="D24"/>
  <c r="E24"/>
  <c r="F24"/>
  <c r="G24"/>
  <c r="H24"/>
  <c r="I24"/>
  <c r="J24"/>
  <c r="K24"/>
  <c r="L24"/>
  <c r="M24"/>
  <c r="N24"/>
  <c r="O24"/>
  <c r="P24"/>
  <c r="Q24"/>
  <c r="R24"/>
  <c r="S24"/>
  <c r="B24"/>
  <c r="C22"/>
  <c r="D22"/>
  <c r="E22"/>
  <c r="F22"/>
  <c r="G22"/>
  <c r="H22"/>
  <c r="I22"/>
  <c r="J22"/>
  <c r="K22"/>
  <c r="L22"/>
  <c r="M22"/>
  <c r="N22"/>
  <c r="O22"/>
  <c r="P22"/>
  <c r="Q22"/>
  <c r="R22"/>
  <c r="S22"/>
  <c r="B22"/>
  <c r="C15"/>
  <c r="D15"/>
  <c r="E15"/>
  <c r="F15"/>
  <c r="G15"/>
  <c r="H15"/>
  <c r="I15"/>
  <c r="J15"/>
  <c r="K15"/>
  <c r="L15"/>
  <c r="M15"/>
  <c r="N15"/>
  <c r="O15"/>
  <c r="P15"/>
  <c r="Q15"/>
  <c r="R15"/>
  <c r="S15"/>
  <c r="B15"/>
  <c r="C14"/>
  <c r="D14"/>
  <c r="E14"/>
  <c r="F14"/>
  <c r="G14"/>
  <c r="H14"/>
  <c r="I14"/>
  <c r="J14"/>
  <c r="K14"/>
  <c r="L14"/>
  <c r="M14"/>
  <c r="N14"/>
  <c r="O14"/>
  <c r="P14"/>
  <c r="Q14"/>
  <c r="R14"/>
  <c r="S14"/>
  <c r="B14"/>
  <c r="C12"/>
  <c r="D12"/>
  <c r="E12"/>
  <c r="F12"/>
  <c r="G12"/>
  <c r="H12"/>
  <c r="I12"/>
  <c r="J12"/>
  <c r="K12"/>
  <c r="L12"/>
  <c r="M12"/>
  <c r="N12"/>
  <c r="O12"/>
  <c r="P12"/>
  <c r="Q12"/>
  <c r="R12"/>
  <c r="S12"/>
  <c r="B12"/>
  <c r="C10"/>
  <c r="D10"/>
  <c r="E10"/>
  <c r="F10"/>
  <c r="G10"/>
  <c r="H10"/>
  <c r="I10"/>
  <c r="J10"/>
  <c r="K10"/>
  <c r="L10"/>
  <c r="M10"/>
  <c r="N10"/>
  <c r="O10"/>
  <c r="P10"/>
  <c r="Q10"/>
  <c r="R10"/>
  <c r="S10"/>
  <c r="B10"/>
  <c r="C8"/>
  <c r="D8"/>
  <c r="E8"/>
  <c r="F8"/>
  <c r="G8"/>
  <c r="H8"/>
  <c r="I8"/>
  <c r="J8"/>
  <c r="K8"/>
  <c r="L8"/>
  <c r="M8"/>
  <c r="N8"/>
  <c r="O8"/>
  <c r="P8"/>
  <c r="Q8"/>
  <c r="R8"/>
  <c r="S8"/>
  <c r="B8"/>
  <c r="C29" i="7"/>
  <c r="D29"/>
  <c r="E29"/>
  <c r="F29"/>
  <c r="G29"/>
  <c r="H29"/>
  <c r="I29"/>
  <c r="J29"/>
  <c r="K29"/>
  <c r="L29"/>
  <c r="M29"/>
  <c r="N29"/>
  <c r="O29"/>
  <c r="P29"/>
  <c r="Q29"/>
  <c r="R29"/>
  <c r="S29"/>
  <c r="B29"/>
  <c r="C28"/>
  <c r="D28"/>
  <c r="E28"/>
  <c r="F28"/>
  <c r="G28"/>
  <c r="H28"/>
  <c r="I28"/>
  <c r="J28"/>
  <c r="K28"/>
  <c r="L28"/>
  <c r="M28"/>
  <c r="N28"/>
  <c r="O28"/>
  <c r="P28"/>
  <c r="Q28"/>
  <c r="R28"/>
  <c r="S28"/>
  <c r="B28"/>
  <c r="C26"/>
  <c r="D26"/>
  <c r="E26"/>
  <c r="F26"/>
  <c r="G26"/>
  <c r="H26"/>
  <c r="I26"/>
  <c r="J26"/>
  <c r="K26"/>
  <c r="L26"/>
  <c r="M26"/>
  <c r="N26"/>
  <c r="O26"/>
  <c r="P26"/>
  <c r="Q26"/>
  <c r="R26"/>
  <c r="S26"/>
  <c r="B26"/>
  <c r="C24"/>
  <c r="D24"/>
  <c r="E24"/>
  <c r="F24"/>
  <c r="G24"/>
  <c r="H24"/>
  <c r="I24"/>
  <c r="J24"/>
  <c r="K24"/>
  <c r="L24"/>
  <c r="M24"/>
  <c r="N24"/>
  <c r="O24"/>
  <c r="P24"/>
  <c r="Q24"/>
  <c r="R24"/>
  <c r="S24"/>
  <c r="B24"/>
  <c r="C22"/>
  <c r="D22"/>
  <c r="E22"/>
  <c r="F22"/>
  <c r="G22"/>
  <c r="H22"/>
  <c r="I22"/>
  <c r="J22"/>
  <c r="K22"/>
  <c r="L22"/>
  <c r="M22"/>
  <c r="N22"/>
  <c r="O22"/>
  <c r="P22"/>
  <c r="Q22"/>
  <c r="R22"/>
  <c r="S22"/>
  <c r="B22"/>
  <c r="C15"/>
  <c r="D15"/>
  <c r="E15"/>
  <c r="F15"/>
  <c r="G15"/>
  <c r="H15"/>
  <c r="I15"/>
  <c r="J15"/>
  <c r="K15"/>
  <c r="L15"/>
  <c r="M15"/>
  <c r="N15"/>
  <c r="O15"/>
  <c r="P15"/>
  <c r="Q15"/>
  <c r="R15"/>
  <c r="S15"/>
  <c r="B15"/>
  <c r="C14"/>
  <c r="D14"/>
  <c r="E14"/>
  <c r="F14"/>
  <c r="G14"/>
  <c r="H14"/>
  <c r="I14"/>
  <c r="J14"/>
  <c r="K14"/>
  <c r="L14"/>
  <c r="M14"/>
  <c r="N14"/>
  <c r="O14"/>
  <c r="P14"/>
  <c r="Q14"/>
  <c r="R14"/>
  <c r="S14"/>
  <c r="B14"/>
  <c r="C12"/>
  <c r="D12"/>
  <c r="E12"/>
  <c r="F12"/>
  <c r="G12"/>
  <c r="H12"/>
  <c r="I12"/>
  <c r="J12"/>
  <c r="K12"/>
  <c r="L12"/>
  <c r="M12"/>
  <c r="N12"/>
  <c r="O12"/>
  <c r="P12"/>
  <c r="Q12"/>
  <c r="R12"/>
  <c r="S12"/>
  <c r="B12"/>
  <c r="C10"/>
  <c r="D10"/>
  <c r="E10"/>
  <c r="F10"/>
  <c r="G10"/>
  <c r="H10"/>
  <c r="I10"/>
  <c r="J10"/>
  <c r="K10"/>
  <c r="L10"/>
  <c r="M10"/>
  <c r="N10"/>
  <c r="O10"/>
  <c r="P10"/>
  <c r="Q10"/>
  <c r="R10"/>
  <c r="S10"/>
  <c r="B10"/>
  <c r="C8"/>
  <c r="D8"/>
  <c r="E8"/>
  <c r="F8"/>
  <c r="G8"/>
  <c r="H8"/>
  <c r="I8"/>
  <c r="J8"/>
  <c r="K8"/>
  <c r="L8"/>
  <c r="M8"/>
  <c r="N8"/>
  <c r="O8"/>
  <c r="P8"/>
  <c r="Q8"/>
  <c r="R8"/>
  <c r="S8"/>
  <c r="B8"/>
  <c r="C29" i="6"/>
  <c r="D29"/>
  <c r="E29"/>
  <c r="F29"/>
  <c r="G29"/>
  <c r="H29"/>
  <c r="I29"/>
  <c r="J29"/>
  <c r="K29"/>
  <c r="L29"/>
  <c r="M29"/>
  <c r="N29"/>
  <c r="O29"/>
  <c r="P29"/>
  <c r="Q29"/>
  <c r="R29"/>
  <c r="S29"/>
  <c r="B29"/>
  <c r="C28"/>
  <c r="D28"/>
  <c r="E28"/>
  <c r="F28"/>
  <c r="G28"/>
  <c r="H28"/>
  <c r="I28"/>
  <c r="J28"/>
  <c r="K28"/>
  <c r="L28"/>
  <c r="M28"/>
  <c r="N28"/>
  <c r="O28"/>
  <c r="P28"/>
  <c r="Q28"/>
  <c r="R28"/>
  <c r="S28"/>
  <c r="B28"/>
  <c r="C26"/>
  <c r="D26"/>
  <c r="E26"/>
  <c r="F26"/>
  <c r="G26"/>
  <c r="H26"/>
  <c r="I26"/>
  <c r="J26"/>
  <c r="K26"/>
  <c r="L26"/>
  <c r="M26"/>
  <c r="N26"/>
  <c r="O26"/>
  <c r="P26"/>
  <c r="Q26"/>
  <c r="R26"/>
  <c r="S26"/>
  <c r="B26"/>
  <c r="C24"/>
  <c r="D24"/>
  <c r="E24"/>
  <c r="F24"/>
  <c r="G24"/>
  <c r="H24"/>
  <c r="I24"/>
  <c r="J24"/>
  <c r="K24"/>
  <c r="L24"/>
  <c r="M24"/>
  <c r="N24"/>
  <c r="O24"/>
  <c r="P24"/>
  <c r="Q24"/>
  <c r="R24"/>
  <c r="S24"/>
  <c r="B24"/>
  <c r="C22"/>
  <c r="D22"/>
  <c r="E22"/>
  <c r="F22"/>
  <c r="G22"/>
  <c r="H22"/>
  <c r="I22"/>
  <c r="J22"/>
  <c r="K22"/>
  <c r="L22"/>
  <c r="M22"/>
  <c r="N22"/>
  <c r="O22"/>
  <c r="P22"/>
  <c r="Q22"/>
  <c r="R22"/>
  <c r="S22"/>
  <c r="B22"/>
  <c r="C15"/>
  <c r="D15"/>
  <c r="E15"/>
  <c r="F15"/>
  <c r="G15"/>
  <c r="H15"/>
  <c r="I15"/>
  <c r="J15"/>
  <c r="K15"/>
  <c r="L15"/>
  <c r="M15"/>
  <c r="N15"/>
  <c r="O15"/>
  <c r="P15"/>
  <c r="Q15"/>
  <c r="R15"/>
  <c r="S15"/>
  <c r="B15"/>
  <c r="C14"/>
  <c r="D14"/>
  <c r="E14"/>
  <c r="F14"/>
  <c r="G14"/>
  <c r="H14"/>
  <c r="I14"/>
  <c r="J14"/>
  <c r="K14"/>
  <c r="L14"/>
  <c r="M14"/>
  <c r="N14"/>
  <c r="O14"/>
  <c r="P14"/>
  <c r="Q14"/>
  <c r="R14"/>
  <c r="S14"/>
  <c r="B14"/>
  <c r="C12"/>
  <c r="D12"/>
  <c r="E12"/>
  <c r="F12"/>
  <c r="G12"/>
  <c r="H12"/>
  <c r="I12"/>
  <c r="J12"/>
  <c r="K12"/>
  <c r="L12"/>
  <c r="M12"/>
  <c r="N12"/>
  <c r="O12"/>
  <c r="P12"/>
  <c r="Q12"/>
  <c r="R12"/>
  <c r="S12"/>
  <c r="B12"/>
  <c r="C10"/>
  <c r="D10"/>
  <c r="E10"/>
  <c r="F10"/>
  <c r="G10"/>
  <c r="H10"/>
  <c r="I10"/>
  <c r="J10"/>
  <c r="K10"/>
  <c r="L10"/>
  <c r="M10"/>
  <c r="N10"/>
  <c r="O10"/>
  <c r="P10"/>
  <c r="Q10"/>
  <c r="R10"/>
  <c r="S10"/>
  <c r="B10"/>
  <c r="O8"/>
  <c r="P8"/>
  <c r="Q8"/>
  <c r="R8"/>
  <c r="S8"/>
  <c r="C8"/>
  <c r="D8"/>
  <c r="E8"/>
  <c r="F8"/>
  <c r="G8"/>
  <c r="H8"/>
  <c r="I8"/>
  <c r="J8"/>
  <c r="K8"/>
  <c r="L8"/>
  <c r="M8"/>
  <c r="N8"/>
  <c r="B8"/>
  <c r="C29" i="5"/>
  <c r="D29"/>
  <c r="E29"/>
  <c r="F29"/>
  <c r="G29"/>
  <c r="H29"/>
  <c r="I29"/>
  <c r="J29"/>
  <c r="K29"/>
  <c r="L29"/>
  <c r="M29"/>
  <c r="N29"/>
  <c r="O29"/>
  <c r="P29"/>
  <c r="Q29"/>
  <c r="R29"/>
  <c r="S29"/>
  <c r="B29"/>
  <c r="C28"/>
  <c r="D28"/>
  <c r="E28"/>
  <c r="F28"/>
  <c r="G28"/>
  <c r="H28"/>
  <c r="I28"/>
  <c r="J28"/>
  <c r="K28"/>
  <c r="L28"/>
  <c r="M28"/>
  <c r="N28"/>
  <c r="O28"/>
  <c r="P28"/>
  <c r="Q28"/>
  <c r="R28"/>
  <c r="S28"/>
  <c r="B28"/>
  <c r="C26"/>
  <c r="D26"/>
  <c r="E26"/>
  <c r="F26"/>
  <c r="G26"/>
  <c r="H26"/>
  <c r="I26"/>
  <c r="J26"/>
  <c r="K26"/>
  <c r="L26"/>
  <c r="M26"/>
  <c r="N26"/>
  <c r="O26"/>
  <c r="P26"/>
  <c r="Q26"/>
  <c r="R26"/>
  <c r="S26"/>
  <c r="B26"/>
  <c r="C24"/>
  <c r="D24"/>
  <c r="E24"/>
  <c r="F24"/>
  <c r="G24"/>
  <c r="H24"/>
  <c r="I24"/>
  <c r="J24"/>
  <c r="K24"/>
  <c r="L24"/>
  <c r="M24"/>
  <c r="N24"/>
  <c r="O24"/>
  <c r="P24"/>
  <c r="Q24"/>
  <c r="R24"/>
  <c r="S24"/>
  <c r="B24"/>
  <c r="C22"/>
  <c r="D22"/>
  <c r="E22"/>
  <c r="F22"/>
  <c r="G22"/>
  <c r="H22"/>
  <c r="I22"/>
  <c r="J22"/>
  <c r="K22"/>
  <c r="L22"/>
  <c r="M22"/>
  <c r="N22"/>
  <c r="O22"/>
  <c r="P22"/>
  <c r="Q22"/>
  <c r="R22"/>
  <c r="S22"/>
  <c r="B22"/>
  <c r="C15"/>
  <c r="D15"/>
  <c r="E15"/>
  <c r="F15"/>
  <c r="G15"/>
  <c r="H15"/>
  <c r="I15"/>
  <c r="J15"/>
  <c r="K15"/>
  <c r="L15"/>
  <c r="M15"/>
  <c r="N15"/>
  <c r="O15"/>
  <c r="P15"/>
  <c r="Q15"/>
  <c r="R15"/>
  <c r="S15"/>
  <c r="B15"/>
  <c r="C14"/>
  <c r="D14"/>
  <c r="E14"/>
  <c r="F14"/>
  <c r="G14"/>
  <c r="H14"/>
  <c r="I14"/>
  <c r="J14"/>
  <c r="K14"/>
  <c r="L14"/>
  <c r="M14"/>
  <c r="N14"/>
  <c r="O14"/>
  <c r="P14"/>
  <c r="Q14"/>
  <c r="R14"/>
  <c r="S14"/>
  <c r="B14"/>
  <c r="C12"/>
  <c r="D12"/>
  <c r="E12"/>
  <c r="F12"/>
  <c r="G12"/>
  <c r="H12"/>
  <c r="I12"/>
  <c r="J12"/>
  <c r="K12"/>
  <c r="L12"/>
  <c r="M12"/>
  <c r="N12"/>
  <c r="O12"/>
  <c r="P12"/>
  <c r="Q12"/>
  <c r="R12"/>
  <c r="S12"/>
  <c r="B12"/>
  <c r="C10"/>
  <c r="D10"/>
  <c r="E10"/>
  <c r="F10"/>
  <c r="G10"/>
  <c r="H10"/>
  <c r="I10"/>
  <c r="J10"/>
  <c r="K10"/>
  <c r="L10"/>
  <c r="M10"/>
  <c r="N10"/>
  <c r="O10"/>
  <c r="P10"/>
  <c r="Q10"/>
  <c r="R10"/>
  <c r="S10"/>
  <c r="B10"/>
  <c r="C8"/>
  <c r="D8"/>
  <c r="E8"/>
  <c r="F8"/>
  <c r="G8"/>
  <c r="H8"/>
  <c r="I8"/>
  <c r="J8"/>
  <c r="K8"/>
  <c r="L8"/>
  <c r="M8"/>
  <c r="N8"/>
  <c r="O8"/>
  <c r="P8"/>
  <c r="Q8"/>
  <c r="R8"/>
  <c r="S8"/>
  <c r="B8"/>
  <c r="C29" i="4"/>
  <c r="D29"/>
  <c r="E29"/>
  <c r="F29"/>
  <c r="G29"/>
  <c r="H29"/>
  <c r="I29"/>
  <c r="J29"/>
  <c r="K29"/>
  <c r="L29"/>
  <c r="M29"/>
  <c r="N29"/>
  <c r="O29"/>
  <c r="P29"/>
  <c r="Q29"/>
  <c r="R29"/>
  <c r="S29"/>
  <c r="B29"/>
  <c r="S28"/>
  <c r="C28"/>
  <c r="D28"/>
  <c r="E28"/>
  <c r="F28"/>
  <c r="G28"/>
  <c r="H28"/>
  <c r="I28"/>
  <c r="J28"/>
  <c r="K28"/>
  <c r="L28"/>
  <c r="M28"/>
  <c r="N28"/>
  <c r="O28"/>
  <c r="P28"/>
  <c r="Q28"/>
  <c r="R28"/>
  <c r="B28"/>
  <c r="C26"/>
  <c r="D26"/>
  <c r="E26"/>
  <c r="F26"/>
  <c r="G26"/>
  <c r="H26"/>
  <c r="I26"/>
  <c r="J26"/>
  <c r="K26"/>
  <c r="L26"/>
  <c r="M26"/>
  <c r="N26"/>
  <c r="O26"/>
  <c r="P26"/>
  <c r="Q26"/>
  <c r="R26"/>
  <c r="S26"/>
  <c r="B26"/>
  <c r="C24"/>
  <c r="D24"/>
  <c r="E24"/>
  <c r="F24"/>
  <c r="G24"/>
  <c r="H24"/>
  <c r="I24"/>
  <c r="J24"/>
  <c r="K24"/>
  <c r="L24"/>
  <c r="M24"/>
  <c r="N24"/>
  <c r="O24"/>
  <c r="P24"/>
  <c r="Q24"/>
  <c r="R24"/>
  <c r="S24"/>
  <c r="B24"/>
  <c r="C22"/>
  <c r="D22"/>
  <c r="E22"/>
  <c r="F22"/>
  <c r="G22"/>
  <c r="H22"/>
  <c r="I22"/>
  <c r="J22"/>
  <c r="K22"/>
  <c r="L22"/>
  <c r="M22"/>
  <c r="N22"/>
  <c r="O22"/>
  <c r="P22"/>
  <c r="Q22"/>
  <c r="R22"/>
  <c r="S22"/>
  <c r="B22"/>
  <c r="C15"/>
  <c r="D15"/>
  <c r="E15"/>
  <c r="F15"/>
  <c r="G15"/>
  <c r="H15"/>
  <c r="I15"/>
  <c r="J15"/>
  <c r="K15"/>
  <c r="L15"/>
  <c r="M15"/>
  <c r="N15"/>
  <c r="O15"/>
  <c r="P15"/>
  <c r="Q15"/>
  <c r="R15"/>
  <c r="S15"/>
  <c r="B15"/>
  <c r="C14"/>
  <c r="D14"/>
  <c r="E14"/>
  <c r="F14"/>
  <c r="G14"/>
  <c r="H14"/>
  <c r="I14"/>
  <c r="J14"/>
  <c r="K14"/>
  <c r="L14"/>
  <c r="M14"/>
  <c r="N14"/>
  <c r="O14"/>
  <c r="P14"/>
  <c r="Q14"/>
  <c r="R14"/>
  <c r="S14"/>
  <c r="B14"/>
  <c r="C12"/>
  <c r="D12"/>
  <c r="E12"/>
  <c r="F12"/>
  <c r="G12"/>
  <c r="H12"/>
  <c r="I12"/>
  <c r="J12"/>
  <c r="K12"/>
  <c r="L12"/>
  <c r="M12"/>
  <c r="N12"/>
  <c r="O12"/>
  <c r="P12"/>
  <c r="Q12"/>
  <c r="R12"/>
  <c r="S12"/>
  <c r="B12"/>
  <c r="C10"/>
  <c r="D10"/>
  <c r="E10"/>
  <c r="F10"/>
  <c r="G10"/>
  <c r="H10"/>
  <c r="I10"/>
  <c r="J10"/>
  <c r="K10"/>
  <c r="L10"/>
  <c r="M10"/>
  <c r="N10"/>
  <c r="O10"/>
  <c r="P10"/>
  <c r="Q10"/>
  <c r="R10"/>
  <c r="S10"/>
  <c r="B10"/>
  <c r="C8"/>
  <c r="D8"/>
  <c r="E8"/>
  <c r="F8"/>
  <c r="G8"/>
  <c r="H8"/>
  <c r="I8"/>
  <c r="J8"/>
  <c r="K8"/>
  <c r="L8"/>
  <c r="M8"/>
  <c r="N8"/>
  <c r="O8"/>
  <c r="P8"/>
  <c r="Q8"/>
  <c r="R8"/>
  <c r="S8"/>
  <c r="B8"/>
  <c r="C29" i="3"/>
  <c r="D29"/>
  <c r="E29"/>
  <c r="F29"/>
  <c r="G29"/>
  <c r="H29"/>
  <c r="I29"/>
  <c r="J29"/>
  <c r="K29"/>
  <c r="L29"/>
  <c r="M29"/>
  <c r="N29"/>
  <c r="O29"/>
  <c r="P29"/>
  <c r="Q29"/>
  <c r="R29"/>
  <c r="S29"/>
  <c r="B29"/>
  <c r="C28"/>
  <c r="D28"/>
  <c r="E28"/>
  <c r="F28"/>
  <c r="G28"/>
  <c r="H28"/>
  <c r="I28"/>
  <c r="J28"/>
  <c r="K28"/>
  <c r="L28"/>
  <c r="M28"/>
  <c r="N28"/>
  <c r="O28"/>
  <c r="P28"/>
  <c r="Q28"/>
  <c r="R28"/>
  <c r="S28"/>
  <c r="B28"/>
  <c r="C26"/>
  <c r="D26"/>
  <c r="E26"/>
  <c r="F26"/>
  <c r="G26"/>
  <c r="H26"/>
  <c r="I26"/>
  <c r="J26"/>
  <c r="K26"/>
  <c r="L26"/>
  <c r="M26"/>
  <c r="N26"/>
  <c r="O26"/>
  <c r="P26"/>
  <c r="Q26"/>
  <c r="R26"/>
  <c r="S26"/>
  <c r="B26"/>
  <c r="C24"/>
  <c r="D24"/>
  <c r="E24"/>
  <c r="F24"/>
  <c r="G24"/>
  <c r="H24"/>
  <c r="I24"/>
  <c r="J24"/>
  <c r="K24"/>
  <c r="L24"/>
  <c r="M24"/>
  <c r="N24"/>
  <c r="O24"/>
  <c r="P24"/>
  <c r="Q24"/>
  <c r="R24"/>
  <c r="S24"/>
  <c r="B24"/>
  <c r="C22"/>
  <c r="D22"/>
  <c r="E22"/>
  <c r="F22"/>
  <c r="G22"/>
  <c r="H22"/>
  <c r="I22"/>
  <c r="J22"/>
  <c r="K22"/>
  <c r="L22"/>
  <c r="M22"/>
  <c r="N22"/>
  <c r="O22"/>
  <c r="P22"/>
  <c r="Q22"/>
  <c r="R22"/>
  <c r="S22"/>
  <c r="B22"/>
  <c r="C15"/>
  <c r="D15"/>
  <c r="E15"/>
  <c r="F15"/>
  <c r="G15"/>
  <c r="H15"/>
  <c r="I15"/>
  <c r="J15"/>
  <c r="K15"/>
  <c r="L15"/>
  <c r="M15"/>
  <c r="N15"/>
  <c r="O15"/>
  <c r="P15"/>
  <c r="Q15"/>
  <c r="R15"/>
  <c r="S15"/>
  <c r="B15"/>
  <c r="C14"/>
  <c r="D14"/>
  <c r="E14"/>
  <c r="F14"/>
  <c r="G14"/>
  <c r="H14"/>
  <c r="I14"/>
  <c r="J14"/>
  <c r="K14"/>
  <c r="L14"/>
  <c r="M14"/>
  <c r="N14"/>
  <c r="O14"/>
  <c r="P14"/>
  <c r="Q14"/>
  <c r="R14"/>
  <c r="S14"/>
  <c r="B14"/>
  <c r="C12"/>
  <c r="D12"/>
  <c r="E12"/>
  <c r="F12"/>
  <c r="G12"/>
  <c r="H12"/>
  <c r="I12"/>
  <c r="J12"/>
  <c r="K12"/>
  <c r="L12"/>
  <c r="M12"/>
  <c r="N12"/>
  <c r="O12"/>
  <c r="P12"/>
  <c r="Q12"/>
  <c r="R12"/>
  <c r="S12"/>
  <c r="B12"/>
  <c r="C10"/>
  <c r="D10"/>
  <c r="E10"/>
  <c r="F10"/>
  <c r="G10"/>
  <c r="H10"/>
  <c r="I10"/>
  <c r="J10"/>
  <c r="K10"/>
  <c r="L10"/>
  <c r="M10"/>
  <c r="N10"/>
  <c r="O10"/>
  <c r="P10"/>
  <c r="Q10"/>
  <c r="R10"/>
  <c r="S10"/>
  <c r="B10"/>
  <c r="C8"/>
  <c r="D8"/>
  <c r="E8"/>
  <c r="F8"/>
  <c r="G8"/>
  <c r="H8"/>
  <c r="I8"/>
  <c r="J8"/>
  <c r="K8"/>
  <c r="L8"/>
  <c r="M8"/>
  <c r="N8"/>
  <c r="O8"/>
  <c r="P8"/>
  <c r="Q8"/>
  <c r="R8"/>
  <c r="S8"/>
  <c r="B8"/>
  <c r="C29" i="2"/>
  <c r="D29"/>
  <c r="E29"/>
  <c r="F29"/>
  <c r="G29"/>
  <c r="H29"/>
  <c r="I29"/>
  <c r="J29"/>
  <c r="K29"/>
  <c r="L29"/>
  <c r="M29"/>
  <c r="N29"/>
  <c r="O29"/>
  <c r="P29"/>
  <c r="Q29"/>
  <c r="R29"/>
  <c r="S29"/>
  <c r="B29"/>
  <c r="C28"/>
  <c r="D28"/>
  <c r="E28"/>
  <c r="F28"/>
  <c r="G28"/>
  <c r="H28"/>
  <c r="I28"/>
  <c r="J28"/>
  <c r="K28"/>
  <c r="L28"/>
  <c r="M28"/>
  <c r="N28"/>
  <c r="O28"/>
  <c r="P28"/>
  <c r="Q28"/>
  <c r="R28"/>
  <c r="S28"/>
  <c r="B28"/>
  <c r="C26"/>
  <c r="D26"/>
  <c r="E26"/>
  <c r="F26"/>
  <c r="G26"/>
  <c r="H26"/>
  <c r="I26"/>
  <c r="J26"/>
  <c r="K26"/>
  <c r="L26"/>
  <c r="M26"/>
  <c r="N26"/>
  <c r="O26"/>
  <c r="P26"/>
  <c r="Q26"/>
  <c r="R26"/>
  <c r="S26"/>
  <c r="B26"/>
  <c r="C24"/>
  <c r="D24"/>
  <c r="E24"/>
  <c r="F24"/>
  <c r="G24"/>
  <c r="H24"/>
  <c r="I24"/>
  <c r="J24"/>
  <c r="K24"/>
  <c r="L24"/>
  <c r="M24"/>
  <c r="N24"/>
  <c r="O24"/>
  <c r="P24"/>
  <c r="Q24"/>
  <c r="R24"/>
  <c r="S24"/>
  <c r="B24"/>
  <c r="C22"/>
  <c r="D22"/>
  <c r="E22"/>
  <c r="F22"/>
  <c r="G22"/>
  <c r="H22"/>
  <c r="I22"/>
  <c r="J22"/>
  <c r="K22"/>
  <c r="L22"/>
  <c r="M22"/>
  <c r="N22"/>
  <c r="O22"/>
  <c r="P22"/>
  <c r="Q22"/>
  <c r="R22"/>
  <c r="S22"/>
  <c r="B22"/>
  <c r="C15"/>
  <c r="D15"/>
  <c r="E15"/>
  <c r="F15"/>
  <c r="G15"/>
  <c r="H15"/>
  <c r="I15"/>
  <c r="J15"/>
  <c r="K15"/>
  <c r="L15"/>
  <c r="M15"/>
  <c r="N15"/>
  <c r="O15"/>
  <c r="P15"/>
  <c r="Q15"/>
  <c r="R15"/>
  <c r="S15"/>
  <c r="B15"/>
  <c r="C14"/>
  <c r="D14"/>
  <c r="E14"/>
  <c r="F14"/>
  <c r="G14"/>
  <c r="H14"/>
  <c r="I14"/>
  <c r="J14"/>
  <c r="K14"/>
  <c r="L14"/>
  <c r="M14"/>
  <c r="N14"/>
  <c r="O14"/>
  <c r="P14"/>
  <c r="Q14"/>
  <c r="R14"/>
  <c r="S14"/>
  <c r="B14"/>
  <c r="C12"/>
  <c r="D12"/>
  <c r="E12"/>
  <c r="F12"/>
  <c r="G12"/>
  <c r="H12"/>
  <c r="I12"/>
  <c r="J12"/>
  <c r="K12"/>
  <c r="L12"/>
  <c r="M12"/>
  <c r="N12"/>
  <c r="O12"/>
  <c r="P12"/>
  <c r="Q12"/>
  <c r="R12"/>
  <c r="S12"/>
  <c r="B12"/>
  <c r="C10"/>
  <c r="D10"/>
  <c r="E10"/>
  <c r="F10"/>
  <c r="G10"/>
  <c r="H10"/>
  <c r="I10"/>
  <c r="J10"/>
  <c r="K10"/>
  <c r="L10"/>
  <c r="M10"/>
  <c r="N10"/>
  <c r="O10"/>
  <c r="P10"/>
  <c r="Q10"/>
  <c r="R10"/>
  <c r="S10"/>
  <c r="B10"/>
  <c r="C8"/>
  <c r="D8"/>
  <c r="E8"/>
  <c r="F8"/>
  <c r="G8"/>
  <c r="H8"/>
  <c r="I8"/>
  <c r="J8"/>
  <c r="K8"/>
  <c r="L8"/>
  <c r="M8"/>
  <c r="N8"/>
  <c r="O8"/>
  <c r="P8"/>
  <c r="Q8"/>
  <c r="R8"/>
  <c r="S8"/>
  <c r="B8"/>
  <c r="C8" i="1"/>
  <c r="D8"/>
  <c r="E8"/>
  <c r="F8"/>
  <c r="G8"/>
  <c r="H8"/>
  <c r="I8"/>
  <c r="J8"/>
  <c r="K8"/>
  <c r="L8"/>
  <c r="M8"/>
  <c r="N8"/>
  <c r="O8"/>
  <c r="P8"/>
  <c r="Q8"/>
  <c r="R8"/>
  <c r="S8"/>
  <c r="B8"/>
  <c r="C29"/>
  <c r="D29"/>
  <c r="E29"/>
  <c r="F29"/>
  <c r="G29"/>
  <c r="H29"/>
  <c r="I29"/>
  <c r="J29"/>
  <c r="K29"/>
  <c r="L29"/>
  <c r="M29"/>
  <c r="N29"/>
  <c r="O29"/>
  <c r="P29"/>
  <c r="Q29"/>
  <c r="R29"/>
  <c r="S29"/>
  <c r="B29"/>
  <c r="C28"/>
  <c r="D28"/>
  <c r="E28"/>
  <c r="F28"/>
  <c r="G28"/>
  <c r="H28"/>
  <c r="I28"/>
  <c r="J28"/>
  <c r="K28"/>
  <c r="L28"/>
  <c r="M28"/>
  <c r="N28"/>
  <c r="O28"/>
  <c r="P28"/>
  <c r="Q28"/>
  <c r="R28"/>
  <c r="S28"/>
  <c r="B28"/>
  <c r="C26"/>
  <c r="D26"/>
  <c r="E26"/>
  <c r="F26"/>
  <c r="G26"/>
  <c r="H26"/>
  <c r="I26"/>
  <c r="J26"/>
  <c r="K26"/>
  <c r="L26"/>
  <c r="M26"/>
  <c r="N26"/>
  <c r="O26"/>
  <c r="P26"/>
  <c r="Q26"/>
  <c r="R26"/>
  <c r="S26"/>
  <c r="B26"/>
  <c r="C24"/>
  <c r="D24"/>
  <c r="E24"/>
  <c r="F24"/>
  <c r="G24"/>
  <c r="H24"/>
  <c r="I24"/>
  <c r="J24"/>
  <c r="K24"/>
  <c r="L24"/>
  <c r="M24"/>
  <c r="N24"/>
  <c r="O24"/>
  <c r="P24"/>
  <c r="Q24"/>
  <c r="R24"/>
  <c r="S24"/>
  <c r="B24"/>
  <c r="C22"/>
  <c r="D22"/>
  <c r="E22"/>
  <c r="F22"/>
  <c r="G22"/>
  <c r="H22"/>
  <c r="I22"/>
  <c r="J22"/>
  <c r="K22"/>
  <c r="L22"/>
  <c r="M22"/>
  <c r="N22"/>
  <c r="O22"/>
  <c r="P22"/>
  <c r="Q22"/>
  <c r="R22"/>
  <c r="S22"/>
  <c r="B22"/>
  <c r="C15"/>
  <c r="D15"/>
  <c r="E15"/>
  <c r="F15"/>
  <c r="G15"/>
  <c r="H15"/>
  <c r="I15"/>
  <c r="J15"/>
  <c r="K15"/>
  <c r="L15"/>
  <c r="M15"/>
  <c r="N15"/>
  <c r="O15"/>
  <c r="P15"/>
  <c r="Q15"/>
  <c r="R15"/>
  <c r="S15"/>
  <c r="B15"/>
  <c r="C14"/>
  <c r="D14"/>
  <c r="E14"/>
  <c r="F14"/>
  <c r="G14"/>
  <c r="H14"/>
  <c r="I14"/>
  <c r="J14"/>
  <c r="K14"/>
  <c r="L14"/>
  <c r="M14"/>
  <c r="N14"/>
  <c r="O14"/>
  <c r="P14"/>
  <c r="Q14"/>
  <c r="R14"/>
  <c r="S14"/>
  <c r="B14"/>
  <c r="C12"/>
  <c r="D12"/>
  <c r="E12"/>
  <c r="F12"/>
  <c r="G12"/>
  <c r="H12"/>
  <c r="I12"/>
  <c r="J12"/>
  <c r="K12"/>
  <c r="L12"/>
  <c r="M12"/>
  <c r="N12"/>
  <c r="O12"/>
  <c r="P12"/>
  <c r="Q12"/>
  <c r="R12"/>
  <c r="S12"/>
  <c r="B12"/>
  <c r="C10"/>
  <c r="D10"/>
  <c r="E10"/>
  <c r="F10"/>
  <c r="G10"/>
  <c r="H10"/>
  <c r="I10"/>
  <c r="J10"/>
  <c r="K10"/>
  <c r="L10"/>
  <c r="M10"/>
  <c r="N10"/>
  <c r="O10"/>
  <c r="P10"/>
  <c r="Q10"/>
  <c r="R10"/>
  <c r="S10"/>
  <c r="B10"/>
  <c r="S21" i="35" l="1"/>
  <c r="R21"/>
  <c r="Q21"/>
  <c r="P21"/>
  <c r="O21"/>
  <c r="N21"/>
  <c r="M21"/>
  <c r="L21"/>
  <c r="K21"/>
  <c r="J21"/>
  <c r="I21"/>
  <c r="H21"/>
  <c r="G21"/>
  <c r="F21"/>
  <c r="E21"/>
  <c r="D21"/>
  <c r="C21"/>
  <c r="B21"/>
  <c r="S7"/>
  <c r="R7"/>
  <c r="Q7"/>
  <c r="P7"/>
  <c r="O7"/>
  <c r="N7"/>
  <c r="M7"/>
  <c r="L7"/>
  <c r="K7"/>
  <c r="J7"/>
  <c r="I7"/>
  <c r="H7"/>
  <c r="G7"/>
  <c r="F7"/>
  <c r="E7"/>
  <c r="D7"/>
  <c r="C7"/>
  <c r="B7"/>
  <c r="S21" i="34"/>
  <c r="R21"/>
  <c r="Q21"/>
  <c r="P21"/>
  <c r="O21"/>
  <c r="N21"/>
  <c r="M21"/>
  <c r="L21"/>
  <c r="K21"/>
  <c r="J21"/>
  <c r="I21"/>
  <c r="H21"/>
  <c r="G21"/>
  <c r="F21"/>
  <c r="E21"/>
  <c r="D21"/>
  <c r="C21"/>
  <c r="B21"/>
  <c r="S7"/>
  <c r="R7"/>
  <c r="Q7"/>
  <c r="P7"/>
  <c r="O7"/>
  <c r="N7"/>
  <c r="M7"/>
  <c r="L7"/>
  <c r="K7"/>
  <c r="J7"/>
  <c r="I7"/>
  <c r="H7"/>
  <c r="G7"/>
  <c r="F7"/>
  <c r="E7"/>
  <c r="D7"/>
  <c r="C7"/>
  <c r="B7"/>
  <c r="S21" i="33"/>
  <c r="R21"/>
  <c r="Q21"/>
  <c r="P21"/>
  <c r="O21"/>
  <c r="N21"/>
  <c r="M21"/>
  <c r="L21"/>
  <c r="K21"/>
  <c r="J21"/>
  <c r="I21"/>
  <c r="H21"/>
  <c r="G21"/>
  <c r="F21"/>
  <c r="E21"/>
  <c r="D21"/>
  <c r="C21"/>
  <c r="B21"/>
  <c r="S7"/>
  <c r="R7"/>
  <c r="Q7"/>
  <c r="P7"/>
  <c r="O7"/>
  <c r="N7"/>
  <c r="M7"/>
  <c r="L7"/>
  <c r="K7"/>
  <c r="J7"/>
  <c r="I7"/>
  <c r="H7"/>
  <c r="G7"/>
  <c r="F7"/>
  <c r="E7"/>
  <c r="D7"/>
  <c r="C7"/>
  <c r="B7"/>
  <c r="S21" i="32"/>
  <c r="R21"/>
  <c r="Q21"/>
  <c r="P21"/>
  <c r="O21"/>
  <c r="N21"/>
  <c r="M21"/>
  <c r="L21"/>
  <c r="K21"/>
  <c r="J21"/>
  <c r="I21"/>
  <c r="H21"/>
  <c r="G21"/>
  <c r="F21"/>
  <c r="E21"/>
  <c r="D21"/>
  <c r="C21"/>
  <c r="B21"/>
  <c r="S7"/>
  <c r="R7"/>
  <c r="Q7"/>
  <c r="P7"/>
  <c r="O7"/>
  <c r="N7"/>
  <c r="M7"/>
  <c r="L7"/>
  <c r="K7"/>
  <c r="J7"/>
  <c r="I7"/>
  <c r="H7"/>
  <c r="G7"/>
  <c r="F7"/>
  <c r="E7"/>
  <c r="D7"/>
  <c r="C7"/>
  <c r="B7"/>
  <c r="Q7" i="24" l="1"/>
  <c r="P7"/>
  <c r="O7"/>
  <c r="N7"/>
  <c r="M7"/>
  <c r="L7"/>
  <c r="K7"/>
  <c r="J7"/>
  <c r="I7"/>
  <c r="H7"/>
  <c r="G7"/>
  <c r="F7"/>
  <c r="E7"/>
  <c r="D7"/>
  <c r="C7"/>
  <c r="B7"/>
  <c r="O21" i="7"/>
  <c r="P21"/>
  <c r="Q21"/>
  <c r="R21"/>
  <c r="S21"/>
  <c r="O7"/>
  <c r="P7"/>
  <c r="Q7"/>
  <c r="R7"/>
  <c r="S7"/>
  <c r="O21" i="19"/>
  <c r="P21"/>
  <c r="Q21"/>
  <c r="R21"/>
  <c r="S21"/>
  <c r="O7"/>
  <c r="P7"/>
  <c r="Q7"/>
  <c r="R7"/>
  <c r="S7"/>
  <c r="O21" i="18"/>
  <c r="P21"/>
  <c r="Q21"/>
  <c r="R21"/>
  <c r="S21"/>
  <c r="O7"/>
  <c r="P7"/>
  <c r="Q7"/>
  <c r="R7"/>
  <c r="S7"/>
  <c r="O21" i="17"/>
  <c r="P21"/>
  <c r="Q21"/>
  <c r="R21"/>
  <c r="S21"/>
  <c r="O7"/>
  <c r="P7"/>
  <c r="Q7"/>
  <c r="R7"/>
  <c r="S7"/>
  <c r="O21" i="16"/>
  <c r="P21"/>
  <c r="Q21"/>
  <c r="R21"/>
  <c r="S21"/>
  <c r="O7"/>
  <c r="P7"/>
  <c r="Q7"/>
  <c r="R7"/>
  <c r="S7"/>
  <c r="O7" i="15"/>
  <c r="P7"/>
  <c r="Q7"/>
  <c r="R7"/>
  <c r="S7"/>
  <c r="O21" i="14"/>
  <c r="P21"/>
  <c r="Q21"/>
  <c r="R21"/>
  <c r="S21"/>
  <c r="O7"/>
  <c r="P7"/>
  <c r="Q7"/>
  <c r="R7"/>
  <c r="S7"/>
  <c r="O21" i="6"/>
  <c r="P21"/>
  <c r="Q21"/>
  <c r="R21"/>
  <c r="S21"/>
  <c r="O7"/>
  <c r="P7"/>
  <c r="Q7"/>
  <c r="R7"/>
  <c r="S7"/>
  <c r="O21" i="5"/>
  <c r="P21"/>
  <c r="Q21"/>
  <c r="R21"/>
  <c r="S21"/>
  <c r="O7"/>
  <c r="P7"/>
  <c r="Q7"/>
  <c r="R7"/>
  <c r="S7"/>
  <c r="O21" i="4"/>
  <c r="P21"/>
  <c r="Q21"/>
  <c r="R21"/>
  <c r="S21"/>
  <c r="O7"/>
  <c r="P7"/>
  <c r="Q7"/>
  <c r="R7"/>
  <c r="S7"/>
  <c r="O21" i="3"/>
  <c r="P21"/>
  <c r="Q21"/>
  <c r="R21"/>
  <c r="S21"/>
  <c r="O7"/>
  <c r="P7"/>
  <c r="Q7"/>
  <c r="R7"/>
  <c r="S7"/>
  <c r="O21" i="2"/>
  <c r="P21"/>
  <c r="Q21"/>
  <c r="R21"/>
  <c r="S21"/>
  <c r="O7"/>
  <c r="P7"/>
  <c r="Q7"/>
  <c r="R7"/>
  <c r="S7"/>
  <c r="O21" i="1"/>
  <c r="P21"/>
  <c r="Q21"/>
  <c r="R21"/>
  <c r="S21"/>
  <c r="O7"/>
  <c r="P7"/>
  <c r="Q7"/>
  <c r="R7"/>
  <c r="S7"/>
  <c r="O7" i="13" l="1"/>
  <c r="P7"/>
  <c r="Q7"/>
  <c r="R7"/>
  <c r="S7"/>
  <c r="T7"/>
  <c r="U7"/>
  <c r="V7"/>
  <c r="W7"/>
  <c r="X7"/>
  <c r="O7" i="12"/>
  <c r="P7"/>
  <c r="Q7"/>
  <c r="R7"/>
  <c r="S7"/>
  <c r="T7"/>
  <c r="U7"/>
  <c r="V7"/>
  <c r="W7"/>
  <c r="X7"/>
  <c r="O7" i="10"/>
  <c r="P7"/>
  <c r="Q7"/>
  <c r="R7"/>
  <c r="S7"/>
  <c r="T7"/>
  <c r="U7"/>
  <c r="V7"/>
  <c r="W7"/>
  <c r="X7"/>
  <c r="N7"/>
  <c r="P7" i="11"/>
  <c r="Q7"/>
  <c r="O7"/>
  <c r="E14" i="9" l="1"/>
  <c r="M14" s="1"/>
  <c r="N7" i="13"/>
  <c r="M7"/>
  <c r="L7"/>
  <c r="K7"/>
  <c r="J7"/>
  <c r="I7"/>
  <c r="H7"/>
  <c r="G7"/>
  <c r="F7"/>
  <c r="E7"/>
  <c r="D7"/>
  <c r="C7"/>
  <c r="B7"/>
  <c r="N21" i="7"/>
  <c r="M21"/>
  <c r="L21"/>
  <c r="K21"/>
  <c r="J21"/>
  <c r="I21"/>
  <c r="H21"/>
  <c r="G21"/>
  <c r="F21"/>
  <c r="E21"/>
  <c r="D21"/>
  <c r="C21"/>
  <c r="B21"/>
  <c r="N7"/>
  <c r="M7"/>
  <c r="L7"/>
  <c r="K7"/>
  <c r="J7"/>
  <c r="I7"/>
  <c r="H7"/>
  <c r="G7"/>
  <c r="F7"/>
  <c r="E7"/>
  <c r="D7"/>
  <c r="C7"/>
  <c r="B7"/>
  <c r="N7" i="12"/>
  <c r="M7"/>
  <c r="L7"/>
  <c r="K7"/>
  <c r="J7"/>
  <c r="I7"/>
  <c r="H7"/>
  <c r="G7"/>
  <c r="F7"/>
  <c r="E7"/>
  <c r="D7"/>
  <c r="C7"/>
  <c r="B7"/>
  <c r="M7" i="10"/>
  <c r="L7"/>
  <c r="K7"/>
  <c r="J7"/>
  <c r="I7"/>
  <c r="H7"/>
  <c r="G7"/>
  <c r="F7"/>
  <c r="E7"/>
  <c r="D7"/>
  <c r="C7"/>
  <c r="B7"/>
  <c r="N7" i="11"/>
  <c r="M7"/>
  <c r="L7"/>
  <c r="K7"/>
  <c r="J7"/>
  <c r="I7"/>
  <c r="H7"/>
  <c r="G7"/>
  <c r="F7"/>
  <c r="E7"/>
  <c r="D7"/>
  <c r="C7"/>
  <c r="B7"/>
  <c r="C21" i="19"/>
  <c r="D21"/>
  <c r="E21"/>
  <c r="F21"/>
  <c r="G21"/>
  <c r="H21"/>
  <c r="I21"/>
  <c r="J21"/>
  <c r="K21"/>
  <c r="L21"/>
  <c r="M21"/>
  <c r="N21"/>
  <c r="B21"/>
  <c r="C7"/>
  <c r="D7"/>
  <c r="E7"/>
  <c r="F7"/>
  <c r="G7"/>
  <c r="H7"/>
  <c r="I7"/>
  <c r="J7"/>
  <c r="K7"/>
  <c r="L7"/>
  <c r="M7"/>
  <c r="N7"/>
  <c r="B7"/>
  <c r="C21" i="18"/>
  <c r="D21"/>
  <c r="E21"/>
  <c r="F21"/>
  <c r="G21"/>
  <c r="H21"/>
  <c r="I21"/>
  <c r="J21"/>
  <c r="K21"/>
  <c r="L21"/>
  <c r="M21"/>
  <c r="N21"/>
  <c r="B21"/>
  <c r="C7"/>
  <c r="D7"/>
  <c r="E7"/>
  <c r="F7"/>
  <c r="G7"/>
  <c r="H7"/>
  <c r="I7"/>
  <c r="J7"/>
  <c r="K7"/>
  <c r="L7"/>
  <c r="M7"/>
  <c r="N7"/>
  <c r="B7"/>
  <c r="C21" i="17"/>
  <c r="D21"/>
  <c r="E21"/>
  <c r="F21"/>
  <c r="G21"/>
  <c r="H21"/>
  <c r="I21"/>
  <c r="J21"/>
  <c r="K21"/>
  <c r="L21"/>
  <c r="M21"/>
  <c r="N21"/>
  <c r="B21"/>
  <c r="C7"/>
  <c r="D7"/>
  <c r="E7"/>
  <c r="F7"/>
  <c r="G7"/>
  <c r="H7"/>
  <c r="I7"/>
  <c r="J7"/>
  <c r="K7"/>
  <c r="L7"/>
  <c r="M7"/>
  <c r="N7"/>
  <c r="B7"/>
  <c r="C21" i="16"/>
  <c r="D21"/>
  <c r="E21"/>
  <c r="F21"/>
  <c r="G21"/>
  <c r="H21"/>
  <c r="I21"/>
  <c r="J21"/>
  <c r="K21"/>
  <c r="L21"/>
  <c r="M21"/>
  <c r="N21"/>
  <c r="B21"/>
  <c r="C7"/>
  <c r="D7"/>
  <c r="E7"/>
  <c r="F7"/>
  <c r="G7"/>
  <c r="H7"/>
  <c r="I7"/>
  <c r="J7"/>
  <c r="K7"/>
  <c r="L7"/>
  <c r="M7"/>
  <c r="N7"/>
  <c r="B7"/>
  <c r="B21" i="15"/>
  <c r="C7"/>
  <c r="D7"/>
  <c r="E7"/>
  <c r="F7"/>
  <c r="G7"/>
  <c r="H7"/>
  <c r="I7"/>
  <c r="J7"/>
  <c r="K7"/>
  <c r="L7"/>
  <c r="M7"/>
  <c r="N7"/>
  <c r="B7"/>
  <c r="C21" i="14"/>
  <c r="D21"/>
  <c r="E21"/>
  <c r="F21"/>
  <c r="G21"/>
  <c r="H21"/>
  <c r="I21"/>
  <c r="J21"/>
  <c r="K21"/>
  <c r="L21"/>
  <c r="M21"/>
  <c r="N21"/>
  <c r="B21"/>
  <c r="C7"/>
  <c r="D7"/>
  <c r="E7"/>
  <c r="F7"/>
  <c r="G7"/>
  <c r="H7"/>
  <c r="I7"/>
  <c r="J7"/>
  <c r="K7"/>
  <c r="L7"/>
  <c r="M7"/>
  <c r="N7"/>
  <c r="B7"/>
  <c r="N21" i="6"/>
  <c r="M21"/>
  <c r="L21"/>
  <c r="K21"/>
  <c r="J21"/>
  <c r="I21"/>
  <c r="H21"/>
  <c r="G21"/>
  <c r="F21"/>
  <c r="E21"/>
  <c r="D21"/>
  <c r="C21"/>
  <c r="B21"/>
  <c r="N7"/>
  <c r="M7"/>
  <c r="L7"/>
  <c r="K7"/>
  <c r="J7"/>
  <c r="I7"/>
  <c r="H7"/>
  <c r="G7"/>
  <c r="F7"/>
  <c r="E7"/>
  <c r="D7"/>
  <c r="C7"/>
  <c r="B7"/>
  <c r="N21" i="5"/>
  <c r="M21"/>
  <c r="L21"/>
  <c r="K21"/>
  <c r="J21"/>
  <c r="I21"/>
  <c r="H21"/>
  <c r="G21"/>
  <c r="F21"/>
  <c r="E21"/>
  <c r="D21"/>
  <c r="C21"/>
  <c r="B21"/>
  <c r="N7"/>
  <c r="M7"/>
  <c r="L7"/>
  <c r="K7"/>
  <c r="J7"/>
  <c r="I7"/>
  <c r="H7"/>
  <c r="G7"/>
  <c r="F7"/>
  <c r="E7"/>
  <c r="D7"/>
  <c r="C7"/>
  <c r="B7"/>
  <c r="N21" i="4"/>
  <c r="M21"/>
  <c r="L21"/>
  <c r="K21"/>
  <c r="J21"/>
  <c r="I21"/>
  <c r="H21"/>
  <c r="G21"/>
  <c r="F21"/>
  <c r="E21"/>
  <c r="D21"/>
  <c r="C21"/>
  <c r="B21"/>
  <c r="N7"/>
  <c r="M7"/>
  <c r="L7"/>
  <c r="K7"/>
  <c r="J7"/>
  <c r="I7"/>
  <c r="H7"/>
  <c r="G7"/>
  <c r="F7"/>
  <c r="E7"/>
  <c r="D7"/>
  <c r="C7"/>
  <c r="B7"/>
  <c r="N21" i="3"/>
  <c r="M21"/>
  <c r="L21"/>
  <c r="K21"/>
  <c r="J21"/>
  <c r="I21"/>
  <c r="H21"/>
  <c r="G21"/>
  <c r="F21"/>
  <c r="E21"/>
  <c r="D21"/>
  <c r="C21"/>
  <c r="B21"/>
  <c r="N7"/>
  <c r="M7"/>
  <c r="L7"/>
  <c r="K7"/>
  <c r="J7"/>
  <c r="I7"/>
  <c r="H7"/>
  <c r="G7"/>
  <c r="F7"/>
  <c r="E7"/>
  <c r="D7"/>
  <c r="C7"/>
  <c r="B7"/>
  <c r="N21" i="2"/>
  <c r="M21"/>
  <c r="L21"/>
  <c r="K21"/>
  <c r="J21"/>
  <c r="I21"/>
  <c r="H21"/>
  <c r="G21"/>
  <c r="F21"/>
  <c r="E21"/>
  <c r="D21"/>
  <c r="C21"/>
  <c r="B21"/>
  <c r="N7"/>
  <c r="M7"/>
  <c r="L7"/>
  <c r="K7"/>
  <c r="J7"/>
  <c r="I7"/>
  <c r="H7"/>
  <c r="G7"/>
  <c r="F7"/>
  <c r="E7"/>
  <c r="D7"/>
  <c r="C7"/>
  <c r="B7"/>
  <c r="E13" i="9"/>
  <c r="G13" s="1"/>
  <c r="E12"/>
  <c r="G12" s="1"/>
  <c r="E11"/>
  <c r="O11" s="1"/>
  <c r="D4"/>
  <c r="E4" s="1"/>
  <c r="O4" s="1"/>
  <c r="D5"/>
  <c r="E5" s="1"/>
  <c r="D6"/>
  <c r="E6" s="1"/>
  <c r="K6" s="1"/>
  <c r="D7"/>
  <c r="E7" s="1"/>
  <c r="M7" s="1"/>
  <c r="D8"/>
  <c r="E8" s="1"/>
  <c r="K8" s="1"/>
  <c r="D9"/>
  <c r="E9" s="1"/>
  <c r="D10"/>
  <c r="E10" s="1"/>
  <c r="O10" s="1"/>
  <c r="D3"/>
  <c r="E3" s="1"/>
  <c r="N21" i="1"/>
  <c r="M21"/>
  <c r="L21"/>
  <c r="K21"/>
  <c r="J21"/>
  <c r="I21"/>
  <c r="H21"/>
  <c r="G21"/>
  <c r="F21"/>
  <c r="E21"/>
  <c r="D21"/>
  <c r="C21"/>
  <c r="B21"/>
  <c r="C7"/>
  <c r="D7"/>
  <c r="E7"/>
  <c r="F7"/>
  <c r="G7"/>
  <c r="H7"/>
  <c r="I7"/>
  <c r="J7"/>
  <c r="K7"/>
  <c r="L7"/>
  <c r="M7"/>
  <c r="N7"/>
  <c r="B7"/>
  <c r="D13" i="16" l="1"/>
  <c r="H13"/>
  <c r="L13"/>
  <c r="P13"/>
  <c r="R13"/>
  <c r="B13"/>
  <c r="C13"/>
  <c r="G13"/>
  <c r="K13"/>
  <c r="O13"/>
  <c r="Q13"/>
  <c r="S13"/>
  <c r="D13" i="3"/>
  <c r="H13"/>
  <c r="L13"/>
  <c r="P13"/>
  <c r="R13"/>
  <c r="B13"/>
  <c r="C13"/>
  <c r="G13"/>
  <c r="K13"/>
  <c r="O13"/>
  <c r="Q13"/>
  <c r="S13"/>
  <c r="E13" i="16"/>
  <c r="N13"/>
  <c r="J13"/>
  <c r="F13"/>
  <c r="M13"/>
  <c r="I13"/>
  <c r="J13" i="3"/>
  <c r="I13"/>
  <c r="F13"/>
  <c r="N13"/>
  <c r="E13"/>
  <c r="M13"/>
  <c r="Q11" i="9"/>
  <c r="I11"/>
  <c r="M11"/>
  <c r="G11"/>
  <c r="K11"/>
  <c r="G14"/>
  <c r="K14"/>
  <c r="O14"/>
  <c r="I14"/>
  <c r="G10"/>
  <c r="K10"/>
  <c r="I10"/>
  <c r="M10"/>
  <c r="Q10"/>
  <c r="O9"/>
  <c r="Q9"/>
  <c r="M9"/>
  <c r="K9"/>
  <c r="I9"/>
  <c r="G9"/>
  <c r="I8"/>
  <c r="M8"/>
  <c r="Q8"/>
  <c r="O8"/>
  <c r="G8"/>
  <c r="I13" i="10"/>
  <c r="Q7" i="9"/>
  <c r="G7"/>
  <c r="I7"/>
  <c r="K7"/>
  <c r="I6"/>
  <c r="M6"/>
  <c r="Q6"/>
  <c r="G6"/>
  <c r="Q5"/>
  <c r="O5"/>
  <c r="M5"/>
  <c r="K5"/>
  <c r="I5"/>
  <c r="G5"/>
  <c r="I4"/>
  <c r="M4"/>
  <c r="G4"/>
  <c r="K4"/>
  <c r="Q4"/>
  <c r="M3"/>
  <c r="K3"/>
  <c r="I3"/>
  <c r="G3"/>
  <c r="Q3"/>
  <c r="Q9" i="11" l="1"/>
  <c r="U9"/>
  <c r="F9"/>
  <c r="J9"/>
  <c r="N9"/>
  <c r="R9"/>
  <c r="V9"/>
  <c r="D9" i="24"/>
  <c r="F9"/>
  <c r="H9"/>
  <c r="J9"/>
  <c r="L9"/>
  <c r="N9"/>
  <c r="P9"/>
  <c r="R9"/>
  <c r="T9"/>
  <c r="V9"/>
  <c r="X9"/>
  <c r="C9"/>
  <c r="E9"/>
  <c r="G9"/>
  <c r="I9"/>
  <c r="K9"/>
  <c r="M9"/>
  <c r="O9"/>
  <c r="Q9"/>
  <c r="S9"/>
  <c r="U9"/>
  <c r="W9"/>
  <c r="B9"/>
  <c r="D23" i="14"/>
  <c r="H23"/>
  <c r="P23"/>
  <c r="R23"/>
  <c r="F9"/>
  <c r="J9"/>
  <c r="P9"/>
  <c r="R9"/>
  <c r="K23"/>
  <c r="O23"/>
  <c r="Q23"/>
  <c r="S23"/>
  <c r="E9"/>
  <c r="M9"/>
  <c r="O9"/>
  <c r="Q9"/>
  <c r="S9"/>
  <c r="D23" i="1"/>
  <c r="N23"/>
  <c r="P23"/>
  <c r="R23"/>
  <c r="B23"/>
  <c r="H9"/>
  <c r="J9"/>
  <c r="N9"/>
  <c r="P9"/>
  <c r="R9"/>
  <c r="B9"/>
  <c r="G23"/>
  <c r="I23"/>
  <c r="K23"/>
  <c r="O23"/>
  <c r="Q23"/>
  <c r="S23"/>
  <c r="C9"/>
  <c r="E9"/>
  <c r="I9"/>
  <c r="K9"/>
  <c r="M9"/>
  <c r="O9"/>
  <c r="Q9"/>
  <c r="S9"/>
  <c r="Q29" i="11"/>
  <c r="U29"/>
  <c r="B29"/>
  <c r="C22" i="24"/>
  <c r="E22"/>
  <c r="G22"/>
  <c r="I22"/>
  <c r="K22"/>
  <c r="M22"/>
  <c r="O22"/>
  <c r="Q22"/>
  <c r="S22"/>
  <c r="U22"/>
  <c r="W22"/>
  <c r="B22"/>
  <c r="D22"/>
  <c r="F22"/>
  <c r="H22"/>
  <c r="J22"/>
  <c r="L22"/>
  <c r="N22"/>
  <c r="P22"/>
  <c r="R22"/>
  <c r="T22"/>
  <c r="V22"/>
  <c r="X22"/>
  <c r="P25" i="15"/>
  <c r="R25"/>
  <c r="P11"/>
  <c r="R11"/>
  <c r="O25"/>
  <c r="Q25"/>
  <c r="S25"/>
  <c r="O11"/>
  <c r="Q11"/>
  <c r="S11"/>
  <c r="P25" i="2"/>
  <c r="R25"/>
  <c r="P11"/>
  <c r="R11"/>
  <c r="O25"/>
  <c r="Q25"/>
  <c r="S25"/>
  <c r="O11"/>
  <c r="Q11"/>
  <c r="S11"/>
  <c r="C10" i="28"/>
  <c r="E10"/>
  <c r="G10"/>
  <c r="I10"/>
  <c r="K10"/>
  <c r="M10"/>
  <c r="O10"/>
  <c r="Q10"/>
  <c r="S10"/>
  <c r="U10"/>
  <c r="W10"/>
  <c r="B10"/>
  <c r="D10"/>
  <c r="F10"/>
  <c r="H10"/>
  <c r="J10"/>
  <c r="L10"/>
  <c r="N10"/>
  <c r="P10"/>
  <c r="R10"/>
  <c r="T10"/>
  <c r="V10"/>
  <c r="X10"/>
  <c r="P25" i="18"/>
  <c r="R25"/>
  <c r="P11"/>
  <c r="R11"/>
  <c r="O25"/>
  <c r="Q25"/>
  <c r="S25"/>
  <c r="O11"/>
  <c r="Q11"/>
  <c r="S11"/>
  <c r="H25" i="5"/>
  <c r="P25"/>
  <c r="R25"/>
  <c r="B25"/>
  <c r="J11"/>
  <c r="N11"/>
  <c r="P11"/>
  <c r="R11"/>
  <c r="G25"/>
  <c r="O25"/>
  <c r="Q25"/>
  <c r="S25"/>
  <c r="I11"/>
  <c r="M11"/>
  <c r="O11"/>
  <c r="Q11"/>
  <c r="S11"/>
  <c r="R29" i="13"/>
  <c r="D11" i="11"/>
  <c r="H11"/>
  <c r="L11"/>
  <c r="T11"/>
  <c r="X11"/>
  <c r="E11"/>
  <c r="I11"/>
  <c r="M11"/>
  <c r="Q11"/>
  <c r="U11"/>
  <c r="C11" i="24"/>
  <c r="E11"/>
  <c r="G11"/>
  <c r="I11"/>
  <c r="K11"/>
  <c r="M11"/>
  <c r="O11"/>
  <c r="Q11"/>
  <c r="S11"/>
  <c r="U11"/>
  <c r="W11"/>
  <c r="B11"/>
  <c r="D11"/>
  <c r="F11"/>
  <c r="H11"/>
  <c r="J11"/>
  <c r="L11"/>
  <c r="N11"/>
  <c r="P11"/>
  <c r="R11"/>
  <c r="T11"/>
  <c r="V11"/>
  <c r="X11"/>
  <c r="F25" i="14"/>
  <c r="J25"/>
  <c r="N25"/>
  <c r="P25"/>
  <c r="R25"/>
  <c r="D11"/>
  <c r="H11"/>
  <c r="P11"/>
  <c r="R11"/>
  <c r="I25"/>
  <c r="O25"/>
  <c r="Q25"/>
  <c r="S25"/>
  <c r="K11"/>
  <c r="O11"/>
  <c r="Q11"/>
  <c r="S11"/>
  <c r="D25" i="1"/>
  <c r="F25"/>
  <c r="H25"/>
  <c r="N25"/>
  <c r="P25"/>
  <c r="R25"/>
  <c r="D11"/>
  <c r="F11"/>
  <c r="H11"/>
  <c r="N11"/>
  <c r="P11"/>
  <c r="R11"/>
  <c r="K25"/>
  <c r="O25"/>
  <c r="Q25"/>
  <c r="S25"/>
  <c r="C11"/>
  <c r="E11"/>
  <c r="I11"/>
  <c r="K11"/>
  <c r="M11"/>
  <c r="O11"/>
  <c r="Q11"/>
  <c r="S11"/>
  <c r="I13" i="11"/>
  <c r="U13"/>
  <c r="B13"/>
  <c r="D13"/>
  <c r="L13"/>
  <c r="P13"/>
  <c r="T13"/>
  <c r="X13"/>
  <c r="N27" i="14"/>
  <c r="P27"/>
  <c r="R27"/>
  <c r="F13"/>
  <c r="J13"/>
  <c r="P13"/>
  <c r="R13"/>
  <c r="M27"/>
  <c r="O27"/>
  <c r="Q27"/>
  <c r="S27"/>
  <c r="E13"/>
  <c r="I13"/>
  <c r="M13"/>
  <c r="O13"/>
  <c r="Q13"/>
  <c r="S13"/>
  <c r="F27" i="1"/>
  <c r="H27"/>
  <c r="P27"/>
  <c r="R27"/>
  <c r="B27"/>
  <c r="D13"/>
  <c r="F13"/>
  <c r="J13"/>
  <c r="N13"/>
  <c r="P13"/>
  <c r="R13"/>
  <c r="E27"/>
  <c r="K27"/>
  <c r="M27"/>
  <c r="O27"/>
  <c r="Q27"/>
  <c r="S27"/>
  <c r="C13"/>
  <c r="I13"/>
  <c r="K13"/>
  <c r="M13"/>
  <c r="O13"/>
  <c r="Q13"/>
  <c r="S13"/>
  <c r="J31" i="11"/>
  <c r="C31"/>
  <c r="K31"/>
  <c r="P27" i="15"/>
  <c r="R27"/>
  <c r="P13"/>
  <c r="R13"/>
  <c r="O27"/>
  <c r="Q27"/>
  <c r="S27"/>
  <c r="O13"/>
  <c r="Q13"/>
  <c r="S13"/>
  <c r="P27" i="2"/>
  <c r="R27"/>
  <c r="P13"/>
  <c r="R13"/>
  <c r="O27"/>
  <c r="Q27"/>
  <c r="S27"/>
  <c r="O13"/>
  <c r="Q13"/>
  <c r="S13"/>
  <c r="D8" i="27"/>
  <c r="F8"/>
  <c r="H8"/>
  <c r="J8"/>
  <c r="L8"/>
  <c r="N8"/>
  <c r="P8"/>
  <c r="R8"/>
  <c r="T8"/>
  <c r="V8"/>
  <c r="X8"/>
  <c r="C8"/>
  <c r="E8"/>
  <c r="G8"/>
  <c r="I8"/>
  <c r="K8"/>
  <c r="M8"/>
  <c r="O8"/>
  <c r="Q8"/>
  <c r="S8"/>
  <c r="U8"/>
  <c r="W8"/>
  <c r="B8"/>
  <c r="C9" i="10"/>
  <c r="E9"/>
  <c r="G9"/>
  <c r="K9"/>
  <c r="M9"/>
  <c r="O9"/>
  <c r="Q9"/>
  <c r="S9"/>
  <c r="W9"/>
  <c r="D9"/>
  <c r="H9"/>
  <c r="J9"/>
  <c r="L9"/>
  <c r="N9"/>
  <c r="R9"/>
  <c r="V9"/>
  <c r="P23" i="16"/>
  <c r="R23"/>
  <c r="P9"/>
  <c r="R9"/>
  <c r="O23"/>
  <c r="Q23"/>
  <c r="S23"/>
  <c r="O9"/>
  <c r="Q9"/>
  <c r="S9"/>
  <c r="L23" i="3"/>
  <c r="P23"/>
  <c r="R23"/>
  <c r="P9"/>
  <c r="R9"/>
  <c r="O23"/>
  <c r="Q23"/>
  <c r="S23"/>
  <c r="O9"/>
  <c r="Q9"/>
  <c r="S9"/>
  <c r="M13" i="10"/>
  <c r="E13"/>
  <c r="C27" i="35"/>
  <c r="E27"/>
  <c r="G27"/>
  <c r="I27"/>
  <c r="K27"/>
  <c r="M27"/>
  <c r="O27"/>
  <c r="Q27"/>
  <c r="S27"/>
  <c r="C13"/>
  <c r="E13"/>
  <c r="G13"/>
  <c r="I13"/>
  <c r="K13"/>
  <c r="M13"/>
  <c r="O13"/>
  <c r="Q13"/>
  <c r="S13"/>
  <c r="D27"/>
  <c r="F27"/>
  <c r="H27"/>
  <c r="J27"/>
  <c r="L27"/>
  <c r="N27"/>
  <c r="P27"/>
  <c r="R27"/>
  <c r="B27"/>
  <c r="D13"/>
  <c r="F13"/>
  <c r="H13"/>
  <c r="J13"/>
  <c r="L13"/>
  <c r="N13"/>
  <c r="P13"/>
  <c r="R13"/>
  <c r="D27" i="33"/>
  <c r="F27"/>
  <c r="H27"/>
  <c r="J27"/>
  <c r="L27"/>
  <c r="N27"/>
  <c r="P27"/>
  <c r="R27"/>
  <c r="B27"/>
  <c r="D13"/>
  <c r="F13"/>
  <c r="H13"/>
  <c r="J13"/>
  <c r="L13"/>
  <c r="N13"/>
  <c r="P13"/>
  <c r="R13"/>
  <c r="B13"/>
  <c r="C27"/>
  <c r="E27"/>
  <c r="G27"/>
  <c r="I27"/>
  <c r="K27"/>
  <c r="M27"/>
  <c r="O27"/>
  <c r="Q27"/>
  <c r="S27"/>
  <c r="C13"/>
  <c r="E13"/>
  <c r="G13"/>
  <c r="I13"/>
  <c r="K13"/>
  <c r="M13"/>
  <c r="O13"/>
  <c r="Q13"/>
  <c r="S13"/>
  <c r="F28" i="10"/>
  <c r="H28"/>
  <c r="J28"/>
  <c r="N28"/>
  <c r="P28"/>
  <c r="R28"/>
  <c r="V28"/>
  <c r="X28"/>
  <c r="O28"/>
  <c r="S28"/>
  <c r="U28"/>
  <c r="W28"/>
  <c r="B28"/>
  <c r="P27" i="17"/>
  <c r="R27"/>
  <c r="P13"/>
  <c r="R13"/>
  <c r="O27"/>
  <c r="Q27"/>
  <c r="S27"/>
  <c r="O13"/>
  <c r="Q13"/>
  <c r="S13"/>
  <c r="P27" i="4"/>
  <c r="R27"/>
  <c r="P13"/>
  <c r="R13"/>
  <c r="O27"/>
  <c r="Q27"/>
  <c r="S27"/>
  <c r="O13"/>
  <c r="Q13"/>
  <c r="S13"/>
  <c r="D8" i="28"/>
  <c r="F8"/>
  <c r="H8"/>
  <c r="J8"/>
  <c r="L8"/>
  <c r="N8"/>
  <c r="P8"/>
  <c r="R8"/>
  <c r="T8"/>
  <c r="V8"/>
  <c r="X8"/>
  <c r="C8"/>
  <c r="E8"/>
  <c r="G8"/>
  <c r="I8"/>
  <c r="K8"/>
  <c r="M8"/>
  <c r="O8"/>
  <c r="Q8"/>
  <c r="S8"/>
  <c r="U8"/>
  <c r="W8"/>
  <c r="B8"/>
  <c r="P23" i="18"/>
  <c r="R23"/>
  <c r="P9"/>
  <c r="R9"/>
  <c r="O23"/>
  <c r="Q23"/>
  <c r="S23"/>
  <c r="O9"/>
  <c r="Q9"/>
  <c r="S9"/>
  <c r="D23" i="5"/>
  <c r="L23"/>
  <c r="P23"/>
  <c r="R23"/>
  <c r="J9"/>
  <c r="N9"/>
  <c r="P9"/>
  <c r="R9"/>
  <c r="G23"/>
  <c r="K23"/>
  <c r="O23"/>
  <c r="Q23"/>
  <c r="S23"/>
  <c r="E9"/>
  <c r="O9"/>
  <c r="Q9"/>
  <c r="S9"/>
  <c r="C25" i="34"/>
  <c r="E25"/>
  <c r="G25"/>
  <c r="I25"/>
  <c r="K25"/>
  <c r="M25"/>
  <c r="O25"/>
  <c r="Q25"/>
  <c r="S25"/>
  <c r="C11"/>
  <c r="E11"/>
  <c r="G11"/>
  <c r="I11"/>
  <c r="K11"/>
  <c r="M11"/>
  <c r="O11"/>
  <c r="Q11"/>
  <c r="S11"/>
  <c r="D25"/>
  <c r="F25"/>
  <c r="H25"/>
  <c r="J25"/>
  <c r="L25"/>
  <c r="N25"/>
  <c r="P25"/>
  <c r="R25"/>
  <c r="B25"/>
  <c r="D11"/>
  <c r="F11"/>
  <c r="H11"/>
  <c r="J11"/>
  <c r="L11"/>
  <c r="N11"/>
  <c r="P11"/>
  <c r="R11"/>
  <c r="B11"/>
  <c r="D25" i="32"/>
  <c r="F25"/>
  <c r="H25"/>
  <c r="J25"/>
  <c r="L25"/>
  <c r="N25"/>
  <c r="P25"/>
  <c r="R25"/>
  <c r="B25"/>
  <c r="C25"/>
  <c r="E25"/>
  <c r="G25"/>
  <c r="I25"/>
  <c r="K25"/>
  <c r="M25"/>
  <c r="O25"/>
  <c r="Q25"/>
  <c r="S25"/>
  <c r="D11"/>
  <c r="F11"/>
  <c r="H11"/>
  <c r="J11"/>
  <c r="L11"/>
  <c r="N11"/>
  <c r="P11"/>
  <c r="R11"/>
  <c r="B11"/>
  <c r="D20" i="28"/>
  <c r="F20"/>
  <c r="H20"/>
  <c r="J20"/>
  <c r="L20"/>
  <c r="N20"/>
  <c r="P20"/>
  <c r="R20"/>
  <c r="T20"/>
  <c r="V20"/>
  <c r="X20"/>
  <c r="C11" i="32"/>
  <c r="E11"/>
  <c r="G11"/>
  <c r="I11"/>
  <c r="K11"/>
  <c r="M11"/>
  <c r="O11"/>
  <c r="Q11"/>
  <c r="S11"/>
  <c r="C20" i="28"/>
  <c r="E20"/>
  <c r="G20"/>
  <c r="I20"/>
  <c r="K20"/>
  <c r="M20"/>
  <c r="O20"/>
  <c r="Q20"/>
  <c r="S20"/>
  <c r="U20"/>
  <c r="W20"/>
  <c r="B20"/>
  <c r="P25" i="19"/>
  <c r="R25"/>
  <c r="P11"/>
  <c r="R11"/>
  <c r="H25" i="6"/>
  <c r="L25"/>
  <c r="P25"/>
  <c r="R25"/>
  <c r="O25" i="19"/>
  <c r="Q25"/>
  <c r="S25"/>
  <c r="O11"/>
  <c r="Q11"/>
  <c r="S11"/>
  <c r="E25" i="6"/>
  <c r="O25"/>
  <c r="Q25"/>
  <c r="S25"/>
  <c r="H11"/>
  <c r="P11"/>
  <c r="R11"/>
  <c r="E11"/>
  <c r="M11"/>
  <c r="O11"/>
  <c r="Q11"/>
  <c r="S11"/>
  <c r="C23" i="34"/>
  <c r="E23"/>
  <c r="G23"/>
  <c r="I23"/>
  <c r="K23"/>
  <c r="M23"/>
  <c r="O23"/>
  <c r="Q23"/>
  <c r="S23"/>
  <c r="D23"/>
  <c r="F23"/>
  <c r="H23"/>
  <c r="J23"/>
  <c r="L23"/>
  <c r="N23"/>
  <c r="P23"/>
  <c r="R23"/>
  <c r="B23"/>
  <c r="D9"/>
  <c r="F9"/>
  <c r="H9"/>
  <c r="J9"/>
  <c r="L9"/>
  <c r="N9"/>
  <c r="P9"/>
  <c r="R9"/>
  <c r="B9"/>
  <c r="D23" i="32"/>
  <c r="F23"/>
  <c r="H23"/>
  <c r="J23"/>
  <c r="L23"/>
  <c r="N23"/>
  <c r="P23"/>
  <c r="R23"/>
  <c r="B23"/>
  <c r="C9" i="34"/>
  <c r="E9"/>
  <c r="G9"/>
  <c r="I9"/>
  <c r="K9"/>
  <c r="M9"/>
  <c r="O9"/>
  <c r="Q9"/>
  <c r="S9"/>
  <c r="C23" i="32"/>
  <c r="E23"/>
  <c r="G23"/>
  <c r="I23"/>
  <c r="K23"/>
  <c r="M23"/>
  <c r="O23"/>
  <c r="Q23"/>
  <c r="S23"/>
  <c r="D9"/>
  <c r="F9"/>
  <c r="H9"/>
  <c r="J9"/>
  <c r="L9"/>
  <c r="N9"/>
  <c r="P9"/>
  <c r="R9"/>
  <c r="B9"/>
  <c r="C18" i="28"/>
  <c r="E18"/>
  <c r="C9" i="32"/>
  <c r="E9"/>
  <c r="G9"/>
  <c r="I9"/>
  <c r="K9"/>
  <c r="M9"/>
  <c r="O9"/>
  <c r="Q9"/>
  <c r="S9"/>
  <c r="D18" i="28"/>
  <c r="F18"/>
  <c r="H18"/>
  <c r="J18"/>
  <c r="L18"/>
  <c r="N18"/>
  <c r="P18"/>
  <c r="R18"/>
  <c r="T18"/>
  <c r="V18"/>
  <c r="X18"/>
  <c r="G18"/>
  <c r="I18"/>
  <c r="K18"/>
  <c r="M18"/>
  <c r="O18"/>
  <c r="Q18"/>
  <c r="S18"/>
  <c r="U18"/>
  <c r="W18"/>
  <c r="B18"/>
  <c r="P23" i="19"/>
  <c r="R23"/>
  <c r="P9"/>
  <c r="R9"/>
  <c r="L23" i="6"/>
  <c r="P23"/>
  <c r="R23"/>
  <c r="B23"/>
  <c r="O23" i="19"/>
  <c r="Q23"/>
  <c r="S23"/>
  <c r="O9"/>
  <c r="Q9"/>
  <c r="S9"/>
  <c r="E23" i="6"/>
  <c r="I23"/>
  <c r="O23"/>
  <c r="Q23"/>
  <c r="S23"/>
  <c r="H9"/>
  <c r="P9"/>
  <c r="R9"/>
  <c r="E9"/>
  <c r="M9"/>
  <c r="O9"/>
  <c r="Q9"/>
  <c r="S9"/>
  <c r="E27" i="13"/>
  <c r="I27"/>
  <c r="M27"/>
  <c r="Q27"/>
  <c r="S9"/>
  <c r="F9"/>
  <c r="J9"/>
  <c r="N9"/>
  <c r="U9"/>
  <c r="D23" i="31"/>
  <c r="F23"/>
  <c r="H23"/>
  <c r="J23"/>
  <c r="L23"/>
  <c r="N23"/>
  <c r="P23"/>
  <c r="R23"/>
  <c r="B23"/>
  <c r="C9"/>
  <c r="E9"/>
  <c r="G9"/>
  <c r="I9"/>
  <c r="K9"/>
  <c r="M9"/>
  <c r="O9"/>
  <c r="Q9"/>
  <c r="S9"/>
  <c r="X9" i="13"/>
  <c r="C23" i="31"/>
  <c r="E23"/>
  <c r="G23"/>
  <c r="I23"/>
  <c r="K23"/>
  <c r="M23"/>
  <c r="O23"/>
  <c r="Q23"/>
  <c r="S23"/>
  <c r="D9"/>
  <c r="F9"/>
  <c r="H9"/>
  <c r="J9"/>
  <c r="L9"/>
  <c r="N9"/>
  <c r="P9"/>
  <c r="R9"/>
  <c r="B9"/>
  <c r="P23" i="7"/>
  <c r="R23"/>
  <c r="P9"/>
  <c r="R9"/>
  <c r="O23"/>
  <c r="Q23"/>
  <c r="S23"/>
  <c r="O9"/>
  <c r="Q9"/>
  <c r="S9"/>
  <c r="F11" i="13"/>
  <c r="J11"/>
  <c r="N11"/>
  <c r="V11"/>
  <c r="C11"/>
  <c r="G11"/>
  <c r="K11"/>
  <c r="O11"/>
  <c r="S11"/>
  <c r="W11"/>
  <c r="D25" i="31"/>
  <c r="F25"/>
  <c r="H25"/>
  <c r="J25"/>
  <c r="L25"/>
  <c r="N25"/>
  <c r="P25"/>
  <c r="R25"/>
  <c r="B25"/>
  <c r="C11"/>
  <c r="E11"/>
  <c r="G11"/>
  <c r="I11"/>
  <c r="K11"/>
  <c r="M11"/>
  <c r="O11"/>
  <c r="Q11"/>
  <c r="S11"/>
  <c r="C25"/>
  <c r="E25"/>
  <c r="G25"/>
  <c r="I25"/>
  <c r="K25"/>
  <c r="M25"/>
  <c r="O25"/>
  <c r="Q25"/>
  <c r="S25"/>
  <c r="D11"/>
  <c r="F11"/>
  <c r="H11"/>
  <c r="J11"/>
  <c r="L11"/>
  <c r="N11"/>
  <c r="P11"/>
  <c r="R11"/>
  <c r="B11"/>
  <c r="P25" i="7"/>
  <c r="R25"/>
  <c r="P11"/>
  <c r="R11"/>
  <c r="O25"/>
  <c r="Q25"/>
  <c r="S25"/>
  <c r="O11"/>
  <c r="Q11"/>
  <c r="S11"/>
  <c r="Q27" i="3"/>
  <c r="R27"/>
  <c r="Q27" i="16"/>
  <c r="R27"/>
  <c r="R27" i="11"/>
  <c r="V27"/>
  <c r="O27"/>
  <c r="S27"/>
  <c r="W27"/>
  <c r="D20" i="24"/>
  <c r="F20"/>
  <c r="H20"/>
  <c r="J20"/>
  <c r="L20"/>
  <c r="N20"/>
  <c r="P20"/>
  <c r="R20"/>
  <c r="T20"/>
  <c r="V20"/>
  <c r="X20"/>
  <c r="C20"/>
  <c r="E20"/>
  <c r="G20"/>
  <c r="I20"/>
  <c r="K20"/>
  <c r="M20"/>
  <c r="O20"/>
  <c r="Q20"/>
  <c r="S20"/>
  <c r="U20"/>
  <c r="W20"/>
  <c r="B20"/>
  <c r="P23" i="15"/>
  <c r="R23"/>
  <c r="P9"/>
  <c r="R9"/>
  <c r="O23"/>
  <c r="Q23"/>
  <c r="S23"/>
  <c r="O9"/>
  <c r="Q9"/>
  <c r="S9"/>
  <c r="P23" i="2"/>
  <c r="R23"/>
  <c r="P9"/>
  <c r="R9"/>
  <c r="O23"/>
  <c r="Q23"/>
  <c r="S23"/>
  <c r="O9"/>
  <c r="Q9"/>
  <c r="S9"/>
  <c r="C10" i="27"/>
  <c r="E10"/>
  <c r="G10"/>
  <c r="I10"/>
  <c r="K10"/>
  <c r="M10"/>
  <c r="O10"/>
  <c r="Q10"/>
  <c r="S10"/>
  <c r="U10"/>
  <c r="W10"/>
  <c r="B10"/>
  <c r="D10"/>
  <c r="F10"/>
  <c r="H10"/>
  <c r="J10"/>
  <c r="L10"/>
  <c r="N10"/>
  <c r="P10"/>
  <c r="R10"/>
  <c r="T10"/>
  <c r="V10"/>
  <c r="X10"/>
  <c r="D11" i="10"/>
  <c r="H11"/>
  <c r="L11"/>
  <c r="N11"/>
  <c r="P11"/>
  <c r="R11"/>
  <c r="V11"/>
  <c r="X11"/>
  <c r="C11"/>
  <c r="E11"/>
  <c r="G11"/>
  <c r="K11"/>
  <c r="M11"/>
  <c r="Q11"/>
  <c r="U11"/>
  <c r="P25" i="16"/>
  <c r="R25"/>
  <c r="P11"/>
  <c r="R11"/>
  <c r="O25"/>
  <c r="Q25"/>
  <c r="S25"/>
  <c r="O11"/>
  <c r="Q11"/>
  <c r="S11"/>
  <c r="P25" i="3"/>
  <c r="R25"/>
  <c r="P11"/>
  <c r="R11"/>
  <c r="O25"/>
  <c r="Q25"/>
  <c r="S25"/>
  <c r="O11"/>
  <c r="Q11"/>
  <c r="S11"/>
  <c r="C23" i="35"/>
  <c r="E23"/>
  <c r="G23"/>
  <c r="I23"/>
  <c r="K23"/>
  <c r="M23"/>
  <c r="O23"/>
  <c r="Q23"/>
  <c r="S23"/>
  <c r="C9"/>
  <c r="E9"/>
  <c r="G9"/>
  <c r="I9"/>
  <c r="D23"/>
  <c r="F23"/>
  <c r="H23"/>
  <c r="J23"/>
  <c r="L23"/>
  <c r="N23"/>
  <c r="P23"/>
  <c r="R23"/>
  <c r="B23"/>
  <c r="D9"/>
  <c r="F9"/>
  <c r="H9"/>
  <c r="J9"/>
  <c r="K9"/>
  <c r="M9"/>
  <c r="O9"/>
  <c r="Q9"/>
  <c r="S9"/>
  <c r="L9"/>
  <c r="N9"/>
  <c r="P9"/>
  <c r="R9"/>
  <c r="B9"/>
  <c r="D23" i="33"/>
  <c r="F23"/>
  <c r="H23"/>
  <c r="J23"/>
  <c r="L23"/>
  <c r="N23"/>
  <c r="P23"/>
  <c r="R23"/>
  <c r="B23"/>
  <c r="D9"/>
  <c r="F9"/>
  <c r="H9"/>
  <c r="J9"/>
  <c r="L9"/>
  <c r="N9"/>
  <c r="P9"/>
  <c r="R9"/>
  <c r="B9"/>
  <c r="C23"/>
  <c r="E23"/>
  <c r="G23"/>
  <c r="I23"/>
  <c r="K23"/>
  <c r="M23"/>
  <c r="O23"/>
  <c r="Q23"/>
  <c r="S23"/>
  <c r="C9"/>
  <c r="E9"/>
  <c r="G9"/>
  <c r="I9"/>
  <c r="K9"/>
  <c r="M9"/>
  <c r="O9"/>
  <c r="Q9"/>
  <c r="S9"/>
  <c r="D18" i="27"/>
  <c r="F18"/>
  <c r="H18"/>
  <c r="J18"/>
  <c r="L18"/>
  <c r="N18"/>
  <c r="P18"/>
  <c r="R18"/>
  <c r="T18"/>
  <c r="V18"/>
  <c r="X18"/>
  <c r="C18"/>
  <c r="E18"/>
  <c r="G18"/>
  <c r="I18"/>
  <c r="K18"/>
  <c r="M18"/>
  <c r="O18"/>
  <c r="Q18"/>
  <c r="S18"/>
  <c r="U18"/>
  <c r="W18"/>
  <c r="B18"/>
  <c r="F24" i="10"/>
  <c r="H24"/>
  <c r="J24"/>
  <c r="N24"/>
  <c r="C24"/>
  <c r="G24"/>
  <c r="I24"/>
  <c r="K24"/>
  <c r="B24"/>
  <c r="P23" i="17"/>
  <c r="R23"/>
  <c r="P9"/>
  <c r="R9"/>
  <c r="O23"/>
  <c r="Q23"/>
  <c r="S23"/>
  <c r="O9"/>
  <c r="Q9"/>
  <c r="S9"/>
  <c r="F23" i="4"/>
  <c r="P23"/>
  <c r="R23"/>
  <c r="L9"/>
  <c r="P9"/>
  <c r="R9"/>
  <c r="B9"/>
  <c r="I23"/>
  <c r="O23"/>
  <c r="Q23"/>
  <c r="S23"/>
  <c r="C9"/>
  <c r="O9"/>
  <c r="Q9"/>
  <c r="S9"/>
  <c r="C25" i="35"/>
  <c r="E25"/>
  <c r="G25"/>
  <c r="I25"/>
  <c r="K25"/>
  <c r="M25"/>
  <c r="O25"/>
  <c r="Q25"/>
  <c r="S25"/>
  <c r="C11"/>
  <c r="E11"/>
  <c r="G11"/>
  <c r="I11"/>
  <c r="K11"/>
  <c r="M11"/>
  <c r="O11"/>
  <c r="Q11"/>
  <c r="S11"/>
  <c r="D25"/>
  <c r="F25"/>
  <c r="H25"/>
  <c r="J25"/>
  <c r="L25"/>
  <c r="N25"/>
  <c r="P25"/>
  <c r="R25"/>
  <c r="B25"/>
  <c r="D11"/>
  <c r="F11"/>
  <c r="H11"/>
  <c r="J11"/>
  <c r="L11"/>
  <c r="N11"/>
  <c r="P11"/>
  <c r="R11"/>
  <c r="B11"/>
  <c r="D25" i="33"/>
  <c r="F25"/>
  <c r="H25"/>
  <c r="J25"/>
  <c r="L25"/>
  <c r="N25"/>
  <c r="P25"/>
  <c r="R25"/>
  <c r="B25"/>
  <c r="D11"/>
  <c r="F11"/>
  <c r="H11"/>
  <c r="J11"/>
  <c r="L11"/>
  <c r="N11"/>
  <c r="P11"/>
  <c r="R11"/>
  <c r="B11"/>
  <c r="C25"/>
  <c r="E25"/>
  <c r="G25"/>
  <c r="I25"/>
  <c r="K25"/>
  <c r="M25"/>
  <c r="O25"/>
  <c r="Q25"/>
  <c r="S25"/>
  <c r="C11"/>
  <c r="E11"/>
  <c r="G11"/>
  <c r="I11"/>
  <c r="K11"/>
  <c r="M11"/>
  <c r="O11"/>
  <c r="Q11"/>
  <c r="S11"/>
  <c r="C20" i="27"/>
  <c r="E20"/>
  <c r="G20"/>
  <c r="I20"/>
  <c r="K20"/>
  <c r="M20"/>
  <c r="O20"/>
  <c r="Q20"/>
  <c r="S20"/>
  <c r="U20"/>
  <c r="W20"/>
  <c r="B20"/>
  <c r="D20"/>
  <c r="F20"/>
  <c r="H20"/>
  <c r="J20"/>
  <c r="L20"/>
  <c r="N20"/>
  <c r="P20"/>
  <c r="R20"/>
  <c r="T20"/>
  <c r="V20"/>
  <c r="X20"/>
  <c r="B26" i="10"/>
  <c r="P26"/>
  <c r="R26"/>
  <c r="V26"/>
  <c r="X26"/>
  <c r="P25" i="17"/>
  <c r="R25"/>
  <c r="P11"/>
  <c r="R11"/>
  <c r="O25"/>
  <c r="Q25"/>
  <c r="S25"/>
  <c r="O11"/>
  <c r="Q11"/>
  <c r="S11"/>
  <c r="F25" i="4"/>
  <c r="P25"/>
  <c r="R25"/>
  <c r="L11"/>
  <c r="P11"/>
  <c r="R11"/>
  <c r="B11"/>
  <c r="I25"/>
  <c r="O25"/>
  <c r="Q25"/>
  <c r="S25"/>
  <c r="K11"/>
  <c r="O11"/>
  <c r="Q11"/>
  <c r="S11"/>
  <c r="P27" i="18"/>
  <c r="R27"/>
  <c r="P13"/>
  <c r="R13"/>
  <c r="O27"/>
  <c r="Q27"/>
  <c r="S27"/>
  <c r="O13"/>
  <c r="Q13"/>
  <c r="S13"/>
  <c r="D27" i="5"/>
  <c r="H27"/>
  <c r="P27"/>
  <c r="R27"/>
  <c r="D13"/>
  <c r="H13"/>
  <c r="P13"/>
  <c r="R13"/>
  <c r="B13"/>
  <c r="C27"/>
  <c r="K27"/>
  <c r="O27"/>
  <c r="Q27"/>
  <c r="S27"/>
  <c r="C13"/>
  <c r="O13"/>
  <c r="Q13"/>
  <c r="S13"/>
  <c r="C27" i="34"/>
  <c r="E27"/>
  <c r="G27"/>
  <c r="I27"/>
  <c r="K27"/>
  <c r="M27"/>
  <c r="O27"/>
  <c r="Q27"/>
  <c r="S27"/>
  <c r="C13"/>
  <c r="E13"/>
  <c r="G13"/>
  <c r="I13"/>
  <c r="K13"/>
  <c r="M13"/>
  <c r="O13"/>
  <c r="Q13"/>
  <c r="S13"/>
  <c r="D27"/>
  <c r="F27"/>
  <c r="H27"/>
  <c r="J27"/>
  <c r="L27"/>
  <c r="N27"/>
  <c r="P27"/>
  <c r="R27"/>
  <c r="B27"/>
  <c r="D13"/>
  <c r="F13"/>
  <c r="H13"/>
  <c r="J13"/>
  <c r="L13"/>
  <c r="N13"/>
  <c r="P13"/>
  <c r="R13"/>
  <c r="B13"/>
  <c r="D27" i="32"/>
  <c r="F27"/>
  <c r="H27"/>
  <c r="J27"/>
  <c r="L27"/>
  <c r="N27"/>
  <c r="P27"/>
  <c r="R27"/>
  <c r="B27"/>
  <c r="D13"/>
  <c r="F13"/>
  <c r="H13"/>
  <c r="J13"/>
  <c r="L13"/>
  <c r="N13"/>
  <c r="P13"/>
  <c r="C27"/>
  <c r="E27"/>
  <c r="G27"/>
  <c r="I27"/>
  <c r="K27"/>
  <c r="M27"/>
  <c r="O27"/>
  <c r="Q27"/>
  <c r="S27"/>
  <c r="C13"/>
  <c r="E13"/>
  <c r="G13"/>
  <c r="I13"/>
  <c r="K13"/>
  <c r="M13"/>
  <c r="O13"/>
  <c r="Q13"/>
  <c r="R13"/>
  <c r="B13"/>
  <c r="S13"/>
  <c r="N27" i="19"/>
  <c r="P27"/>
  <c r="R27"/>
  <c r="J13"/>
  <c r="N13"/>
  <c r="P13"/>
  <c r="R13"/>
  <c r="F27" i="6"/>
  <c r="J27"/>
  <c r="P27"/>
  <c r="R27"/>
  <c r="F13"/>
  <c r="N13"/>
  <c r="P13"/>
  <c r="E27" i="19"/>
  <c r="I27"/>
  <c r="O27"/>
  <c r="Q27"/>
  <c r="S27"/>
  <c r="E13"/>
  <c r="O13"/>
  <c r="Q13"/>
  <c r="S13"/>
  <c r="E27" i="6"/>
  <c r="O27"/>
  <c r="Q27"/>
  <c r="S27"/>
  <c r="E13"/>
  <c r="M13"/>
  <c r="O13"/>
  <c r="Q13"/>
  <c r="R13"/>
  <c r="S13"/>
  <c r="U31" i="13"/>
  <c r="B31"/>
  <c r="E13"/>
  <c r="I13"/>
  <c r="M13"/>
  <c r="U13"/>
  <c r="V31"/>
  <c r="H13"/>
  <c r="L13"/>
  <c r="P13"/>
  <c r="T13"/>
  <c r="D27" i="31"/>
  <c r="F27"/>
  <c r="H27"/>
  <c r="J27"/>
  <c r="L27"/>
  <c r="N27"/>
  <c r="P27"/>
  <c r="R27"/>
  <c r="B27"/>
  <c r="C13"/>
  <c r="E13"/>
  <c r="G13"/>
  <c r="I13"/>
  <c r="K13"/>
  <c r="M13"/>
  <c r="O13"/>
  <c r="Q13"/>
  <c r="S13"/>
  <c r="C27"/>
  <c r="E27"/>
  <c r="G27"/>
  <c r="I27"/>
  <c r="K27"/>
  <c r="M27"/>
  <c r="O27"/>
  <c r="Q27"/>
  <c r="S27"/>
  <c r="D13"/>
  <c r="F13"/>
  <c r="H13"/>
  <c r="J13"/>
  <c r="L13"/>
  <c r="N13"/>
  <c r="P13"/>
  <c r="R13"/>
  <c r="B13"/>
  <c r="P27" i="7"/>
  <c r="R27"/>
  <c r="P13"/>
  <c r="R13"/>
  <c r="O27"/>
  <c r="Q27"/>
  <c r="S27"/>
  <c r="O13"/>
  <c r="Q13"/>
  <c r="S13"/>
  <c r="S27" i="3"/>
  <c r="O27"/>
  <c r="G27"/>
  <c r="P27"/>
  <c r="S27" i="16"/>
  <c r="O27"/>
  <c r="P27"/>
  <c r="S11" i="11"/>
  <c r="W11"/>
  <c r="V11"/>
  <c r="P11"/>
  <c r="R11"/>
  <c r="O11"/>
  <c r="C11"/>
  <c r="G11"/>
  <c r="K11"/>
  <c r="B11"/>
  <c r="F11"/>
  <c r="J11"/>
  <c r="N11"/>
  <c r="E11" i="14"/>
  <c r="F11"/>
  <c r="K25"/>
  <c r="G11"/>
  <c r="L25"/>
  <c r="D25"/>
  <c r="J11"/>
  <c r="G25"/>
  <c r="L11"/>
  <c r="M25"/>
  <c r="E25"/>
  <c r="M11"/>
  <c r="N11"/>
  <c r="C25"/>
  <c r="B11"/>
  <c r="C11"/>
  <c r="H25"/>
  <c r="I11"/>
  <c r="B25"/>
  <c r="T9" i="11"/>
  <c r="X9"/>
  <c r="S9"/>
  <c r="W9"/>
  <c r="P9"/>
  <c r="O9"/>
  <c r="D9"/>
  <c r="H9"/>
  <c r="L9"/>
  <c r="M9"/>
  <c r="C9"/>
  <c r="E9"/>
  <c r="G9"/>
  <c r="I9"/>
  <c r="K9"/>
  <c r="B9"/>
  <c r="N9" i="14"/>
  <c r="B9"/>
  <c r="G9"/>
  <c r="L23"/>
  <c r="I9"/>
  <c r="N23"/>
  <c r="J23"/>
  <c r="G23"/>
  <c r="H9"/>
  <c r="I23"/>
  <c r="F23"/>
  <c r="C23"/>
  <c r="K9"/>
  <c r="C9"/>
  <c r="B23"/>
  <c r="L9"/>
  <c r="D9"/>
  <c r="M23"/>
  <c r="E23"/>
  <c r="T27" i="11"/>
  <c r="X27"/>
  <c r="Q27"/>
  <c r="U27"/>
  <c r="P27"/>
  <c r="C27"/>
  <c r="E27"/>
  <c r="G27"/>
  <c r="I27"/>
  <c r="K27"/>
  <c r="M27"/>
  <c r="B27"/>
  <c r="D27"/>
  <c r="F27"/>
  <c r="H27"/>
  <c r="J27"/>
  <c r="L27"/>
  <c r="N27"/>
  <c r="C9" i="15"/>
  <c r="F23"/>
  <c r="N23"/>
  <c r="H9"/>
  <c r="K23"/>
  <c r="K9"/>
  <c r="I23"/>
  <c r="M9"/>
  <c r="I9"/>
  <c r="E9"/>
  <c r="G23"/>
  <c r="G9"/>
  <c r="H23"/>
  <c r="L23"/>
  <c r="N9"/>
  <c r="F9"/>
  <c r="B23"/>
  <c r="C23"/>
  <c r="B9"/>
  <c r="J23"/>
  <c r="L9"/>
  <c r="D9"/>
  <c r="E23"/>
  <c r="M23"/>
  <c r="D23"/>
  <c r="J9"/>
  <c r="T29" i="11"/>
  <c r="V29"/>
  <c r="X29"/>
  <c r="O29"/>
  <c r="S29"/>
  <c r="W29"/>
  <c r="P29"/>
  <c r="R29"/>
  <c r="D29"/>
  <c r="F29"/>
  <c r="H29"/>
  <c r="J29"/>
  <c r="L29"/>
  <c r="N29"/>
  <c r="C29"/>
  <c r="E29"/>
  <c r="G29"/>
  <c r="I29"/>
  <c r="K29"/>
  <c r="M29"/>
  <c r="C11" i="15"/>
  <c r="F25"/>
  <c r="L11"/>
  <c r="D11"/>
  <c r="K25"/>
  <c r="K11"/>
  <c r="M25"/>
  <c r="I11"/>
  <c r="G25"/>
  <c r="G11"/>
  <c r="H25"/>
  <c r="B25"/>
  <c r="C25"/>
  <c r="B11"/>
  <c r="J25"/>
  <c r="N25"/>
  <c r="H11"/>
  <c r="E25"/>
  <c r="I25"/>
  <c r="M11"/>
  <c r="E11"/>
  <c r="D25"/>
  <c r="L25"/>
  <c r="N11"/>
  <c r="J11"/>
  <c r="F11"/>
  <c r="T11" i="10"/>
  <c r="O11"/>
  <c r="S11"/>
  <c r="W11"/>
  <c r="F11"/>
  <c r="J11"/>
  <c r="B11"/>
  <c r="I11"/>
  <c r="J11" i="16"/>
  <c r="K25"/>
  <c r="C25"/>
  <c r="M11"/>
  <c r="N25"/>
  <c r="K11"/>
  <c r="G11"/>
  <c r="C11"/>
  <c r="L25"/>
  <c r="E11"/>
  <c r="F25"/>
  <c r="N11"/>
  <c r="F11"/>
  <c r="B25"/>
  <c r="G25"/>
  <c r="B11"/>
  <c r="D25"/>
  <c r="I11"/>
  <c r="I25"/>
  <c r="J11" i="3"/>
  <c r="M25"/>
  <c r="I11"/>
  <c r="D25"/>
  <c r="H25" i="16"/>
  <c r="J25"/>
  <c r="L11"/>
  <c r="H11"/>
  <c r="D11"/>
  <c r="M25"/>
  <c r="E25"/>
  <c r="B11" i="3"/>
  <c r="E25"/>
  <c r="P24" i="10"/>
  <c r="R24"/>
  <c r="T24"/>
  <c r="V24"/>
  <c r="X24"/>
  <c r="O24"/>
  <c r="Q24"/>
  <c r="S24"/>
  <c r="U24"/>
  <c r="W24"/>
  <c r="E24"/>
  <c r="M24"/>
  <c r="D24"/>
  <c r="L24"/>
  <c r="I9" i="17"/>
  <c r="J23"/>
  <c r="J9"/>
  <c r="G23"/>
  <c r="H9"/>
  <c r="M23"/>
  <c r="E23"/>
  <c r="E9"/>
  <c r="B9"/>
  <c r="K9"/>
  <c r="G9"/>
  <c r="C9"/>
  <c r="L23"/>
  <c r="D23"/>
  <c r="N23"/>
  <c r="F9"/>
  <c r="K23"/>
  <c r="L9"/>
  <c r="D9"/>
  <c r="I23"/>
  <c r="M9"/>
  <c r="F23"/>
  <c r="N9"/>
  <c r="B23"/>
  <c r="C23"/>
  <c r="H23"/>
  <c r="D9" i="4"/>
  <c r="F9"/>
  <c r="J9"/>
  <c r="N9"/>
  <c r="E23"/>
  <c r="M23"/>
  <c r="J23"/>
  <c r="C23"/>
  <c r="G9"/>
  <c r="B23"/>
  <c r="N23"/>
  <c r="H9"/>
  <c r="G23"/>
  <c r="K23"/>
  <c r="K9"/>
  <c r="E9"/>
  <c r="I9"/>
  <c r="M9"/>
  <c r="D23"/>
  <c r="H23"/>
  <c r="L23"/>
  <c r="O26" i="10"/>
  <c r="Q26"/>
  <c r="S26"/>
  <c r="U26"/>
  <c r="W26"/>
  <c r="T26"/>
  <c r="D26"/>
  <c r="F26"/>
  <c r="H26"/>
  <c r="J26"/>
  <c r="L26"/>
  <c r="N26"/>
  <c r="C26"/>
  <c r="E26"/>
  <c r="G26"/>
  <c r="I26"/>
  <c r="K26"/>
  <c r="M26"/>
  <c r="I11" i="17"/>
  <c r="N25"/>
  <c r="J11"/>
  <c r="F11"/>
  <c r="K25"/>
  <c r="G25"/>
  <c r="L11"/>
  <c r="H11"/>
  <c r="D11"/>
  <c r="M25"/>
  <c r="E25"/>
  <c r="M11"/>
  <c r="E11"/>
  <c r="F25"/>
  <c r="N11"/>
  <c r="C25"/>
  <c r="B11"/>
  <c r="G11"/>
  <c r="J25"/>
  <c r="I25"/>
  <c r="B25"/>
  <c r="K11"/>
  <c r="C11"/>
  <c r="L25"/>
  <c r="H25"/>
  <c r="D25"/>
  <c r="C25" i="4"/>
  <c r="G11"/>
  <c r="H11"/>
  <c r="K25"/>
  <c r="C11"/>
  <c r="I11"/>
  <c r="D25"/>
  <c r="H25"/>
  <c r="L25"/>
  <c r="D11"/>
  <c r="B25"/>
  <c r="N25"/>
  <c r="F11"/>
  <c r="J11"/>
  <c r="N11"/>
  <c r="E25"/>
  <c r="M25"/>
  <c r="G25"/>
  <c r="J25"/>
  <c r="E11"/>
  <c r="M11"/>
  <c r="P11" i="12"/>
  <c r="R11"/>
  <c r="T11"/>
  <c r="V11"/>
  <c r="X11"/>
  <c r="O11"/>
  <c r="S11"/>
  <c r="W11"/>
  <c r="Q11"/>
  <c r="U11"/>
  <c r="D11"/>
  <c r="F11"/>
  <c r="H11"/>
  <c r="J11"/>
  <c r="L11"/>
  <c r="N11"/>
  <c r="C11"/>
  <c r="E11"/>
  <c r="G11"/>
  <c r="I11"/>
  <c r="K11"/>
  <c r="M11"/>
  <c r="B11"/>
  <c r="K11" i="18"/>
  <c r="C11"/>
  <c r="H25"/>
  <c r="L11"/>
  <c r="I11"/>
  <c r="N25"/>
  <c r="J25"/>
  <c r="F25"/>
  <c r="B11"/>
  <c r="G11"/>
  <c r="N11"/>
  <c r="K25"/>
  <c r="C25"/>
  <c r="D11"/>
  <c r="E25"/>
  <c r="M11"/>
  <c r="E11"/>
  <c r="L25"/>
  <c r="D25"/>
  <c r="H11"/>
  <c r="M25"/>
  <c r="I25"/>
  <c r="J11"/>
  <c r="F11"/>
  <c r="B25"/>
  <c r="G25"/>
  <c r="B11" i="5"/>
  <c r="M25"/>
  <c r="F25"/>
  <c r="H11"/>
  <c r="G11"/>
  <c r="J25"/>
  <c r="E25"/>
  <c r="E11"/>
  <c r="D25"/>
  <c r="L25"/>
  <c r="C11"/>
  <c r="K11"/>
  <c r="N25"/>
  <c r="F11"/>
  <c r="I25"/>
  <c r="D11"/>
  <c r="L11"/>
  <c r="C25"/>
  <c r="K25"/>
  <c r="Q13" i="12"/>
  <c r="R13"/>
  <c r="U13"/>
  <c r="W13"/>
  <c r="P13"/>
  <c r="V13"/>
  <c r="X13"/>
  <c r="K13" i="18"/>
  <c r="L13"/>
  <c r="N27"/>
  <c r="J27"/>
  <c r="F27"/>
  <c r="L27"/>
  <c r="D27"/>
  <c r="H13"/>
  <c r="I27"/>
  <c r="J13"/>
  <c r="B27"/>
  <c r="K27"/>
  <c r="G27"/>
  <c r="C27"/>
  <c r="C13"/>
  <c r="H27"/>
  <c r="D13"/>
  <c r="E27"/>
  <c r="M13"/>
  <c r="I13"/>
  <c r="E13"/>
  <c r="B13"/>
  <c r="G13"/>
  <c r="M27"/>
  <c r="N13"/>
  <c r="F13"/>
  <c r="G13" i="5"/>
  <c r="J27"/>
  <c r="J13"/>
  <c r="M27"/>
  <c r="E13"/>
  <c r="I13"/>
  <c r="M13"/>
  <c r="L27"/>
  <c r="K13"/>
  <c r="F27"/>
  <c r="N13"/>
  <c r="L13"/>
  <c r="G27"/>
  <c r="B27"/>
  <c r="E27"/>
  <c r="N27"/>
  <c r="F13"/>
  <c r="I27"/>
  <c r="O13" i="12"/>
  <c r="T13"/>
  <c r="S13"/>
  <c r="T13" i="10"/>
  <c r="P28" i="12"/>
  <c r="R28"/>
  <c r="T28"/>
  <c r="V28"/>
  <c r="X28"/>
  <c r="Q28"/>
  <c r="U28"/>
  <c r="L13" i="19"/>
  <c r="D13"/>
  <c r="M27"/>
  <c r="M13"/>
  <c r="J27"/>
  <c r="F13"/>
  <c r="K27"/>
  <c r="C27"/>
  <c r="K13"/>
  <c r="C13"/>
  <c r="H27"/>
  <c r="H13"/>
  <c r="I13"/>
  <c r="F27"/>
  <c r="B27"/>
  <c r="G27"/>
  <c r="B13"/>
  <c r="G13"/>
  <c r="L27"/>
  <c r="D27"/>
  <c r="B13" i="6"/>
  <c r="M27"/>
  <c r="I13"/>
  <c r="D27"/>
  <c r="L27"/>
  <c r="D13"/>
  <c r="H13"/>
  <c r="L13"/>
  <c r="G27"/>
  <c r="B27"/>
  <c r="N27"/>
  <c r="J13"/>
  <c r="I27"/>
  <c r="H27"/>
  <c r="C27"/>
  <c r="K27"/>
  <c r="C13"/>
  <c r="G13"/>
  <c r="K13"/>
  <c r="O29" i="13"/>
  <c r="Q29"/>
  <c r="S29"/>
  <c r="U29"/>
  <c r="W29"/>
  <c r="V29"/>
  <c r="P29"/>
  <c r="T29"/>
  <c r="X29"/>
  <c r="T31"/>
  <c r="X31"/>
  <c r="R13"/>
  <c r="V13"/>
  <c r="X13"/>
  <c r="Q31"/>
  <c r="S13"/>
  <c r="O31"/>
  <c r="S31"/>
  <c r="W31"/>
  <c r="Q13"/>
  <c r="O13"/>
  <c r="W13"/>
  <c r="J13" i="7"/>
  <c r="E27"/>
  <c r="M27"/>
  <c r="D27"/>
  <c r="L27"/>
  <c r="D13"/>
  <c r="L13"/>
  <c r="C27"/>
  <c r="K27"/>
  <c r="B27"/>
  <c r="F27"/>
  <c r="J27"/>
  <c r="N27"/>
  <c r="B13"/>
  <c r="F13"/>
  <c r="N13"/>
  <c r="I27"/>
  <c r="E13"/>
  <c r="I13"/>
  <c r="M13"/>
  <c r="H27"/>
  <c r="H13"/>
  <c r="G27"/>
  <c r="C13"/>
  <c r="G13"/>
  <c r="K13"/>
  <c r="L27" i="2"/>
  <c r="H23"/>
  <c r="D27"/>
  <c r="I9"/>
  <c r="E11"/>
  <c r="E9"/>
  <c r="J27"/>
  <c r="B23"/>
  <c r="B25"/>
  <c r="G11"/>
  <c r="G23"/>
  <c r="G25"/>
  <c r="L9"/>
  <c r="H11"/>
  <c r="M23"/>
  <c r="I25"/>
  <c r="I23"/>
  <c r="E23"/>
  <c r="E25"/>
  <c r="N11"/>
  <c r="J9"/>
  <c r="F11"/>
  <c r="B11"/>
  <c r="N25"/>
  <c r="F27"/>
  <c r="F23"/>
  <c r="K11"/>
  <c r="K13"/>
  <c r="C11"/>
  <c r="C9"/>
  <c r="K27"/>
  <c r="C25"/>
  <c r="C23"/>
  <c r="M25" i="1"/>
  <c r="I25"/>
  <c r="E25"/>
  <c r="G13"/>
  <c r="B11"/>
  <c r="N27"/>
  <c r="F9"/>
  <c r="G25"/>
  <c r="L25"/>
  <c r="H23"/>
  <c r="D9"/>
  <c r="L9"/>
  <c r="J27"/>
  <c r="J11"/>
  <c r="C27"/>
  <c r="N25" i="3"/>
  <c r="N23"/>
  <c r="J23"/>
  <c r="J25"/>
  <c r="F25"/>
  <c r="F23"/>
  <c r="G11"/>
  <c r="G9"/>
  <c r="H25"/>
  <c r="H27"/>
  <c r="M11"/>
  <c r="E9"/>
  <c r="I27"/>
  <c r="N9"/>
  <c r="F11"/>
  <c r="K25"/>
  <c r="K23"/>
  <c r="G25"/>
  <c r="C25"/>
  <c r="C23"/>
  <c r="L9"/>
  <c r="L11"/>
  <c r="D9"/>
  <c r="D11"/>
  <c r="L25"/>
  <c r="V13" i="11"/>
  <c r="S13"/>
  <c r="W13"/>
  <c r="R13"/>
  <c r="O13"/>
  <c r="Q13"/>
  <c r="F13"/>
  <c r="J13"/>
  <c r="N13"/>
  <c r="C13"/>
  <c r="G13"/>
  <c r="K13"/>
  <c r="N13" i="14"/>
  <c r="C27"/>
  <c r="B13"/>
  <c r="K13"/>
  <c r="C13"/>
  <c r="L27"/>
  <c r="D27"/>
  <c r="B27"/>
  <c r="L13"/>
  <c r="D13"/>
  <c r="E27"/>
  <c r="F27"/>
  <c r="K27"/>
  <c r="G13"/>
  <c r="H27"/>
  <c r="J27"/>
  <c r="G27"/>
  <c r="H13"/>
  <c r="I27"/>
  <c r="T31" i="11"/>
  <c r="V31"/>
  <c r="X31"/>
  <c r="O31"/>
  <c r="Q31"/>
  <c r="S31"/>
  <c r="U31"/>
  <c r="W31"/>
  <c r="P31"/>
  <c r="R31"/>
  <c r="G31"/>
  <c r="D31"/>
  <c r="H31"/>
  <c r="L31"/>
  <c r="C27" i="15"/>
  <c r="B13"/>
  <c r="F27"/>
  <c r="N27"/>
  <c r="D13"/>
  <c r="E27"/>
  <c r="M27"/>
  <c r="I13"/>
  <c r="D27"/>
  <c r="J13"/>
  <c r="C13"/>
  <c r="J27"/>
  <c r="L13"/>
  <c r="H13"/>
  <c r="K27"/>
  <c r="K13"/>
  <c r="I27"/>
  <c r="M13"/>
  <c r="E13"/>
  <c r="G27"/>
  <c r="G13"/>
  <c r="H27"/>
  <c r="L27"/>
  <c r="N13"/>
  <c r="F13"/>
  <c r="B27"/>
  <c r="F27" i="16"/>
  <c r="K27"/>
  <c r="C27"/>
  <c r="B27"/>
  <c r="G27"/>
  <c r="N27"/>
  <c r="L27"/>
  <c r="H27"/>
  <c r="J27"/>
  <c r="I27"/>
  <c r="E27"/>
  <c r="E27" i="3"/>
  <c r="D27" i="16"/>
  <c r="M27"/>
  <c r="M27" i="3"/>
  <c r="D27"/>
  <c r="P9" i="10"/>
  <c r="T9"/>
  <c r="X9"/>
  <c r="U9"/>
  <c r="F9"/>
  <c r="B9"/>
  <c r="I9"/>
  <c r="N9" i="16"/>
  <c r="F9"/>
  <c r="B23"/>
  <c r="G23"/>
  <c r="M9"/>
  <c r="N23"/>
  <c r="G9"/>
  <c r="L23"/>
  <c r="E9"/>
  <c r="F23"/>
  <c r="J9"/>
  <c r="K23"/>
  <c r="C23"/>
  <c r="B9"/>
  <c r="K9"/>
  <c r="D23"/>
  <c r="I9"/>
  <c r="L9"/>
  <c r="D9"/>
  <c r="M23"/>
  <c r="J9" i="3"/>
  <c r="E23"/>
  <c r="I9"/>
  <c r="D23"/>
  <c r="C9" i="16"/>
  <c r="H23"/>
  <c r="J23"/>
  <c r="H9"/>
  <c r="I23"/>
  <c r="E23"/>
  <c r="B9" i="3"/>
  <c r="M23"/>
  <c r="R31" i="13"/>
  <c r="P31"/>
  <c r="S28" i="12"/>
  <c r="O28"/>
  <c r="W28"/>
  <c r="T28" i="10"/>
  <c r="Q28"/>
  <c r="I13" i="17"/>
  <c r="J27"/>
  <c r="F13"/>
  <c r="H13"/>
  <c r="I27"/>
  <c r="E13"/>
  <c r="N13"/>
  <c r="B27"/>
  <c r="C27"/>
  <c r="K13"/>
  <c r="C13"/>
  <c r="H27"/>
  <c r="N27"/>
  <c r="J13"/>
  <c r="K27"/>
  <c r="G27"/>
  <c r="L13"/>
  <c r="D13"/>
  <c r="M27"/>
  <c r="E27"/>
  <c r="M13"/>
  <c r="F27"/>
  <c r="B13"/>
  <c r="G13"/>
  <c r="L27"/>
  <c r="D27"/>
  <c r="D13" i="4"/>
  <c r="G13"/>
  <c r="B27"/>
  <c r="N27"/>
  <c r="B13"/>
  <c r="F13"/>
  <c r="N13"/>
  <c r="E27"/>
  <c r="I27"/>
  <c r="M27"/>
  <c r="H13"/>
  <c r="L13"/>
  <c r="G27"/>
  <c r="C13"/>
  <c r="K13"/>
  <c r="F27"/>
  <c r="J27"/>
  <c r="E13"/>
  <c r="M13"/>
  <c r="D27"/>
  <c r="L27"/>
  <c r="C27"/>
  <c r="J13"/>
  <c r="K27"/>
  <c r="I13"/>
  <c r="H27"/>
  <c r="P9" i="12"/>
  <c r="R9"/>
  <c r="T9"/>
  <c r="V9"/>
  <c r="X9"/>
  <c r="O9"/>
  <c r="S9"/>
  <c r="W9"/>
  <c r="Q9"/>
  <c r="U9"/>
  <c r="C9"/>
  <c r="E9"/>
  <c r="G9"/>
  <c r="I9"/>
  <c r="K9"/>
  <c r="M9"/>
  <c r="B9"/>
  <c r="D9"/>
  <c r="F9"/>
  <c r="H9"/>
  <c r="J9"/>
  <c r="L9"/>
  <c r="N9"/>
  <c r="K9" i="18"/>
  <c r="H23"/>
  <c r="D9"/>
  <c r="M9"/>
  <c r="E9"/>
  <c r="J23"/>
  <c r="B9"/>
  <c r="J9"/>
  <c r="F9"/>
  <c r="B23"/>
  <c r="G23"/>
  <c r="C9"/>
  <c r="L9"/>
  <c r="E23"/>
  <c r="I9"/>
  <c r="N23"/>
  <c r="F23"/>
  <c r="G9"/>
  <c r="L23"/>
  <c r="D23"/>
  <c r="H9"/>
  <c r="M23"/>
  <c r="I23"/>
  <c r="N9"/>
  <c r="K23"/>
  <c r="C23"/>
  <c r="B23" i="5"/>
  <c r="M23"/>
  <c r="I9"/>
  <c r="C9"/>
  <c r="K9"/>
  <c r="N23"/>
  <c r="F9"/>
  <c r="H9"/>
  <c r="C23"/>
  <c r="G9"/>
  <c r="J23"/>
  <c r="B9"/>
  <c r="E23"/>
  <c r="M9"/>
  <c r="H23"/>
  <c r="F23"/>
  <c r="I23"/>
  <c r="D9"/>
  <c r="L9"/>
  <c r="P26" i="12"/>
  <c r="R26"/>
  <c r="T26"/>
  <c r="V26"/>
  <c r="X26"/>
  <c r="O26"/>
  <c r="Q26"/>
  <c r="S26"/>
  <c r="U26"/>
  <c r="W26"/>
  <c r="D26"/>
  <c r="F26"/>
  <c r="H26"/>
  <c r="J26"/>
  <c r="L26"/>
  <c r="N26"/>
  <c r="C26"/>
  <c r="E26"/>
  <c r="G26"/>
  <c r="I26"/>
  <c r="K26"/>
  <c r="M26"/>
  <c r="B26"/>
  <c r="H11" i="19"/>
  <c r="I25"/>
  <c r="M11"/>
  <c r="E11"/>
  <c r="N25"/>
  <c r="F25"/>
  <c r="N11"/>
  <c r="F11"/>
  <c r="K25"/>
  <c r="C25"/>
  <c r="B11"/>
  <c r="G11"/>
  <c r="L25"/>
  <c r="D25"/>
  <c r="L11"/>
  <c r="D11"/>
  <c r="M25"/>
  <c r="E25"/>
  <c r="I11"/>
  <c r="J25"/>
  <c r="J11"/>
  <c r="B25"/>
  <c r="G25"/>
  <c r="K11"/>
  <c r="C11"/>
  <c r="H25"/>
  <c r="F11" i="6"/>
  <c r="J11"/>
  <c r="N11"/>
  <c r="I25"/>
  <c r="G25"/>
  <c r="C11"/>
  <c r="G11"/>
  <c r="K11"/>
  <c r="B25"/>
  <c r="J25"/>
  <c r="B11"/>
  <c r="M25"/>
  <c r="I11"/>
  <c r="D25"/>
  <c r="D11"/>
  <c r="L11"/>
  <c r="C25"/>
  <c r="K25"/>
  <c r="F25"/>
  <c r="N25"/>
  <c r="O24" i="12"/>
  <c r="Q24"/>
  <c r="S24"/>
  <c r="U24"/>
  <c r="W24"/>
  <c r="R24"/>
  <c r="V24"/>
  <c r="P24"/>
  <c r="T24"/>
  <c r="X24"/>
  <c r="C24"/>
  <c r="E24"/>
  <c r="G24"/>
  <c r="I24"/>
  <c r="K24"/>
  <c r="M24"/>
  <c r="B24"/>
  <c r="D24"/>
  <c r="F24"/>
  <c r="H24"/>
  <c r="J24"/>
  <c r="L24"/>
  <c r="N24"/>
  <c r="L9" i="19"/>
  <c r="D9"/>
  <c r="I23"/>
  <c r="M9"/>
  <c r="E9"/>
  <c r="J23"/>
  <c r="N9"/>
  <c r="F9"/>
  <c r="B23"/>
  <c r="K23"/>
  <c r="C23"/>
  <c r="B9"/>
  <c r="G9"/>
  <c r="L23"/>
  <c r="D23"/>
  <c r="H9"/>
  <c r="M23"/>
  <c r="E23"/>
  <c r="I9"/>
  <c r="N23"/>
  <c r="F23"/>
  <c r="J9"/>
  <c r="G23"/>
  <c r="K9"/>
  <c r="C9"/>
  <c r="H23"/>
  <c r="B9" i="6"/>
  <c r="M23"/>
  <c r="I9"/>
  <c r="D23"/>
  <c r="D9"/>
  <c r="L9"/>
  <c r="C23"/>
  <c r="K23"/>
  <c r="J23"/>
  <c r="F9"/>
  <c r="J9"/>
  <c r="N9"/>
  <c r="H23"/>
  <c r="G23"/>
  <c r="C9"/>
  <c r="G9"/>
  <c r="K9"/>
  <c r="F23"/>
  <c r="N23"/>
  <c r="P27" i="13"/>
  <c r="R27"/>
  <c r="T27"/>
  <c r="V27"/>
  <c r="X27"/>
  <c r="O27"/>
  <c r="S27"/>
  <c r="W27"/>
  <c r="U27"/>
  <c r="P9"/>
  <c r="R9"/>
  <c r="T9"/>
  <c r="V9"/>
  <c r="Q9"/>
  <c r="O9"/>
  <c r="W9"/>
  <c r="B9" i="7"/>
  <c r="F9"/>
  <c r="N9"/>
  <c r="I23"/>
  <c r="E9"/>
  <c r="I9"/>
  <c r="M9"/>
  <c r="D23"/>
  <c r="L23"/>
  <c r="H9"/>
  <c r="C23"/>
  <c r="G23"/>
  <c r="K23"/>
  <c r="C9"/>
  <c r="G9"/>
  <c r="K9"/>
  <c r="J9"/>
  <c r="E23"/>
  <c r="M23"/>
  <c r="H23"/>
  <c r="D9"/>
  <c r="L9"/>
  <c r="B23"/>
  <c r="F23"/>
  <c r="J23"/>
  <c r="N23"/>
  <c r="Q11" i="13"/>
  <c r="U11"/>
  <c r="R11"/>
  <c r="P11"/>
  <c r="T11"/>
  <c r="X11"/>
  <c r="J11" i="7"/>
  <c r="E25"/>
  <c r="M25"/>
  <c r="I11"/>
  <c r="D25"/>
  <c r="L25"/>
  <c r="D11"/>
  <c r="H11"/>
  <c r="L11"/>
  <c r="B25"/>
  <c r="F25"/>
  <c r="N25"/>
  <c r="B11"/>
  <c r="F11"/>
  <c r="N11"/>
  <c r="I25"/>
  <c r="E11"/>
  <c r="M11"/>
  <c r="H25"/>
  <c r="C25"/>
  <c r="G25"/>
  <c r="K25"/>
  <c r="C11"/>
  <c r="G11"/>
  <c r="K11"/>
  <c r="J25"/>
  <c r="L25" i="2"/>
  <c r="L23"/>
  <c r="H25"/>
  <c r="H27"/>
  <c r="D25"/>
  <c r="D23"/>
  <c r="M13"/>
  <c r="M11"/>
  <c r="M9"/>
  <c r="I11"/>
  <c r="I13"/>
  <c r="E13"/>
  <c r="J23"/>
  <c r="J25"/>
  <c r="B27"/>
  <c r="G9"/>
  <c r="G13"/>
  <c r="G27"/>
  <c r="L13"/>
  <c r="L11"/>
  <c r="H13"/>
  <c r="H9"/>
  <c r="M25"/>
  <c r="M27"/>
  <c r="I27"/>
  <c r="E27"/>
  <c r="N13"/>
  <c r="N9"/>
  <c r="J13"/>
  <c r="J11"/>
  <c r="F13"/>
  <c r="F9"/>
  <c r="B9"/>
  <c r="B13"/>
  <c r="N27"/>
  <c r="N23"/>
  <c r="F25"/>
  <c r="K9"/>
  <c r="C13"/>
  <c r="K25"/>
  <c r="K23"/>
  <c r="C27"/>
  <c r="D13"/>
  <c r="D11"/>
  <c r="D9"/>
  <c r="M23" i="1"/>
  <c r="I27"/>
  <c r="E23"/>
  <c r="G9"/>
  <c r="G11"/>
  <c r="B13"/>
  <c r="F23"/>
  <c r="G27"/>
  <c r="E13"/>
  <c r="L23"/>
  <c r="L27"/>
  <c r="D27"/>
  <c r="H13"/>
  <c r="L11"/>
  <c r="L13"/>
  <c r="J23"/>
  <c r="J25"/>
  <c r="B25"/>
  <c r="C25"/>
  <c r="C23"/>
  <c r="N27" i="3"/>
  <c r="J27"/>
  <c r="F27"/>
  <c r="B25"/>
  <c r="B27"/>
  <c r="K11"/>
  <c r="K9"/>
  <c r="C11"/>
  <c r="C9"/>
  <c r="H23"/>
  <c r="M9"/>
  <c r="E11"/>
  <c r="I23"/>
  <c r="I25"/>
  <c r="N11"/>
  <c r="F9"/>
  <c r="K27"/>
  <c r="G23"/>
  <c r="C27"/>
  <c r="H9"/>
  <c r="H11"/>
  <c r="L27"/>
  <c r="U13" i="10"/>
  <c r="Q13"/>
  <c r="V13"/>
  <c r="R13"/>
  <c r="N13"/>
  <c r="W13"/>
  <c r="S13"/>
  <c r="O13"/>
  <c r="X13"/>
  <c r="P13"/>
  <c r="B13"/>
  <c r="K13"/>
  <c r="G13"/>
  <c r="C13"/>
  <c r="J13"/>
  <c r="F13"/>
  <c r="C27" i="13"/>
  <c r="G27"/>
  <c r="K27"/>
  <c r="B27"/>
  <c r="D27"/>
  <c r="F27"/>
  <c r="H27"/>
  <c r="J27"/>
  <c r="L27"/>
  <c r="N27"/>
  <c r="E11"/>
  <c r="I11"/>
  <c r="M11"/>
  <c r="B11"/>
  <c r="D11"/>
  <c r="H11"/>
  <c r="L11"/>
  <c r="L13" i="10"/>
  <c r="H13"/>
  <c r="D13"/>
  <c r="D29" i="13"/>
  <c r="F29"/>
  <c r="H29"/>
  <c r="J29"/>
  <c r="L29"/>
  <c r="N29"/>
  <c r="C29"/>
  <c r="E29"/>
  <c r="G29"/>
  <c r="I29"/>
  <c r="K29"/>
  <c r="M29"/>
  <c r="B29"/>
  <c r="D9"/>
  <c r="H9"/>
  <c r="L9"/>
  <c r="C9"/>
  <c r="E9"/>
  <c r="G9"/>
  <c r="I9"/>
  <c r="K9"/>
  <c r="M9"/>
  <c r="B9"/>
  <c r="C31"/>
  <c r="E31"/>
  <c r="G31"/>
  <c r="I31"/>
  <c r="K31"/>
  <c r="M31"/>
  <c r="D13"/>
  <c r="J13"/>
  <c r="N13"/>
  <c r="D31"/>
  <c r="F31"/>
  <c r="H31"/>
  <c r="J31"/>
  <c r="L31"/>
  <c r="N31"/>
  <c r="F13"/>
  <c r="C13"/>
  <c r="G13"/>
  <c r="K13"/>
  <c r="B13"/>
  <c r="C28" i="12"/>
  <c r="E28"/>
  <c r="G28"/>
  <c r="I28"/>
  <c r="K28"/>
  <c r="M28"/>
  <c r="B28"/>
  <c r="D28"/>
  <c r="F28"/>
  <c r="H28"/>
  <c r="J28"/>
  <c r="L28"/>
  <c r="N28"/>
  <c r="C13"/>
  <c r="E13"/>
  <c r="G13"/>
  <c r="I13"/>
  <c r="K13"/>
  <c r="M13"/>
  <c r="B13"/>
  <c r="D13"/>
  <c r="H13"/>
  <c r="J13"/>
  <c r="L13"/>
  <c r="N13"/>
  <c r="F13"/>
  <c r="D28" i="10"/>
  <c r="L28"/>
  <c r="C28"/>
  <c r="E28"/>
  <c r="G28"/>
  <c r="I28"/>
  <c r="K28"/>
  <c r="M28"/>
  <c r="B31" i="11"/>
  <c r="F31"/>
  <c r="N31"/>
  <c r="E31"/>
  <c r="I31"/>
  <c r="M31"/>
  <c r="E13"/>
  <c r="M13"/>
  <c r="H13"/>
  <c r="B23" i="3"/>
</calcChain>
</file>

<file path=xl/sharedStrings.xml><?xml version="1.0" encoding="utf-8"?>
<sst xmlns="http://schemas.openxmlformats.org/spreadsheetml/2006/main" count="761" uniqueCount="137">
  <si>
    <t>Внутренний диаметр</t>
  </si>
  <si>
    <t>Наружний диаметр</t>
  </si>
  <si>
    <t>Прайс лист на сэндвич дымоходы (430 0,5/оцинк 0,5) изоляция Rockwool 35мм, раструбное соединение.</t>
  </si>
  <si>
    <t>Сэндвич труба 500мм</t>
  </si>
  <si>
    <t>Сэндвич труба 1000 мм</t>
  </si>
  <si>
    <t>Сэндвич отвод 90</t>
  </si>
  <si>
    <t>Оголовок зонт</t>
  </si>
  <si>
    <t>Оголовок дефлектор</t>
  </si>
  <si>
    <t>Переход моно-термо</t>
  </si>
  <si>
    <t>Сэндвич тройник 90</t>
  </si>
  <si>
    <t>Прайс лист на сэндвич дымоходы (430 0,5/430 0,5) изоляция Rockwool 35мм, раструбное соединение.</t>
  </si>
  <si>
    <t xml:space="preserve">Входные цены </t>
  </si>
  <si>
    <t>Лист 430 мат 1х2х0,5</t>
  </si>
  <si>
    <t>Лист 430 мат 1х2х0,8</t>
  </si>
  <si>
    <t>Лист 430 зер 1х2х0,8</t>
  </si>
  <si>
    <t>Лист 430 зер 1х2х0,5</t>
  </si>
  <si>
    <t>Лист 304 мат 1х2х0,5</t>
  </si>
  <si>
    <t>Лист 304 мат 1х2х0,8</t>
  </si>
  <si>
    <t>Лист 321 мат 1х2х0,5</t>
  </si>
  <si>
    <t>Лист 321 мат 1х2х0,8</t>
  </si>
  <si>
    <t>Цена за т</t>
  </si>
  <si>
    <t>кол-во листов</t>
  </si>
  <si>
    <t>цена за лист</t>
  </si>
  <si>
    <t>Найменование</t>
  </si>
  <si>
    <t>Цена за м2</t>
  </si>
  <si>
    <t>Труба м2</t>
  </si>
  <si>
    <t>Цена труба</t>
  </si>
  <si>
    <t>Отвод м2</t>
  </si>
  <si>
    <t>Цена отвода</t>
  </si>
  <si>
    <t xml:space="preserve"> тройника м2</t>
  </si>
  <si>
    <t>цена тройн</t>
  </si>
  <si>
    <t>патрубок м2</t>
  </si>
  <si>
    <t>цена патр</t>
  </si>
  <si>
    <t>Оцинковка 0,5</t>
  </si>
  <si>
    <t>м2 конуса</t>
  </si>
  <si>
    <t>цена конуса</t>
  </si>
  <si>
    <t>м2 хомута</t>
  </si>
  <si>
    <t>Роквол</t>
  </si>
  <si>
    <t>Еврофасад</t>
  </si>
  <si>
    <t>оц</t>
  </si>
  <si>
    <t>Зонты</t>
  </si>
  <si>
    <t>Прайс лист на сэндвич дымоходы (430 0,8/оцинк 0,5) изоляция Rockwool 35мм, раструбное соединение.</t>
  </si>
  <si>
    <t>Прайс лист на сэндвич дымоходы (430 0,8/430 0,5) изоляция Rockwool 35мм, раструбное соединение.</t>
  </si>
  <si>
    <t>Прайс лист на сэндвич дымоходы (304 0,5/оцинк 0,5) изоляция Rockwool 35мм, раструбное соединение.</t>
  </si>
  <si>
    <t>Прайс лист на сэндвич дымоходы (304 0,5/430 0,5) изоляция Rockwool 35мм, раструбное соединение.</t>
  </si>
  <si>
    <t>Прайс лист на сэндвич дымоходы (304 0,8/оцинк 0,5) изоляция Rockwool 35мм, раструбное соединение.</t>
  </si>
  <si>
    <t>Прайс лист на сэндвич дымоходы (304 0,8/430 0,5) изоляция Rockwool 35мм, раструбное соединение.</t>
  </si>
  <si>
    <t>Прайс лист на сэндвич дымоходы (321 0,5/оцинк 0,5) изоляция Rockwool 35мм, раструбное соединение.</t>
  </si>
  <si>
    <t>Прайс лист на сэндвич дымоходы (321 0,5/430 0,5) изоляция Rockwool 35мм, раструбное соединение.</t>
  </si>
  <si>
    <t>Сендвич дымоходы           430 0,5/оцинк 0,5-------------430 0,5/430 0,5</t>
  </si>
  <si>
    <t>Сендвич дымоходы           430 0,8/оцинк 0,5-------------430 0,8/430 0,5</t>
  </si>
  <si>
    <t>Сендвич дымоходы           304 0,5/оцинк 0,5-------------304 0,5/430 0,5</t>
  </si>
  <si>
    <t>Сендвич дымоходы           304 0,8/оцинк 0,5-------------304 0,8/430 0,5</t>
  </si>
  <si>
    <t>Прайс лист на сэндвич дымоходы (321 0,8/оцинк 0,5) изоляция Rockwool 35мм, раструбное соединение.</t>
  </si>
  <si>
    <t>Прайс лист на сэндвич дымоходы (321 0,8/430 0,5) изоляция Rockwool 35мм, раструбное соединение.</t>
  </si>
  <si>
    <t>Сендвич дымоходы          430 0,5/оцинк 0,5-------------430 0,5/430 0,5</t>
  </si>
  <si>
    <t>Изоляция Rockwool 35 мм</t>
  </si>
  <si>
    <t>Изоляция Rockwool 50 мм</t>
  </si>
  <si>
    <t>Прайс лист на сэндвич дымоходы (430 0,5/430 0,5) изоляция Rockwool 50мм, раструбное соединение.</t>
  </si>
  <si>
    <t>Прайс лист на сэндвич дымоходы (430 0,8/430 0,5) изоляция Rockwool 50мм, раструбное соединение.</t>
  </si>
  <si>
    <t>Прайс лист на сэндвич дымоходы (304 0,5/430 0,5) изоляция Rockwool 50мм, раструбное соединение.</t>
  </si>
  <si>
    <t>Прайс лист на сэндвич дымоходы (304 0,8/430 0,5) изоляция Rockwool 50мм, раструбное соединение.</t>
  </si>
  <si>
    <t>Прайс лист на сэндвич дымоходы (321 0,5/430 0,5) изоляция Rockwool 50мм, раструбное соединение.</t>
  </si>
  <si>
    <t>Сендвич дымоходы           321 0,5/оцинк 0,5-------------321 0,5/430 0,5</t>
  </si>
  <si>
    <t>Прайс лист на сэндвич дымоходы (321 0,8/430 0,5) изоляция Rockwool 50мм, раструбное соединение.</t>
  </si>
  <si>
    <t>Сендвич дымоходы           321 0,8/оцинк 0,5-------------321 0,8/430 0,5</t>
  </si>
  <si>
    <t>Моно дымоходы</t>
  </si>
  <si>
    <t>Прайс лист на моно дымоходы 430 0,5 , раструбное соединение.</t>
  </si>
  <si>
    <t>Прайс лист на моно дымоходы 430 0,8 , раструбное соединение.</t>
  </si>
  <si>
    <t xml:space="preserve"> Труба 1000 мм</t>
  </si>
  <si>
    <t xml:space="preserve"> Труба 500мм</t>
  </si>
  <si>
    <t>Отвод 90</t>
  </si>
  <si>
    <t>Отвод 45</t>
  </si>
  <si>
    <t xml:space="preserve"> Зонт</t>
  </si>
  <si>
    <t xml:space="preserve"> Дефлектор</t>
  </si>
  <si>
    <t xml:space="preserve"> Тройник 90</t>
  </si>
  <si>
    <t>Щибер выдвижной</t>
  </si>
  <si>
    <t xml:space="preserve">Хомут </t>
  </si>
  <si>
    <t>Диаметр</t>
  </si>
  <si>
    <t xml:space="preserve"> Диаметр</t>
  </si>
  <si>
    <t>Моно дымоходы 430 0,5-----------430 0,8</t>
  </si>
  <si>
    <t>Прайс лист на моно дымоходы 304 0,5 , раструбное соединение.</t>
  </si>
  <si>
    <t>Прайс лист на моно дымоходы 304 0,8 , раструбное соединение.</t>
  </si>
  <si>
    <t>Моно дымоходы 304 0,5-----------304 0,8</t>
  </si>
  <si>
    <t>Прайс лист на моно дымоходы 321 0,5 , раструбное соединение.</t>
  </si>
  <si>
    <t>Прайс лист на моно дымоходы 321 0,8 , раструбное соединение.</t>
  </si>
  <si>
    <t>Моно дымоходы 321 0,5-----------321 0,8</t>
  </si>
  <si>
    <t>Прайс лист на сэндвич дымоходы (оц 0,5/430 0,5) изоляция Rockwool 35мм, раструбное соединение.</t>
  </si>
  <si>
    <t>Сендвич дымоходы           оц 0,5/оцинк 0,5-------------оц 0,5/430 0,5</t>
  </si>
  <si>
    <t xml:space="preserve"> Труба 1250 мм</t>
  </si>
  <si>
    <t xml:space="preserve"> Труба 625 мм</t>
  </si>
  <si>
    <t>Хомут оц 0,5</t>
  </si>
  <si>
    <t>Оцинковка 0,7</t>
  </si>
  <si>
    <t>Моно дымоходы оц 0,5-----------оц 0,7</t>
  </si>
  <si>
    <t xml:space="preserve">ООО "РегионСтройБилдинг"   </t>
  </si>
  <si>
    <t xml:space="preserve"> РОССИЯ, 614058,г. Пермь, ул.Маяковского 8, Есенина 1.</t>
  </si>
  <si>
    <t>Сэндвич п/отвод 45</t>
  </si>
  <si>
    <t>Прайс лист на моно дымоходы оц 0,5 , раструбное соединение.</t>
  </si>
  <si>
    <t>Прайс лист на моно дымоходы оц 0,7 , раструбное соединение.</t>
  </si>
  <si>
    <t>Экран 550*550</t>
  </si>
  <si>
    <t>Фланец 500*500</t>
  </si>
  <si>
    <t>Выход на кровлю 45</t>
  </si>
  <si>
    <t>Щибер поворотный</t>
  </si>
  <si>
    <t>Прайс лист на сэндвич дымоходы (оц 0,5/оц 0,5) изоляция Rockwool 35мм, раструбное соединение.</t>
  </si>
  <si>
    <t>Прайс лист на сэндвич дымоходы (430 0,5/оц 0,5) изоляция Rockwool 50мм, раструбное соединение.</t>
  </si>
  <si>
    <t>Прайс лист на сэндвич дымоходы (430 0,8/оц 0,5) изоляция Rockwool 50мм, раструбное соединение.</t>
  </si>
  <si>
    <t>Прайс лист на сэндвич дымоходы (304 0,5/оц 0,5) изоляция Rockwool 50мм, раструбное соединение.</t>
  </si>
  <si>
    <t>Прайс лист на сэндвич дымоходы (304 0,8/оц 0,5) изоляция Rockwool 50мм, раструбное соединение.</t>
  </si>
  <si>
    <t>Прайс лист на сэндвич дымоходы (321 0,5/оц 0,5) изоляция Rockwool 50мм, раструбное соединение.</t>
  </si>
  <si>
    <t>Прайс лист на сэндвич дымоходы (321 0,8/оц 0,5) изоляция Rockwool 50мм, раструбное соединение.</t>
  </si>
  <si>
    <t>Прайс лист на моно дымоходы 430 1мм , раструбное соединение.</t>
  </si>
  <si>
    <t>Прайс лист на моно дымоходы 430 1.5мм , раструбное соединение.</t>
  </si>
  <si>
    <t>отдел продаж:тел:211-01-81, E-mail: rsb59@bk.ru</t>
  </si>
  <si>
    <t>Моно дымоходы 430 1----------------1,5</t>
  </si>
  <si>
    <t>Прайс лист на моно дымоходы 304 1мм , раструбное соединение.</t>
  </si>
  <si>
    <t>Прайс лист на моно дымоходы 304 1,5мм , раструбное соединение.</t>
  </si>
  <si>
    <t>Моно дымоходы 304 1-----------------1,5</t>
  </si>
  <si>
    <t>Моно дымоходы 321 1-----------------1,5</t>
  </si>
  <si>
    <t>Потолочный.оц0,5/оц0,5</t>
  </si>
  <si>
    <t>Потолочный.нерж0,5/оц0,5</t>
  </si>
  <si>
    <t>Прайс лист на моно дымоходы 321 1мм , раструбное соединение.</t>
  </si>
  <si>
    <t>Прайс лист на моно дымоходы 321 1,5мм , раструбное соединение.</t>
  </si>
  <si>
    <t>Прайс лист на сэндвич дымоходы (оц 0,5/оц 0,5) изоляция Rockwool 50мм, раструбное соединение.</t>
  </si>
  <si>
    <t>Прайс лист на сэндвич дымоходы (оц 0,5/430 0,5) изоляция Rockwool 50мм, раструбное соединение.</t>
  </si>
  <si>
    <t>Сендвич дымоходы           321 1мм/оцинк 0,5-------------321 1мм/430 0,5</t>
  </si>
  <si>
    <t>Сендвич дымоходы           304 1мм/оцинк 0,5-------------304 1мм/430 0,5</t>
  </si>
  <si>
    <t>Прайс лист на сэндвич дымоходы (321 1мм/оц 0,5) изоляция Rockwool 50мм, раструбное соединение.</t>
  </si>
  <si>
    <t>Прайс лист на сэндвич дымоходы (321 1мм/430 0,5) изоляция Rockwool 50мм, раструбное соединение.</t>
  </si>
  <si>
    <t>Прайс лист на сэндвич дымоходы (304 1мм/оц 0,5) изоляция Rockwool 50мм, раструбное соединение.</t>
  </si>
  <si>
    <t>Прайс лист на сэндвич дымоходы (304 1мм/430 0,5) изоляция Rockwool 50мм, раструбное соединение.</t>
  </si>
  <si>
    <t>Прайс лист на сэндвич дымоходы (321 1мм/оцинк 0,5) изоляция Rockwool 35мм, раструбное соединение.</t>
  </si>
  <si>
    <t>Прайс лист на сэндвич дымоходы (321 1мм/430 0,5) изоляция Rockwool 35мм, раструбное соединение.</t>
  </si>
  <si>
    <t>Прайс лист на сэндвич дымоходы (304 1мм/оцинк 0,5) изоляция Rockwool 35мм, раструбное соединение.</t>
  </si>
  <si>
    <t>Прайс лист на сэндвич дымоходы (304 1мм/430 0,5) изоляция Rockwool 35мм, раструбное соединение.</t>
  </si>
  <si>
    <t xml:space="preserve"> </t>
  </si>
  <si>
    <t>отдел продаж:тел:211-01-81, E-mail: akvacenter@yandex.ru</t>
  </si>
  <si>
    <t xml:space="preserve"> РОССИЯ, 614058,г. Пермь, ул.Маяковского 8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</si>
</sst>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4"/>
      <color theme="10"/>
      <name val="Calibri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28"/>
      <color theme="1"/>
      <name val="Calibri"/>
      <family val="2"/>
      <charset val="204"/>
      <scheme val="minor"/>
    </font>
    <font>
      <b/>
      <i/>
      <sz val="34"/>
      <color theme="1"/>
      <name val="Calibri"/>
      <family val="2"/>
      <charset val="204"/>
      <scheme val="minor"/>
    </font>
    <font>
      <b/>
      <i/>
      <sz val="29"/>
      <color theme="1"/>
      <name val="Calibri"/>
      <family val="2"/>
      <charset val="204"/>
      <scheme val="minor"/>
    </font>
    <font>
      <u/>
      <sz val="16"/>
      <color theme="10"/>
      <name val="Calibri"/>
      <family val="2"/>
      <charset val="204"/>
    </font>
    <font>
      <sz val="16"/>
      <color theme="1"/>
      <name val="Calibri"/>
      <family val="2"/>
      <charset val="204"/>
      <scheme val="minor"/>
    </font>
    <font>
      <b/>
      <i/>
      <u/>
      <sz val="2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0" fillId="0" borderId="0" xfId="0" applyAlignment="1"/>
    <xf numFmtId="0" fontId="0" fillId="0" borderId="1" xfId="0" applyBorder="1"/>
    <xf numFmtId="0" fontId="2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0" xfId="0" applyNumberFormat="1"/>
    <xf numFmtId="0" fontId="0" fillId="3" borderId="0" xfId="0" applyFill="1"/>
    <xf numFmtId="1" fontId="0" fillId="3" borderId="0" xfId="0" applyNumberFormat="1" applyFill="1"/>
    <xf numFmtId="2" fontId="0" fillId="0" borderId="1" xfId="0" applyNumberFormat="1" applyBorder="1"/>
    <xf numFmtId="1" fontId="0" fillId="0" borderId="1" xfId="0" applyNumberFormat="1" applyBorder="1"/>
    <xf numFmtId="0" fontId="0" fillId="6" borderId="1" xfId="0" applyFill="1" applyBorder="1"/>
    <xf numFmtId="1" fontId="0" fillId="6" borderId="0" xfId="0" applyNumberFormat="1" applyFill="1"/>
    <xf numFmtId="0" fontId="0" fillId="5" borderId="0" xfId="0" applyFill="1"/>
    <xf numFmtId="1" fontId="0" fillId="5" borderId="0" xfId="0" applyNumberFormat="1" applyFill="1"/>
    <xf numFmtId="0" fontId="0" fillId="2" borderId="0" xfId="0" applyFill="1"/>
    <xf numFmtId="1" fontId="0" fillId="2" borderId="0" xfId="0" applyNumberFormat="1" applyFill="1"/>
    <xf numFmtId="1" fontId="0" fillId="4" borderId="1" xfId="0" applyNumberFormat="1" applyFill="1" applyBorder="1"/>
    <xf numFmtId="1" fontId="1" fillId="4" borderId="1" xfId="0" applyNumberFormat="1" applyFont="1" applyFill="1" applyBorder="1"/>
    <xf numFmtId="0" fontId="5" fillId="0" borderId="0" xfId="1" applyFont="1" applyAlignment="1" applyProtection="1">
      <alignment horizontal="center"/>
    </xf>
    <xf numFmtId="1" fontId="0" fillId="0" borderId="0" xfId="0" applyNumberFormat="1" applyAlignment="1">
      <alignment horizontal="center"/>
    </xf>
    <xf numFmtId="1" fontId="1" fillId="0" borderId="1" xfId="0" applyNumberFormat="1" applyFont="1" applyBorder="1"/>
    <xf numFmtId="0" fontId="7" fillId="0" borderId="0" xfId="0" applyFont="1"/>
    <xf numFmtId="0" fontId="0" fillId="6" borderId="1" xfId="0" applyFill="1" applyBorder="1" applyAlignment="1"/>
    <xf numFmtId="1" fontId="0" fillId="4" borderId="1" xfId="0" applyNumberFormat="1" applyFill="1" applyBorder="1" applyAlignment="1"/>
    <xf numFmtId="1" fontId="0" fillId="0" borderId="1" xfId="0" applyNumberFormat="1" applyBorder="1" applyAlignment="1"/>
    <xf numFmtId="2" fontId="0" fillId="0" borderId="1" xfId="0" applyNumberFormat="1" applyBorder="1" applyAlignment="1"/>
    <xf numFmtId="1" fontId="1" fillId="4" borderId="1" xfId="0" applyNumberFormat="1" applyFont="1" applyFill="1" applyBorder="1" applyAlignment="1"/>
    <xf numFmtId="0" fontId="0" fillId="0" borderId="1" xfId="0" applyBorder="1" applyAlignment="1"/>
    <xf numFmtId="0" fontId="11" fillId="0" borderId="0" xfId="1" applyFont="1" applyAlignment="1" applyProtection="1"/>
    <xf numFmtId="0" fontId="12" fillId="0" borderId="0" xfId="0" applyFont="1"/>
    <xf numFmtId="0" fontId="11" fillId="0" borderId="0" xfId="1" applyFont="1" applyAlignment="1" applyProtection="1">
      <alignment horizontal="center"/>
    </xf>
    <xf numFmtId="0" fontId="11" fillId="0" borderId="0" xfId="1" applyFont="1" applyAlignment="1" applyProtection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13" fillId="5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1" applyFont="1" applyAlignment="1" applyProtection="1">
      <alignment horizontal="center"/>
    </xf>
    <xf numFmtId="0" fontId="10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4;&#1075;&#1083;&#1072;&#1074;&#1083;&#1077;&#1085;&#1080;&#1077;!R1C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4;&#1075;&#1083;&#1072;&#1074;&#1083;&#1077;&#1085;&#1080;&#1077;!R1C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4;&#1075;&#1083;&#1072;&#1074;&#1083;&#1077;&#1085;&#1080;&#1077;!R1C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4;&#1075;&#1083;&#1072;&#1074;&#1083;&#1077;&#1085;&#1080;&#1077;!R1C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4;&#1075;&#1083;&#1072;&#1074;&#1083;&#1077;&#1085;&#1080;&#1077;!R1C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4;&#1075;&#1083;&#1072;&#1074;&#1083;&#1077;&#1085;&#1080;&#1077;!R1C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4;&#1075;&#1083;&#1072;&#1074;&#1083;&#1077;&#1085;&#1080;&#1077;!R1C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4;&#1075;&#1083;&#1072;&#1074;&#1083;&#1077;&#1085;&#1080;&#1077;!R1C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4;&#1075;&#1083;&#1072;&#1074;&#1083;&#1077;&#1085;&#1080;&#1077;!R1C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4;&#1075;&#1083;&#1072;&#1074;&#1083;&#1077;&#1085;&#1080;&#1077;!R1C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4;&#1075;&#1083;&#1072;&#1074;&#1083;&#1077;&#1085;&#1080;&#1077;!R1C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4;&#1075;&#1083;&#1072;&#1074;&#1083;&#1077;&#1085;&#1080;&#1077;!R1C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4;&#1075;&#1083;&#1072;&#1074;&#1083;&#1077;&#1085;&#1080;&#1077;!R1C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4;&#1075;&#1083;&#1072;&#1074;&#1083;&#1077;&#1085;&#1080;&#1077;!R1C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4;&#1075;&#1083;&#1072;&#1074;&#1083;&#1077;&#1085;&#1080;&#1077;!R1C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4;&#1075;&#1083;&#1072;&#1074;&#1083;&#1077;&#1085;&#1080;&#1077;!R1C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4;&#1075;&#1083;&#1072;&#1074;&#1083;&#1077;&#1085;&#1080;&#1077;!R1C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4;&#1075;&#1083;&#1072;&#1074;&#1083;&#1077;&#1085;&#1080;&#1077;!R1C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4;&#1075;&#1083;&#1072;&#1074;&#1083;&#1077;&#1085;&#1080;&#1077;!R1C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4;&#1075;&#1083;&#1072;&#1074;&#1083;&#1077;&#1085;&#1080;&#1077;!R1C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4;&#1075;&#1083;&#1072;&#1074;&#1083;&#1077;&#1085;&#1080;&#1077;!R1C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4;&#1075;&#1083;&#1072;&#1074;&#1083;&#1077;&#1085;&#1080;&#1077;!R1C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4;&#1075;&#1083;&#1072;&#1074;&#1083;&#1077;&#1085;&#1080;&#1077;!R1C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4;&#1075;&#1083;&#1072;&#1074;&#1083;&#1077;&#1085;&#1080;&#1077;!R1C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4;&#1075;&#1083;&#1072;&#1074;&#1083;&#1077;&#1085;&#1080;&#1077;!R1C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795284</xdr:colOff>
      <xdr:row>0</xdr:row>
      <xdr:rowOff>35719</xdr:rowOff>
    </xdr:from>
    <xdr:to>
      <xdr:col>3</xdr:col>
      <xdr:colOff>150070</xdr:colOff>
      <xdr:row>5</xdr:row>
      <xdr:rowOff>142195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95284" y="35719"/>
          <a:ext cx="1090717" cy="1166132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823723</xdr:colOff>
      <xdr:row>0</xdr:row>
      <xdr:rowOff>0</xdr:rowOff>
    </xdr:from>
    <xdr:to>
      <xdr:col>1</xdr:col>
      <xdr:colOff>188</xdr:colOff>
      <xdr:row>4</xdr:row>
      <xdr:rowOff>35865</xdr:rowOff>
    </xdr:to>
    <xdr:pic>
      <xdr:nvPicPr>
        <xdr:cNvPr id="4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23723" y="0"/>
          <a:ext cx="962403" cy="101694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823723</xdr:colOff>
      <xdr:row>0</xdr:row>
      <xdr:rowOff>0</xdr:rowOff>
    </xdr:from>
    <xdr:to>
      <xdr:col>1</xdr:col>
      <xdr:colOff>188</xdr:colOff>
      <xdr:row>4</xdr:row>
      <xdr:rowOff>35865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23723" y="0"/>
          <a:ext cx="962403" cy="101694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823723</xdr:colOff>
      <xdr:row>0</xdr:row>
      <xdr:rowOff>0</xdr:rowOff>
    </xdr:from>
    <xdr:to>
      <xdr:col>1</xdr:col>
      <xdr:colOff>188</xdr:colOff>
      <xdr:row>4</xdr:row>
      <xdr:rowOff>35865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23723" y="0"/>
          <a:ext cx="962403" cy="1016940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823723</xdr:colOff>
      <xdr:row>0</xdr:row>
      <xdr:rowOff>0</xdr:rowOff>
    </xdr:from>
    <xdr:to>
      <xdr:col>1</xdr:col>
      <xdr:colOff>188</xdr:colOff>
      <xdr:row>4</xdr:row>
      <xdr:rowOff>35865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23723" y="0"/>
          <a:ext cx="962403" cy="1016940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823723</xdr:colOff>
      <xdr:row>0</xdr:row>
      <xdr:rowOff>0</xdr:rowOff>
    </xdr:from>
    <xdr:to>
      <xdr:col>1</xdr:col>
      <xdr:colOff>188</xdr:colOff>
      <xdr:row>4</xdr:row>
      <xdr:rowOff>35865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23723" y="0"/>
          <a:ext cx="962403" cy="1016940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823723</xdr:colOff>
      <xdr:row>0</xdr:row>
      <xdr:rowOff>0</xdr:rowOff>
    </xdr:from>
    <xdr:to>
      <xdr:col>1</xdr:col>
      <xdr:colOff>405001</xdr:colOff>
      <xdr:row>4</xdr:row>
      <xdr:rowOff>35865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23723" y="0"/>
          <a:ext cx="962403" cy="1016940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823723</xdr:colOff>
      <xdr:row>0</xdr:row>
      <xdr:rowOff>0</xdr:rowOff>
    </xdr:from>
    <xdr:to>
      <xdr:col>1</xdr:col>
      <xdr:colOff>405001</xdr:colOff>
      <xdr:row>4</xdr:row>
      <xdr:rowOff>35865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23723" y="0"/>
          <a:ext cx="962403" cy="1016940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823723</xdr:colOff>
      <xdr:row>0</xdr:row>
      <xdr:rowOff>0</xdr:rowOff>
    </xdr:from>
    <xdr:to>
      <xdr:col>1</xdr:col>
      <xdr:colOff>405001</xdr:colOff>
      <xdr:row>4</xdr:row>
      <xdr:rowOff>35865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23723" y="0"/>
          <a:ext cx="962403" cy="1016940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823723</xdr:colOff>
      <xdr:row>0</xdr:row>
      <xdr:rowOff>0</xdr:rowOff>
    </xdr:from>
    <xdr:to>
      <xdr:col>1</xdr:col>
      <xdr:colOff>405001</xdr:colOff>
      <xdr:row>4</xdr:row>
      <xdr:rowOff>35865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23723" y="0"/>
          <a:ext cx="962403" cy="1016940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823723</xdr:colOff>
      <xdr:row>0</xdr:row>
      <xdr:rowOff>0</xdr:rowOff>
    </xdr:from>
    <xdr:to>
      <xdr:col>2</xdr:col>
      <xdr:colOff>264583</xdr:colOff>
      <xdr:row>3</xdr:row>
      <xdr:rowOff>96190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23723" y="0"/>
          <a:ext cx="1208277" cy="123919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823723</xdr:colOff>
      <xdr:row>0</xdr:row>
      <xdr:rowOff>0</xdr:rowOff>
    </xdr:from>
    <xdr:to>
      <xdr:col>1</xdr:col>
      <xdr:colOff>188</xdr:colOff>
      <xdr:row>4</xdr:row>
      <xdr:rowOff>35865</xdr:rowOff>
    </xdr:to>
    <xdr:pic>
      <xdr:nvPicPr>
        <xdr:cNvPr id="1026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23723" y="0"/>
          <a:ext cx="962403" cy="1016940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823723</xdr:colOff>
      <xdr:row>0</xdr:row>
      <xdr:rowOff>0</xdr:rowOff>
    </xdr:from>
    <xdr:to>
      <xdr:col>2</xdr:col>
      <xdr:colOff>357187</xdr:colOff>
      <xdr:row>4</xdr:row>
      <xdr:rowOff>123972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23723" y="0"/>
          <a:ext cx="1331308" cy="1517003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823722</xdr:colOff>
      <xdr:row>0</xdr:row>
      <xdr:rowOff>0</xdr:rowOff>
    </xdr:from>
    <xdr:to>
      <xdr:col>2</xdr:col>
      <xdr:colOff>409914</xdr:colOff>
      <xdr:row>4</xdr:row>
      <xdr:rowOff>76347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23722" y="0"/>
          <a:ext cx="1394241" cy="1520404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323851</xdr:colOff>
      <xdr:row>0</xdr:row>
      <xdr:rowOff>0</xdr:rowOff>
    </xdr:from>
    <xdr:to>
      <xdr:col>0</xdr:col>
      <xdr:colOff>1161485</xdr:colOff>
      <xdr:row>4</xdr:row>
      <xdr:rowOff>35865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23851" y="0"/>
          <a:ext cx="837634" cy="1016940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0</xdr:rowOff>
    </xdr:from>
    <xdr:to>
      <xdr:col>0</xdr:col>
      <xdr:colOff>1399609</xdr:colOff>
      <xdr:row>4</xdr:row>
      <xdr:rowOff>35865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19100" y="0"/>
          <a:ext cx="980509" cy="1016940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0</xdr:rowOff>
    </xdr:from>
    <xdr:to>
      <xdr:col>0</xdr:col>
      <xdr:colOff>1466284</xdr:colOff>
      <xdr:row>4</xdr:row>
      <xdr:rowOff>35865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7675" y="0"/>
          <a:ext cx="1018609" cy="1016940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0</xdr:rowOff>
    </xdr:from>
    <xdr:to>
      <xdr:col>0</xdr:col>
      <xdr:colOff>1323409</xdr:colOff>
      <xdr:row>4</xdr:row>
      <xdr:rowOff>35865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1475" y="0"/>
          <a:ext cx="951934" cy="1016940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0</xdr:rowOff>
    </xdr:from>
    <xdr:to>
      <xdr:col>0</xdr:col>
      <xdr:colOff>1437708</xdr:colOff>
      <xdr:row>4</xdr:row>
      <xdr:rowOff>35865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66725" y="0"/>
          <a:ext cx="970983" cy="101694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823723</xdr:colOff>
      <xdr:row>0</xdr:row>
      <xdr:rowOff>0</xdr:rowOff>
    </xdr:from>
    <xdr:to>
      <xdr:col>1</xdr:col>
      <xdr:colOff>188</xdr:colOff>
      <xdr:row>4</xdr:row>
      <xdr:rowOff>35865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23723" y="0"/>
          <a:ext cx="962403" cy="101694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823723</xdr:colOff>
      <xdr:row>0</xdr:row>
      <xdr:rowOff>0</xdr:rowOff>
    </xdr:from>
    <xdr:to>
      <xdr:col>1</xdr:col>
      <xdr:colOff>188</xdr:colOff>
      <xdr:row>4</xdr:row>
      <xdr:rowOff>35865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23723" y="0"/>
          <a:ext cx="962403" cy="101694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823723</xdr:colOff>
      <xdr:row>0</xdr:row>
      <xdr:rowOff>0</xdr:rowOff>
    </xdr:from>
    <xdr:to>
      <xdr:col>1</xdr:col>
      <xdr:colOff>188</xdr:colOff>
      <xdr:row>4</xdr:row>
      <xdr:rowOff>35865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23723" y="0"/>
          <a:ext cx="962403" cy="101694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823723</xdr:colOff>
      <xdr:row>0</xdr:row>
      <xdr:rowOff>0</xdr:rowOff>
    </xdr:from>
    <xdr:to>
      <xdr:col>1</xdr:col>
      <xdr:colOff>188</xdr:colOff>
      <xdr:row>4</xdr:row>
      <xdr:rowOff>27928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23723" y="0"/>
          <a:ext cx="962403" cy="101694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823723</xdr:colOff>
      <xdr:row>0</xdr:row>
      <xdr:rowOff>0</xdr:rowOff>
    </xdr:from>
    <xdr:to>
      <xdr:col>1</xdr:col>
      <xdr:colOff>188</xdr:colOff>
      <xdr:row>4</xdr:row>
      <xdr:rowOff>35865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23723" y="0"/>
          <a:ext cx="962403" cy="101694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823723</xdr:colOff>
      <xdr:row>0</xdr:row>
      <xdr:rowOff>0</xdr:rowOff>
    </xdr:from>
    <xdr:to>
      <xdr:col>1</xdr:col>
      <xdr:colOff>188</xdr:colOff>
      <xdr:row>4</xdr:row>
      <xdr:rowOff>35865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23723" y="0"/>
          <a:ext cx="962403" cy="101694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823723</xdr:colOff>
      <xdr:row>0</xdr:row>
      <xdr:rowOff>0</xdr:rowOff>
    </xdr:from>
    <xdr:to>
      <xdr:col>1</xdr:col>
      <xdr:colOff>188</xdr:colOff>
      <xdr:row>4</xdr:row>
      <xdr:rowOff>35865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23723" y="0"/>
          <a:ext cx="962403" cy="101694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45"/>
  <sheetViews>
    <sheetView tabSelected="1" zoomScale="70" zoomScaleNormal="70" workbookViewId="0">
      <selection sqref="A1:C1"/>
    </sheetView>
  </sheetViews>
  <sheetFormatPr defaultRowHeight="14.4"/>
  <cols>
    <col min="1" max="1" width="11.6640625" customWidth="1"/>
    <col min="2" max="2" width="3" customWidth="1"/>
    <col min="3" max="3" width="11" customWidth="1"/>
    <col min="4" max="4" width="8.88671875" customWidth="1"/>
    <col min="5" max="5" width="9.109375" customWidth="1"/>
    <col min="6" max="6" width="7" customWidth="1"/>
    <col min="7" max="8" width="9.33203125" bestFit="1" customWidth="1"/>
    <col min="9" max="12" width="9.5546875" bestFit="1" customWidth="1"/>
    <col min="13" max="13" width="1.5546875" customWidth="1"/>
    <col min="14" max="14" width="1" customWidth="1"/>
    <col min="15" max="15" width="4.44140625" customWidth="1"/>
    <col min="16" max="16" width="2.109375" customWidth="1"/>
    <col min="17" max="17" width="1.5546875" customWidth="1"/>
    <col min="18" max="18" width="0.33203125" hidden="1" customWidth="1"/>
    <col min="19" max="22" width="9.109375" hidden="1" customWidth="1"/>
  </cols>
  <sheetData>
    <row r="1" spans="1:33" ht="38.25" customHeight="1">
      <c r="A1" s="32" t="s">
        <v>134</v>
      </c>
      <c r="B1" s="32"/>
      <c r="C1" s="32"/>
      <c r="D1" s="33" t="s">
        <v>94</v>
      </c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33" ht="25.5" customHeight="1">
      <c r="D2" s="34" t="s">
        <v>136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33" ht="18">
      <c r="D3" s="34" t="s">
        <v>135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33" hidden="1"/>
    <row r="5" spans="1:33" ht="0.75" customHeight="1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33" ht="36.6">
      <c r="A6" s="37" t="s">
        <v>56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8" t="s">
        <v>57</v>
      </c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</row>
    <row r="8" spans="1:33" s="29" customFormat="1" ht="18.75" customHeight="1">
      <c r="A8" s="31" t="s">
        <v>55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 t="s">
        <v>49</v>
      </c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28"/>
    </row>
    <row r="9" spans="1:33" s="29" customFormat="1" ht="15" customHeight="1"/>
    <row r="10" spans="1:33" s="29" customFormat="1" ht="18.75" customHeight="1">
      <c r="A10" s="31" t="s">
        <v>50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 t="s">
        <v>50</v>
      </c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28"/>
    </row>
    <row r="11" spans="1:33" s="29" customFormat="1" ht="15" customHeight="1"/>
    <row r="12" spans="1:33" s="29" customFormat="1" ht="18.75" customHeight="1">
      <c r="A12" s="31" t="s">
        <v>51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 t="s">
        <v>51</v>
      </c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28"/>
    </row>
    <row r="13" spans="1:33" s="29" customFormat="1" ht="15" customHeight="1"/>
    <row r="14" spans="1:33" s="29" customFormat="1" ht="18.75" customHeight="1">
      <c r="A14" s="31" t="s">
        <v>52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 t="s">
        <v>52</v>
      </c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28"/>
    </row>
    <row r="15" spans="1:33" s="29" customFormat="1" ht="15" customHeight="1"/>
    <row r="16" spans="1:33" s="29" customFormat="1" ht="15" customHeight="1">
      <c r="A16" s="31" t="s">
        <v>63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 t="s">
        <v>63</v>
      </c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28"/>
    </row>
    <row r="17" spans="1:33" s="29" customFormat="1" ht="15" customHeight="1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AG17" s="28"/>
    </row>
    <row r="18" spans="1:33" s="29" customFormat="1" ht="21">
      <c r="A18" s="31" t="s">
        <v>65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 t="s">
        <v>65</v>
      </c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</row>
    <row r="19" spans="1:33" s="29" customFormat="1" ht="2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  <row r="20" spans="1:33" s="29" customFormat="1" ht="21">
      <c r="A20" s="31" t="s">
        <v>88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W20" s="31" t="s">
        <v>88</v>
      </c>
      <c r="X20" s="31"/>
      <c r="Y20" s="31"/>
      <c r="Z20" s="31"/>
      <c r="AA20" s="31"/>
      <c r="AB20" s="31"/>
      <c r="AC20" s="31"/>
      <c r="AD20" s="31"/>
      <c r="AE20" s="31"/>
      <c r="AF20" s="31"/>
    </row>
    <row r="21" spans="1:33" ht="18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</row>
    <row r="22" spans="1:33">
      <c r="Q22" s="1"/>
    </row>
    <row r="23" spans="1:33" ht="36.6">
      <c r="I23" s="38" t="s">
        <v>66</v>
      </c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</row>
    <row r="25" spans="1:33" s="29" customFormat="1" ht="21">
      <c r="I25" s="31" t="s">
        <v>80</v>
      </c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</row>
    <row r="26" spans="1:33" s="29" customFormat="1" ht="21"/>
    <row r="27" spans="1:33" s="29" customFormat="1" ht="21">
      <c r="I27" s="31" t="s">
        <v>83</v>
      </c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</row>
    <row r="28" spans="1:33" s="29" customFormat="1" ht="21"/>
    <row r="29" spans="1:33" s="29" customFormat="1" ht="21">
      <c r="I29" s="31" t="s">
        <v>86</v>
      </c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</row>
    <row r="30" spans="1:33" s="29" customFormat="1" ht="21"/>
    <row r="31" spans="1:33" s="29" customFormat="1" ht="21">
      <c r="I31" s="31" t="s">
        <v>93</v>
      </c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</row>
    <row r="32" spans="1:33" s="29" customFormat="1" ht="21"/>
    <row r="33" spans="8:25" s="29" customFormat="1" ht="21">
      <c r="I33" s="31" t="s">
        <v>113</v>
      </c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</row>
    <row r="34" spans="8:25" s="29" customFormat="1" ht="21"/>
    <row r="35" spans="8:25" s="29" customFormat="1" ht="21">
      <c r="I35" s="31" t="s">
        <v>116</v>
      </c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</row>
    <row r="36" spans="8:25" s="29" customFormat="1" ht="21"/>
    <row r="37" spans="8:25" s="29" customFormat="1" ht="21">
      <c r="I37" s="31" t="s">
        <v>117</v>
      </c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9" spans="8:25" ht="20.25" customHeight="1">
      <c r="H39" s="39" t="s">
        <v>124</v>
      </c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</row>
    <row r="41" spans="8:25" ht="18">
      <c r="H41" s="39" t="s">
        <v>125</v>
      </c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</row>
    <row r="43" spans="8:25" ht="18">
      <c r="H43" s="39" t="s">
        <v>124</v>
      </c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</row>
    <row r="45" spans="8:25" ht="18">
      <c r="H45" s="39" t="s">
        <v>125</v>
      </c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</row>
  </sheetData>
  <mergeCells count="33">
    <mergeCell ref="H43:Y43"/>
    <mergeCell ref="H45:Y45"/>
    <mergeCell ref="W20:AF20"/>
    <mergeCell ref="H39:Y39"/>
    <mergeCell ref="H41:Y41"/>
    <mergeCell ref="I37:X37"/>
    <mergeCell ref="I29:X29"/>
    <mergeCell ref="I27:X27"/>
    <mergeCell ref="I25:X25"/>
    <mergeCell ref="I23:X23"/>
    <mergeCell ref="I31:X31"/>
    <mergeCell ref="I33:X33"/>
    <mergeCell ref="I35:X35"/>
    <mergeCell ref="Q6:AF6"/>
    <mergeCell ref="Q8:AF8"/>
    <mergeCell ref="Q10:AF10"/>
    <mergeCell ref="Q12:AF12"/>
    <mergeCell ref="Q14:AF14"/>
    <mergeCell ref="A6:P6"/>
    <mergeCell ref="A8:P8"/>
    <mergeCell ref="A10:P10"/>
    <mergeCell ref="A12:P12"/>
    <mergeCell ref="A14:P14"/>
    <mergeCell ref="A1:C1"/>
    <mergeCell ref="D1:O1"/>
    <mergeCell ref="D2:O2"/>
    <mergeCell ref="D3:O3"/>
    <mergeCell ref="A5:O5"/>
    <mergeCell ref="A18:P18"/>
    <mergeCell ref="A16:P16"/>
    <mergeCell ref="A20:P20"/>
    <mergeCell ref="Q16:AF16"/>
    <mergeCell ref="Q18:AF18"/>
  </mergeCells>
  <hyperlinks>
    <hyperlink ref="A8:H8" location="'Сэндвич (430 0,5)'!R1C1" display="Сендвич дымоходы 430 0,5/оцинк 0,5-430 0,5/оцинк 0,5"/>
    <hyperlink ref="A14:H14" location="'Сэндвич 304 (0,8)'!R1C1" display="Сендвич дымоходы           304 0,8/оцинк 0,5-------------304 0,8/оцинк 0,5"/>
    <hyperlink ref="A12:H12" location="'Сэндвич 304 (0,5)'!R1C1" display="Сендвич дымоходы           304 0,5/оцинк 0,5-------------304 0,5/оцинк 0,5"/>
    <hyperlink ref="A10:H10" location="'Сэндвич (430 0,8)'!R1C1" display="Сендвич дымоходы           430 0,5/оцинк 0,5-------------430 0,5/оцинк 0,5"/>
    <hyperlink ref="A16:N16" location="'Сэндвич 321 (0,5)'!R1C1" display="Сендвич дымоходы           321 0,8/оцинк 0,5-------------321 0,5/430 0,5"/>
    <hyperlink ref="Q8:AD8" location="'Сэндвич 321 (0,5)'!R1C1" display="Сендвич дымоходы           321 0,8/оцинк 0,5-------------321 0,5/430 0,5"/>
    <hyperlink ref="Q8:AF8" location="'Сэндвич 430 (0,5)50'!R1C1" display="Сендвич дымоходы           321 0,8/оцинк 0,5-------------321 0,5/430 0,5"/>
    <hyperlink ref="Q10:AD10" location="'Сэндвич 321 (0,5)'!R1C1" display="Сендвич дымоходы           321 0,8/оцинк 0,5-------------321 0,5/430 0,5"/>
    <hyperlink ref="Q10:AF10" location="'Сэндвич 430 (0,8)50'!R1C1" display="Сендвич дымоходы           430 0,8/оцинк 0,5-------------430 0,8/430 0,5"/>
    <hyperlink ref="Q12:AD12" location="'Сэндвич 321 (0,5)'!R1C1" display="Сендвич дымоходы           321 0,8/оцинк 0,5-------------321 0,5/430 0,5"/>
    <hyperlink ref="Q12:AF12" location="'Сэндвич 304 (0,5)50'!R1C1" display="Сендвич дымоходы           430 0,8/оцинк 0,5-------------430 0,8/430 0,5"/>
    <hyperlink ref="Q14:AD14" location="'Сэндвич 321 (0,5)'!R1C1" display="Сендвич дымоходы           321 0,8/оцинк 0,5-------------321 0,5/430 0,5"/>
    <hyperlink ref="Q14:AF14" location="'Сэндвич 304 (0,8)50'!R1C1" display="Сендвич дымоходы           304 0,8/оцинк 0,5-------------304 0,8/430 0,5"/>
    <hyperlink ref="Q16:AD16" location="'Сэндвич 321 (0,5)'!R1C1" display="Сендвич дымоходы           321 0,8/оцинк 0,5-------------321 0,5/430 0,5"/>
    <hyperlink ref="Q16:AF16" location="'Сэндвич 321 (0,5)50'!R1C1" display="Сендвич дымоходы           321 0,5/оцинк 0,5-------------321 0,5/430 0,5"/>
    <hyperlink ref="Q18:AD18" location="'Сэндвич 321 (0,5)'!R1C1" display="Сендвич дымоходы           321 0,8/оцинк 0,5-------------321 0,5/430 0,5"/>
    <hyperlink ref="Q18:AF18" location="'Сэндвич 321 (0,8)50'!R1C1" display="Сендвич дымоходы           321 0,8/оцинк 0,5-------------321 0,8/430 0,5"/>
    <hyperlink ref="A18:N18" location="'Сэндвич 321 (0,5)'!R1C1" display="Сендвич дымоходы           321 0,8/оцинк 0,5-------------321 0,5/430 0,5"/>
    <hyperlink ref="A16:P16" location="'Сэндвич 321 (0,5)'!R1C1" display="Сендвич дымоходы           321 0,5/оцинк 0,5-------------321 0,5/430 0,5"/>
    <hyperlink ref="A18:P18" location="'Сэндвич 321 (0,8)'!R1C1" display="Сендвич дымоходы           321 0,8/оцинк 0,5-------------321 0,5/430 0,5"/>
    <hyperlink ref="I25:X25" location="'Моно 430 (0,5-0,8)'!R1C1" display="Моно дымоходы 430 0,5-----------430 0,8"/>
    <hyperlink ref="I27:X27" location="'Моно 304 (0,5-0,8)'!R1C1" display="Моно дымоходы 304 0,5-----------304 0,8"/>
    <hyperlink ref="I29:X29" location="'Моно 321 (0,5-0,8)'!R1C1" display="Моно дымоходы 321 0,5-----------321 0,8"/>
    <hyperlink ref="A20:N20" location="'Сэндвич 321 (0,5)'!R1C1" display="Сендвич дымоходы           321 0,8/оцинк 0,5-------------321 0,5/430 0,5"/>
    <hyperlink ref="A20:P20" location="'Сэндвич оц (0,5)35'!Область_печати" display="Сендвич дымоходы           оц 0,5/оцинк 0,5-------------оц 0,5/430 0,5"/>
    <hyperlink ref="I31:X31" location="'Моно оц (0,5-0,7)'!R1C1" display="Моно дымоходы оц 0,5-----------оц 0,7"/>
    <hyperlink ref="I33:X33" location="'Моно 430 (1-1,5)'!R1C1" display="Моно дымоходы 430 1----------------1,5"/>
    <hyperlink ref="I35:X35" location="'Моно 304 (1-1,5)'!R1C1" display="Моно дымоходы 304 1-----------------1,5"/>
    <hyperlink ref="I37:X37" location="'Моно 321 (1-1,5)'!R1C1" display="Моно дымоходы 321 1-----------------1,5"/>
    <hyperlink ref="W20:AF20" location="'Сэндвич оц (0,5)50'!R1C1" display="Сендвич дымоходы           оц 0,5/оцинк 0,5-------------оц 0,5/430 0,5"/>
    <hyperlink ref="H39:Y39" location="'Сэндвич 321 (1)50'!R1C1" display="Сендвич дымоходы           321 1мм/оцинк 0,5-------------321 1мм/430 0,5"/>
    <hyperlink ref="H41:Y41" location="'Сэндвич 304 (1)50'!R1C1" display="Сендвич дымоходы           304 1мм/оцинк 0,5-------------304 1мм/430 0,5"/>
    <hyperlink ref="H43:Y43" location="'Сэндвич 321 (1)35'!R1C1" display="Сендвич дымоходы           321 1мм/оцинк 0,5-------------321 1мм/430 0,5"/>
    <hyperlink ref="H45:Y45" location="'Сэндвич 304 (1)35'!R1C1" display="Сендвич дымоходы           304 1мм/оцинк 0,5-------------304 1мм/430 0,5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31"/>
  <sheetViews>
    <sheetView zoomScale="80" zoomScaleNormal="80" workbookViewId="0">
      <selection activeCell="B31" sqref="B31:S31"/>
    </sheetView>
  </sheetViews>
  <sheetFormatPr defaultRowHeight="14.4"/>
  <cols>
    <col min="1" max="1" width="26.6640625" customWidth="1"/>
    <col min="2" max="19" width="6.33203125" customWidth="1"/>
  </cols>
  <sheetData>
    <row r="1" spans="1:19" ht="45" customHeight="1">
      <c r="A1" s="32"/>
      <c r="B1" s="32"/>
      <c r="C1" s="32"/>
      <c r="D1" s="40" t="s">
        <v>94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1"/>
      <c r="Q1" s="1"/>
    </row>
    <row r="2" spans="1:19" ht="15" customHeight="1">
      <c r="D2" s="34" t="s">
        <v>95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1"/>
    </row>
    <row r="3" spans="1:19" ht="15" customHeight="1">
      <c r="D3" s="34" t="s">
        <v>112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9" ht="2.25" customHeight="1"/>
    <row r="5" spans="1:19">
      <c r="A5" s="41" t="s">
        <v>105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1:19">
      <c r="A6" s="3" t="s">
        <v>0</v>
      </c>
      <c r="B6" s="10">
        <v>100</v>
      </c>
      <c r="C6" s="10">
        <v>110</v>
      </c>
      <c r="D6" s="10">
        <v>115</v>
      </c>
      <c r="E6" s="10">
        <v>120</v>
      </c>
      <c r="F6" s="10">
        <v>125</v>
      </c>
      <c r="G6" s="10">
        <v>130</v>
      </c>
      <c r="H6" s="10">
        <v>140</v>
      </c>
      <c r="I6" s="10">
        <v>150</v>
      </c>
      <c r="J6" s="10">
        <v>160</v>
      </c>
      <c r="K6" s="10">
        <v>180</v>
      </c>
      <c r="L6" s="10">
        <v>200</v>
      </c>
      <c r="M6" s="10">
        <v>220</v>
      </c>
      <c r="N6" s="10">
        <v>250</v>
      </c>
      <c r="O6" s="10">
        <v>260</v>
      </c>
      <c r="P6" s="10">
        <v>270</v>
      </c>
      <c r="Q6" s="10">
        <v>280</v>
      </c>
      <c r="R6" s="10">
        <v>290</v>
      </c>
      <c r="S6" s="10">
        <v>300</v>
      </c>
    </row>
    <row r="7" spans="1:19">
      <c r="A7" s="3" t="s">
        <v>1</v>
      </c>
      <c r="B7" s="10">
        <f>B6+100</f>
        <v>200</v>
      </c>
      <c r="C7" s="10">
        <f t="shared" ref="C7:N7" si="0">C6+100</f>
        <v>210</v>
      </c>
      <c r="D7" s="10">
        <f t="shared" si="0"/>
        <v>215</v>
      </c>
      <c r="E7" s="10">
        <f t="shared" si="0"/>
        <v>220</v>
      </c>
      <c r="F7" s="10">
        <f t="shared" si="0"/>
        <v>225</v>
      </c>
      <c r="G7" s="10">
        <f t="shared" si="0"/>
        <v>230</v>
      </c>
      <c r="H7" s="10">
        <f t="shared" si="0"/>
        <v>240</v>
      </c>
      <c r="I7" s="10">
        <f t="shared" si="0"/>
        <v>250</v>
      </c>
      <c r="J7" s="10">
        <f t="shared" si="0"/>
        <v>260</v>
      </c>
      <c r="K7" s="10">
        <f t="shared" si="0"/>
        <v>280</v>
      </c>
      <c r="L7" s="10">
        <f t="shared" si="0"/>
        <v>300</v>
      </c>
      <c r="M7" s="10">
        <f t="shared" si="0"/>
        <v>320</v>
      </c>
      <c r="N7" s="10">
        <f t="shared" si="0"/>
        <v>350</v>
      </c>
      <c r="O7" s="10">
        <f t="shared" ref="O7:S7" si="1">O6+100</f>
        <v>360</v>
      </c>
      <c r="P7" s="10">
        <f t="shared" si="1"/>
        <v>370</v>
      </c>
      <c r="Q7" s="10">
        <f t="shared" si="1"/>
        <v>380</v>
      </c>
      <c r="R7" s="10">
        <f t="shared" si="1"/>
        <v>390</v>
      </c>
      <c r="S7" s="10">
        <f t="shared" si="1"/>
        <v>400</v>
      </c>
    </row>
    <row r="8" spans="1:19">
      <c r="A8" s="4" t="s">
        <v>4</v>
      </c>
      <c r="B8" s="16">
        <f>(((B6*0.00314)*'Технический лист'!$G$4)+365+((B7*0.00314)*'Технический лист'!$G$11))*1.95</f>
        <v>2042.625135064935</v>
      </c>
      <c r="C8" s="16">
        <f>(((C6*0.00314)*'Технический лист'!$G$4)+365+((C7*0.00314)*'Технический лист'!$G$11))*1.95</f>
        <v>2154.0576385714285</v>
      </c>
      <c r="D8" s="16">
        <f>(((D6*0.00314)*'Технический лист'!$G$4)+365+((D7*0.00314)*'Технический лист'!$G$11))*1.95</f>
        <v>2209.773890324675</v>
      </c>
      <c r="E8" s="16">
        <f>(((E6*0.00314)*'Технический лист'!$G$4)+365+((E7*0.00314)*'Технический лист'!$G$11))*1.95</f>
        <v>2265.490142077922</v>
      </c>
      <c r="F8" s="16">
        <f>(((F6*0.00314)*'Технический лист'!$G$4)+365+((F7*0.00314)*'Технический лист'!$G$11))*1.95</f>
        <v>2321.2063938311685</v>
      </c>
      <c r="G8" s="16">
        <f>(((G6*0.00314)*'Технический лист'!$G$4)+365+((G7*0.00314)*'Технический лист'!$G$11))*1.95</f>
        <v>2376.9226455844159</v>
      </c>
      <c r="H8" s="16">
        <f>(((H6*0.00314)*'Технический лист'!$G$4)+365+((H7*0.00314)*'Технический лист'!$G$11))*1.95</f>
        <v>2488.355149090909</v>
      </c>
      <c r="I8" s="16">
        <f>(((I6*0.00314)*'Технический лист'!$G$4)+365+((I7*0.00314)*'Технический лист'!$G$11))*1.95</f>
        <v>2599.7876525974029</v>
      </c>
      <c r="J8" s="16">
        <f>(((J6*0.00314)*'Технический лист'!$G$4)+365+((J7*0.00314)*'Технический лист'!$G$11))*1.95</f>
        <v>2711.2201561038955</v>
      </c>
      <c r="K8" s="16">
        <f>(((K6*0.00314)*'Технический лист'!$G$4)+365+((K7*0.00314)*'Технический лист'!$G$11))*1.95</f>
        <v>2934.0851631168835</v>
      </c>
      <c r="L8" s="16">
        <f>(((L6*0.00314)*'Технический лист'!$G$4)+365+((L7*0.00314)*'Технический лист'!$G$11))*1.95</f>
        <v>3156.95017012987</v>
      </c>
      <c r="M8" s="16">
        <f>(((M6*0.00314)*'Технический лист'!$G$4)+365+((M7*0.00314)*'Технический лист'!$G$11))*1.95</f>
        <v>3379.8151771428566</v>
      </c>
      <c r="N8" s="16">
        <f>(((N6*0.00314)*'Технический лист'!$G$4)+365+((N7*0.00314)*'Технический лист'!$G$11))*1.95</f>
        <v>3714.112687662338</v>
      </c>
      <c r="O8" s="16">
        <f>(((O6*0.00314)*'Технический лист'!$G$4)+365+((O7*0.00314)*'Технический лист'!$G$11))*1.95</f>
        <v>3825.545191168831</v>
      </c>
      <c r="P8" s="16">
        <f>(((P6*0.00314)*'Технический лист'!$G$4)+365+((P7*0.00314)*'Технический лист'!$G$11))*1.95</f>
        <v>3936.977694675325</v>
      </c>
      <c r="Q8" s="16">
        <f>(((Q6*0.00314)*'Технический лист'!$G$4)+365+((Q7*0.00314)*'Технический лист'!$G$11))*1.95</f>
        <v>4048.410198181818</v>
      </c>
      <c r="R8" s="16">
        <f>(((R6*0.00314)*'Технический лист'!$G$4)+365+((R7*0.00314)*'Технический лист'!$G$11))*1.95</f>
        <v>4159.8427016883115</v>
      </c>
      <c r="S8" s="16">
        <f>(((S6*0.00314)*'Технический лист'!$G$4)+365+((S7*0.00314)*'Технический лист'!$G$11))*1.95</f>
        <v>4271.2752051948046</v>
      </c>
    </row>
    <row r="9" spans="1:19">
      <c r="A9" s="4" t="s">
        <v>3</v>
      </c>
      <c r="B9" s="9">
        <f>((B8/2)*1.07)-10</f>
        <v>1082.8044472597403</v>
      </c>
      <c r="C9" s="9">
        <f t="shared" ref="C9:N9" si="2">((C8/2)*1.07)-10</f>
        <v>1142.4208366357143</v>
      </c>
      <c r="D9" s="9">
        <f t="shared" si="2"/>
        <v>1172.2290313237013</v>
      </c>
      <c r="E9" s="9">
        <f t="shared" si="2"/>
        <v>1202.0372260116883</v>
      </c>
      <c r="F9" s="9">
        <f t="shared" si="2"/>
        <v>1231.8454206996753</v>
      </c>
      <c r="G9" s="9">
        <f t="shared" si="2"/>
        <v>1261.6536153876625</v>
      </c>
      <c r="H9" s="9">
        <f t="shared" si="2"/>
        <v>1321.2700047636363</v>
      </c>
      <c r="I9" s="9">
        <f t="shared" si="2"/>
        <v>1380.8863941396107</v>
      </c>
      <c r="J9" s="9">
        <f t="shared" si="2"/>
        <v>1440.5027835155843</v>
      </c>
      <c r="K9" s="9">
        <f t="shared" si="2"/>
        <v>1559.7355622675327</v>
      </c>
      <c r="L9" s="9">
        <f t="shared" si="2"/>
        <v>1678.9683410194805</v>
      </c>
      <c r="M9" s="9">
        <f t="shared" si="2"/>
        <v>1798.2011197714285</v>
      </c>
      <c r="N9" s="9">
        <f t="shared" si="2"/>
        <v>1977.0502878993509</v>
      </c>
      <c r="O9" s="9">
        <f t="shared" ref="O9:S9" si="3">((O8/2)*1.07)-10</f>
        <v>2036.6666772753247</v>
      </c>
      <c r="P9" s="9">
        <f t="shared" si="3"/>
        <v>2096.2830666512991</v>
      </c>
      <c r="Q9" s="9">
        <f t="shared" si="3"/>
        <v>2155.8994560272727</v>
      </c>
      <c r="R9" s="9">
        <f t="shared" si="3"/>
        <v>2215.5158454032467</v>
      </c>
      <c r="S9" s="9">
        <f t="shared" si="3"/>
        <v>2275.1322347792207</v>
      </c>
    </row>
    <row r="10" spans="1:19">
      <c r="A10" s="4" t="s">
        <v>5</v>
      </c>
      <c r="B10" s="16">
        <f>((((B6*0.00314)*0.5)*'Технический лист'!$I$4)+310+(((B7*0.00314)*0.5)*'Технический лист'!$I$11))*1.96</f>
        <v>1713.412467878788</v>
      </c>
      <c r="C10" s="16">
        <f>((((C6*0.00314)*0.5)*'Технический лист'!$I$4)+310+(((C7*0.00314)*0.5)*'Технический лист'!$I$11))*1.96</f>
        <v>1803.109784</v>
      </c>
      <c r="D10" s="16">
        <f>((((D6*0.00314)*0.5)*'Технический лист'!$I$4)+310+(((D7*0.00314)*0.5)*'Технический лист'!$I$11))*1.96</f>
        <v>1847.9584420606061</v>
      </c>
      <c r="E10" s="16">
        <f>((((E6*0.00314)*0.5)*'Технический лист'!$I$4)+310+(((E7*0.00314)*0.5)*'Технический лист'!$I$11))*1.96</f>
        <v>1892.8071001212122</v>
      </c>
      <c r="F10" s="16">
        <f>((((F6*0.00314)*0.5)*'Технический лист'!$I$4)+310+(((F7*0.00314)*0.5)*'Технический лист'!$I$11))*1.96</f>
        <v>1937.6557581818183</v>
      </c>
      <c r="G10" s="16">
        <f>((((G6*0.00314)*0.5)*'Технический лист'!$I$4)+310+(((G7*0.00314)*0.5)*'Технический лист'!$I$11))*1.96</f>
        <v>1982.5044162424242</v>
      </c>
      <c r="H10" s="16">
        <f>((((H6*0.00314)*0.5)*'Технический лист'!$I$4)+310+(((H7*0.00314)*0.5)*'Технический лист'!$I$11))*1.96</f>
        <v>2072.2017323636364</v>
      </c>
      <c r="I10" s="16">
        <f>((((I6*0.00314)*0.5)*'Технический лист'!$I$4)+310+(((I7*0.00314)*0.5)*'Технический лист'!$I$11))*1.96</f>
        <v>2161.8990484848487</v>
      </c>
      <c r="J10" s="16">
        <f>((((J6*0.00314)*0.5)*'Технический лист'!$I$4)+310+(((J7*0.00314)*0.5)*'Технический лист'!$I$11))*1.96</f>
        <v>2251.5963646060604</v>
      </c>
      <c r="K10" s="16">
        <f>((((K6*0.00314)*0.5)*'Технический лист'!$I$4)+310+(((K7*0.00314)*0.5)*'Технический лист'!$I$11))*1.96</f>
        <v>2430.9909968484849</v>
      </c>
      <c r="L10" s="16">
        <f>((((L6*0.00314)*0.5)*'Технический лист'!$I$4)+310+(((L7*0.00314)*0.5)*'Технический лист'!$I$11))*1.96</f>
        <v>2610.3856290909089</v>
      </c>
      <c r="M10" s="16">
        <f>((((M6*0.00314)*0.5)*'Технический лист'!$I$4)+310+(((M7*0.00314)*0.5)*'Технический лист'!$I$11))*1.96</f>
        <v>2789.7802613333333</v>
      </c>
      <c r="N10" s="16">
        <f>((((N6*0.00314)*0.5)*'Технический лист'!$I$4)+310+(((N7*0.00314)*0.5)*'Технический лист'!$I$11))*1.96</f>
        <v>3058.87220969697</v>
      </c>
      <c r="O10" s="16">
        <f>((((O6*0.00314)*0.5)*'Технический лист'!$I$4)+310+(((O7*0.00314)*0.5)*'Технический лист'!$I$11))*1.96</f>
        <v>3148.5695258181818</v>
      </c>
      <c r="P10" s="16">
        <f>((((P6*0.00314)*0.5)*'Технический лист'!$I$4)+310+(((P7*0.00314)*0.5)*'Технический лист'!$I$11))*1.96</f>
        <v>3238.266841939394</v>
      </c>
      <c r="Q10" s="16">
        <f>((((Q6*0.00314)*0.5)*'Технический лист'!$I$4)+310+(((Q7*0.00314)*0.5)*'Технический лист'!$I$11))*1.96</f>
        <v>3327.9641580606062</v>
      </c>
      <c r="R10" s="16">
        <f>((((R6*0.00314)*0.5)*'Технический лист'!$I$4)+310+(((R7*0.00314)*0.5)*'Технический лист'!$I$11))*1.96</f>
        <v>3417.661474181818</v>
      </c>
      <c r="S10" s="16">
        <f>((((S6*0.00314)*0.5)*'Технический лист'!$I$4)+310+(((S7*0.00314)*0.5)*'Технический лист'!$I$11))*1.96</f>
        <v>3507.3587903030302</v>
      </c>
    </row>
    <row r="11" spans="1:19">
      <c r="A11" s="4" t="s">
        <v>96</v>
      </c>
      <c r="B11" s="9">
        <f>((B10*2)/3)-6</f>
        <v>1136.2749785858587</v>
      </c>
      <c r="C11" s="9">
        <f t="shared" ref="C11:N11" si="4">((C10*2)/3)-6</f>
        <v>1196.0731893333334</v>
      </c>
      <c r="D11" s="9">
        <f t="shared" si="4"/>
        <v>1225.9722947070707</v>
      </c>
      <c r="E11" s="9">
        <f t="shared" si="4"/>
        <v>1255.8714000808081</v>
      </c>
      <c r="F11" s="9">
        <f t="shared" si="4"/>
        <v>1285.7705054545456</v>
      </c>
      <c r="G11" s="9">
        <f t="shared" si="4"/>
        <v>1315.6696108282829</v>
      </c>
      <c r="H11" s="9">
        <f t="shared" si="4"/>
        <v>1375.4678215757576</v>
      </c>
      <c r="I11" s="9">
        <f t="shared" si="4"/>
        <v>1435.2660323232324</v>
      </c>
      <c r="J11" s="9">
        <f t="shared" si="4"/>
        <v>1495.0642430707069</v>
      </c>
      <c r="K11" s="9">
        <f t="shared" si="4"/>
        <v>1614.6606645656566</v>
      </c>
      <c r="L11" s="9">
        <f t="shared" si="4"/>
        <v>1734.2570860606058</v>
      </c>
      <c r="M11" s="9">
        <f t="shared" si="4"/>
        <v>1853.8535075555556</v>
      </c>
      <c r="N11" s="9">
        <f t="shared" si="4"/>
        <v>2033.24813979798</v>
      </c>
      <c r="O11" s="9">
        <f t="shared" ref="O11:S11" si="5">((O10*2)/3)-6</f>
        <v>2093.0463505454545</v>
      </c>
      <c r="P11" s="9">
        <f t="shared" si="5"/>
        <v>2152.8445612929295</v>
      </c>
      <c r="Q11" s="9">
        <f t="shared" si="5"/>
        <v>2212.642772040404</v>
      </c>
      <c r="R11" s="9">
        <f t="shared" si="5"/>
        <v>2272.4409827878785</v>
      </c>
      <c r="S11" s="9">
        <f t="shared" si="5"/>
        <v>2332.2391935353535</v>
      </c>
    </row>
    <row r="12" spans="1:19">
      <c r="A12" s="4" t="s">
        <v>6</v>
      </c>
      <c r="B12" s="16">
        <f>((((B6*0.00314)*0.22)*'Технический лист'!$M$4)+100+(((B7*0.00314)*0.21)*'Технический лист'!$O$11)+(((B6+30)*(B6+30)/1000000)*'Технический лист'!$E$18))*1.96</f>
        <v>935.04541759999984</v>
      </c>
      <c r="C12" s="16">
        <f>((((C6*0.00314)*0.22)*'Технический лист'!$M$4)+100+(((C7*0.00314)*0.21)*'Технический лист'!$O$11)+(((C6+30)*(C6+30)/1000000)*'Технический лист'!$E$18))*1.96</f>
        <v>1001.3437324800001</v>
      </c>
      <c r="D12" s="16">
        <f>((((D6*0.00314)*0.22)*'Технический лист'!$M$4)+100+(((D7*0.00314)*0.21)*'Технический лист'!$O$11)+(((D6+30)*(D6+30)/1000000)*'Технический лист'!$E$18))*1.96</f>
        <v>1034.9632899200001</v>
      </c>
      <c r="E12" s="16">
        <f>((((E6*0.00314)*0.22)*'Технический лист'!$M$4)+100+(((E7*0.00314)*0.21)*'Технический лист'!$O$11)+(((E6+30)*(E6+30)/1000000)*'Технический лист'!$E$18))*1.96</f>
        <v>1068.8964473600001</v>
      </c>
      <c r="F12" s="16">
        <f>((((F6*0.00314)*0.22)*'Технический лист'!$M$4)+100+(((F7*0.00314)*0.21)*'Технический лист'!$O$11)+(((F6+30)*(F6+30)/1000000)*'Технический лист'!$E$18))*1.96</f>
        <v>1103.1432048000001</v>
      </c>
      <c r="G12" s="16">
        <f>((((G6*0.00314)*0.22)*'Технический лист'!$M$4)+100+(((G7*0.00314)*0.21)*'Технический лист'!$O$11)+(((G6+30)*(G6+30)/1000000)*'Технический лист'!$E$18))*1.96</f>
        <v>1137.7035622400001</v>
      </c>
      <c r="H12" s="16">
        <f>((((H6*0.00314)*0.22)*'Технический лист'!$M$4)+100+(((H7*0.00314)*0.21)*'Технический лист'!$O$11)+(((H6+30)*(H6+30)/1000000)*'Технический лист'!$E$18))*1.96</f>
        <v>1207.7650771200001</v>
      </c>
      <c r="I12" s="16">
        <f>((((I6*0.00314)*0.22)*'Технический лист'!$M$4)+100+(((I7*0.00314)*0.21)*'Технический лист'!$O$11)+(((I6+30)*(I6+30)/1000000)*'Технический лист'!$E$18))*1.96</f>
        <v>1279.0809919999999</v>
      </c>
      <c r="J12" s="16">
        <f>((((J6*0.00314)*0.22)*'Технический лист'!$M$4)+100+(((J7*0.00314)*0.21)*'Технический лист'!$O$11)+(((J6+30)*(J6+30)/1000000)*'Технический лист'!$E$18))*1.96</f>
        <v>1351.65130688</v>
      </c>
      <c r="K12" s="16">
        <f>((((K6*0.00314)*0.22)*'Технический лист'!$M$4)+100+(((K7*0.00314)*0.21)*'Технический лист'!$O$11)+(((K6+30)*(K6+30)/1000000)*'Технический лист'!$E$18))*1.96</f>
        <v>1500.55513664</v>
      </c>
      <c r="L12" s="16">
        <f>((((L6*0.00314)*0.22)*'Технический лист'!$M$4)+100+(((L7*0.00314)*0.21)*'Технический лист'!$O$11)+(((L6+30)*(L6+30)/1000000)*'Технический лист'!$E$18))*1.96</f>
        <v>1654.4765663999999</v>
      </c>
      <c r="M12" s="16">
        <f>((((M6*0.00314)*0.22)*'Технический лист'!$M$4)+100+(((M7*0.00314)*0.21)*'Технический лист'!$O$11)+(((M6+30)*(M6+30)/1000000)*'Технический лист'!$E$18))*1.96</f>
        <v>1813.41559616</v>
      </c>
      <c r="N12" s="16">
        <f>((((N6*0.00314)*0.22)*'Технический лист'!$M$4)+100+(((N7*0.00314)*0.21)*'Технический лист'!$O$11)+(((N6+30)*(N6+30)/1000000)*'Технический лист'!$E$18))*1.96</f>
        <v>2061.2321408000003</v>
      </c>
      <c r="O12" s="16">
        <f>((((O6*0.00314)*0.22)*'Технический лист'!$M$4)+100+(((O7*0.00314)*0.21)*'Технический лист'!$O$11)+(((O6+30)*(O6+30)/1000000)*'Технический лист'!$E$18))*1.96</f>
        <v>2146.3464556800004</v>
      </c>
      <c r="P12" s="16">
        <f>((((P6*0.00314)*0.22)*'Технический лист'!$M$4)+100+(((P7*0.00314)*0.21)*'Технический лист'!$O$11)+(((P6+30)*(P6+30)/1000000)*'Технический лист'!$E$18))*1.96</f>
        <v>2232.7151705599999</v>
      </c>
      <c r="Q12" s="16">
        <f>((((Q6*0.00314)*0.22)*'Технический лист'!$M$4)+100+(((Q7*0.00314)*0.21)*'Технический лист'!$O$11)+(((Q6+30)*(Q6+30)/1000000)*'Технический лист'!$E$18))*1.96</f>
        <v>2320.3382854400002</v>
      </c>
      <c r="R12" s="16">
        <f>((((R6*0.00314)*0.22)*'Технический лист'!$M$4)+100+(((R7*0.00314)*0.21)*'Технический лист'!$O$11)+(((R6+30)*(R6+30)/1000000)*'Технический лист'!$E$18))*1.96</f>
        <v>2409.2158003199997</v>
      </c>
      <c r="S12" s="16">
        <f>((((S6*0.00314)*0.22)*'Технический лист'!$M$4)+100+(((S7*0.00314)*0.21)*'Технический лист'!$O$11)+(((S6+30)*(S6+30)/1000000)*'Технический лист'!$E$18))*1.96</f>
        <v>2499.3477152</v>
      </c>
    </row>
    <row r="13" spans="1:19">
      <c r="A13" s="4" t="s">
        <v>7</v>
      </c>
      <c r="B13" s="9">
        <f>(B12*2.2)+24</f>
        <v>2081.09991872</v>
      </c>
      <c r="C13" s="9">
        <f t="shared" ref="C13:N13" si="6">(C12*2.2)+24</f>
        <v>2226.9562114560003</v>
      </c>
      <c r="D13" s="9">
        <f t="shared" si="6"/>
        <v>2300.9192378240004</v>
      </c>
      <c r="E13" s="9">
        <f t="shared" si="6"/>
        <v>2375.5721841920003</v>
      </c>
      <c r="F13" s="9">
        <f t="shared" si="6"/>
        <v>2450.9150505600005</v>
      </c>
      <c r="G13" s="9">
        <f t="shared" si="6"/>
        <v>2526.9478369280005</v>
      </c>
      <c r="H13" s="9">
        <f t="shared" si="6"/>
        <v>2681.0831696640003</v>
      </c>
      <c r="I13" s="9">
        <f t="shared" si="6"/>
        <v>2837.9781824000002</v>
      </c>
      <c r="J13" s="9">
        <f t="shared" si="6"/>
        <v>2997.6328751360002</v>
      </c>
      <c r="K13" s="9">
        <f t="shared" si="6"/>
        <v>3325.2213006080001</v>
      </c>
      <c r="L13" s="9">
        <f t="shared" si="6"/>
        <v>3663.84844608</v>
      </c>
      <c r="M13" s="9">
        <f t="shared" si="6"/>
        <v>4013.5143115520004</v>
      </c>
      <c r="N13" s="9">
        <f t="shared" si="6"/>
        <v>4558.710709760001</v>
      </c>
      <c r="O13" s="9">
        <f t="shared" ref="O13:S13" si="7">(O12*2.2)+24</f>
        <v>4745.9622024960017</v>
      </c>
      <c r="P13" s="9">
        <f t="shared" si="7"/>
        <v>4935.9733752319999</v>
      </c>
      <c r="Q13" s="9">
        <f t="shared" si="7"/>
        <v>5128.7442279680008</v>
      </c>
      <c r="R13" s="9">
        <f t="shared" si="7"/>
        <v>5324.2747607040001</v>
      </c>
      <c r="S13" s="9">
        <f t="shared" si="7"/>
        <v>5522.5649734400004</v>
      </c>
    </row>
    <row r="14" spans="1:19">
      <c r="A14" s="4" t="s">
        <v>8</v>
      </c>
      <c r="B14" s="16">
        <f>((((B6*0.00314)*0.2)*'Технический лист'!$M$4)+50+(((B7*0.00314)*0.22)*'Технический лист'!$O$11))*1.96</f>
        <v>712.12301168484851</v>
      </c>
      <c r="C14" s="16">
        <f>((((C6*0.00314)*0.2)*'Технический лист'!$M$4)+50+(((C7*0.00314)*0.22)*'Технический лист'!$O$11))*1.96</f>
        <v>758.93051136000008</v>
      </c>
      <c r="D14" s="16">
        <f>((((D6*0.00314)*0.2)*'Технический лист'!$M$4)+50+(((D7*0.00314)*0.22)*'Технический лист'!$O$11))*1.96</f>
        <v>782.33426119757576</v>
      </c>
      <c r="E14" s="16">
        <f>((((E6*0.00314)*0.2)*'Технический лист'!$M$4)+50+(((E7*0.00314)*0.22)*'Технический лист'!$O$11))*1.96</f>
        <v>805.73801103515154</v>
      </c>
      <c r="F14" s="16">
        <f>((((F6*0.00314)*0.2)*'Технический лист'!$M$4)+50+(((F7*0.00314)*0.22)*'Технический лист'!$O$11))*1.96</f>
        <v>829.14176087272733</v>
      </c>
      <c r="G14" s="16">
        <f>((((G6*0.00314)*0.2)*'Технический лист'!$M$4)+50+(((G7*0.00314)*0.22)*'Технический лист'!$O$11))*1.96</f>
        <v>852.54551071030312</v>
      </c>
      <c r="H14" s="16">
        <f>((((H6*0.00314)*0.2)*'Технический лист'!$M$4)+50+(((H7*0.00314)*0.22)*'Технический лист'!$O$11))*1.96</f>
        <v>899.35301038545458</v>
      </c>
      <c r="I14" s="16">
        <f>((((I6*0.00314)*0.2)*'Технический лист'!$M$4)+50+(((I7*0.00314)*0.22)*'Технический лист'!$O$11))*1.96</f>
        <v>946.16051006060616</v>
      </c>
      <c r="J14" s="16">
        <f>((((J6*0.00314)*0.2)*'Технический лист'!$M$4)+50+(((J7*0.00314)*0.22)*'Технический лист'!$O$11))*1.96</f>
        <v>992.96800973575762</v>
      </c>
      <c r="K14" s="16">
        <f>((((K6*0.00314)*0.2)*'Технический лист'!$M$4)+50+(((K7*0.00314)*0.22)*'Технический лист'!$O$11))*1.96</f>
        <v>1086.5830090860609</v>
      </c>
      <c r="L14" s="16">
        <f>((((L6*0.00314)*0.2)*'Технический лист'!$M$4)+50+(((L7*0.00314)*0.22)*'Технический лист'!$O$11))*1.96</f>
        <v>1180.1980084363636</v>
      </c>
      <c r="M14" s="16">
        <f>((((M6*0.00314)*0.2)*'Технический лист'!$M$4)+50+(((M7*0.00314)*0.22)*'Технический лист'!$O$11))*1.96</f>
        <v>1273.8130077866667</v>
      </c>
      <c r="N14" s="16">
        <f>((((N6*0.00314)*0.2)*'Технический лист'!$M$4)+50+(((N7*0.00314)*0.22)*'Технический лист'!$O$11))*1.96</f>
        <v>1414.2355068121212</v>
      </c>
      <c r="O14" s="16">
        <f>((((O6*0.00314)*0.2)*'Технический лист'!$M$4)+50+(((O7*0.00314)*0.22)*'Технический лист'!$O$11))*1.96</f>
        <v>1461.0430064872728</v>
      </c>
      <c r="P14" s="16">
        <f>((((P6*0.00314)*0.2)*'Технический лист'!$M$4)+50+(((P7*0.00314)*0.22)*'Технический лист'!$O$11))*1.96</f>
        <v>1507.8505061624246</v>
      </c>
      <c r="Q14" s="16">
        <f>((((Q6*0.00314)*0.2)*'Технический лист'!$M$4)+50+(((Q7*0.00314)*0.22)*'Технический лист'!$O$11))*1.96</f>
        <v>1554.6580058375757</v>
      </c>
      <c r="R14" s="16">
        <f>((((R6*0.00314)*0.2)*'Технический лист'!$M$4)+50+(((R7*0.00314)*0.22)*'Технический лист'!$O$11))*1.96</f>
        <v>1601.4655055127273</v>
      </c>
      <c r="S14" s="16">
        <f>((((S6*0.00314)*0.2)*'Технический лист'!$M$4)+50+(((S7*0.00314)*0.22)*'Технический лист'!$O$11))*1.96</f>
        <v>1648.2730051878789</v>
      </c>
    </row>
    <row r="15" spans="1:19">
      <c r="A15" s="4" t="s">
        <v>9</v>
      </c>
      <c r="B15" s="9">
        <f>((((B6*0.00314)*((B6+545)/1000))*'Технический лист'!$K$4)+370+((B7*0.00314)*((B7+450)/1000))*'Технический лист'!$K$11)*1.97</f>
        <v>2206.7726412770562</v>
      </c>
      <c r="C15" s="9">
        <f>((((C6*0.00314)*((C6+545)/1000))*'Технический лист'!$K$4)+370+((C7*0.00314)*((C7+450)/1000))*'Технический лист'!$K$11)*1.97</f>
        <v>2351.9849041457142</v>
      </c>
      <c r="D15" s="9">
        <f>((((D6*0.00314)*((D6+545)/1000))*'Технический лист'!$K$4)+370+((D7*0.00314)*((D7+450)/1000))*'Технический лист'!$K$11)*1.97</f>
        <v>2425.9897534123811</v>
      </c>
      <c r="E15" s="9">
        <f>((((E6*0.00314)*((E6+545)/1000))*'Технический лист'!$K$4)+370+((E7*0.00314)*((E7+450)/1000))*'Технический лист'!$K$11)*1.97</f>
        <v>2500.9270812339396</v>
      </c>
      <c r="F15" s="9">
        <f>((((F6*0.00314)*((F6+545)/1000))*'Технический лист'!$K$4)+370+((F7*0.00314)*((F7+450)/1000))*'Технический лист'!$K$11)*1.97</f>
        <v>2576.7968876103901</v>
      </c>
      <c r="G15" s="9">
        <f>((((G6*0.00314)*((G6+545)/1000))*'Технический лист'!$K$4)+370+((G7*0.00314)*((G7+450)/1000))*'Технический лист'!$K$11)*1.97</f>
        <v>2653.5991725417316</v>
      </c>
      <c r="H15" s="9">
        <f>((((H6*0.00314)*((H6+545)/1000))*'Технический лист'!$K$4)+370+((H7*0.00314)*((H7+450)/1000))*'Технический лист'!$K$11)*1.97</f>
        <v>2810.0011780690907</v>
      </c>
      <c r="I15" s="9">
        <f>((((I6*0.00314)*((I6+545)/1000))*'Технический лист'!$K$4)+370+((I7*0.00314)*((I7+450)/1000))*'Технический лист'!$K$11)*1.97</f>
        <v>2970.1330978160172</v>
      </c>
      <c r="J15" s="9">
        <f>((((J6*0.00314)*((J6+545)/1000))*'Технический лист'!$K$4)+370+((J7*0.00314)*((J7+450)/1000))*'Технический лист'!$K$11)*1.97</f>
        <v>3133.9949317825112</v>
      </c>
      <c r="K15" s="9">
        <f>((((K6*0.00314)*((K6+545)/1000))*'Технический лист'!$K$4)+370+((K7*0.00314)*((K7+450)/1000))*'Технический лист'!$K$11)*1.97</f>
        <v>3472.908342374199</v>
      </c>
      <c r="L15" s="9">
        <f>((((L6*0.00314)*((L6+545)/1000))*'Технический лист'!$K$4)+370+((L7*0.00314)*((L7+450)/1000))*'Технический лист'!$K$11)*1.97</f>
        <v>3826.7414098441554</v>
      </c>
      <c r="M15" s="9">
        <f>((((M6*0.00314)*((M6+545)/1000))*'Технический лист'!$K$4)+370+((M7*0.00314)*((M7+450)/1000))*'Технический лист'!$K$11)*1.97</f>
        <v>4195.4941341923804</v>
      </c>
      <c r="N15" s="9">
        <f>((((N6*0.00314)*((N6+545)/1000))*'Технический лист'!$K$4)+370+((N7*0.00314)*((N7+450)/1000))*'Технический лист'!$K$11)*1.97</f>
        <v>4776.5975773614718</v>
      </c>
      <c r="O15" s="9">
        <f>((((O6*0.00314)*((O6+545)/1000))*'Технический лист'!$K$4)+370+((O7*0.00314)*((O7+450)/1000))*'Технический лист'!$K$11)*1.97</f>
        <v>4977.7585535236367</v>
      </c>
      <c r="P15" s="9">
        <f>((((P6*0.00314)*((P6+545)/1000))*'Технический лист'!$K$4)+370+((P7*0.00314)*((P7+450)/1000))*'Технический лист'!$K$11)*1.97</f>
        <v>5182.6494439053677</v>
      </c>
      <c r="Q15" s="9">
        <f>((((Q6*0.00314)*((Q6+545)/1000))*'Технический лист'!$K$4)+370+((Q7*0.00314)*((Q7+450)/1000))*'Технический лист'!$K$11)*1.97</f>
        <v>5391.2702485066666</v>
      </c>
      <c r="R15" s="9">
        <f>((((R6*0.00314)*((R6+545)/1000))*'Технический лист'!$K$4)+370+((R7*0.00314)*((R7+450)/1000))*'Технический лист'!$K$11)*1.97</f>
        <v>5603.6209673275325</v>
      </c>
      <c r="S15" s="9">
        <f>((((S6*0.00314)*((S6+545)/1000))*'Технический лист'!$K$4)+370+((S7*0.00314)*((S7+450)/1000))*'Технический лист'!$K$11)*1.97</f>
        <v>5819.7016003679646</v>
      </c>
    </row>
    <row r="16" spans="1:19" ht="0.75" hidden="1" customHeight="1">
      <c r="A16" s="4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>
      <c r="A17" s="4" t="s">
        <v>118</v>
      </c>
      <c r="B17" s="16">
        <v>1800</v>
      </c>
      <c r="C17" s="16">
        <v>1800</v>
      </c>
      <c r="D17" s="16">
        <v>1800</v>
      </c>
      <c r="E17" s="16">
        <v>1800</v>
      </c>
      <c r="F17" s="16">
        <v>1800</v>
      </c>
      <c r="G17" s="16">
        <v>1800</v>
      </c>
      <c r="H17" s="16">
        <v>1800</v>
      </c>
      <c r="I17" s="16">
        <v>1800</v>
      </c>
      <c r="J17" s="16">
        <v>1800</v>
      </c>
      <c r="K17" s="16">
        <v>1800</v>
      </c>
      <c r="L17" s="16">
        <v>1800</v>
      </c>
      <c r="M17" s="16">
        <v>1800</v>
      </c>
      <c r="N17" s="16">
        <v>1800</v>
      </c>
      <c r="O17" s="16">
        <v>1800</v>
      </c>
      <c r="P17" s="16">
        <v>1800</v>
      </c>
      <c r="Q17" s="16">
        <v>1800</v>
      </c>
      <c r="R17" s="16">
        <v>1800</v>
      </c>
      <c r="S17" s="16">
        <v>1800</v>
      </c>
    </row>
    <row r="19" spans="1:19">
      <c r="A19" s="41" t="s">
        <v>59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19">
      <c r="A20" s="3" t="s">
        <v>0</v>
      </c>
      <c r="B20" s="10">
        <v>100</v>
      </c>
      <c r="C20" s="10">
        <v>110</v>
      </c>
      <c r="D20" s="10">
        <v>115</v>
      </c>
      <c r="E20" s="10">
        <v>120</v>
      </c>
      <c r="F20" s="10">
        <v>125</v>
      </c>
      <c r="G20" s="10">
        <v>130</v>
      </c>
      <c r="H20" s="10">
        <v>140</v>
      </c>
      <c r="I20" s="10">
        <v>150</v>
      </c>
      <c r="J20" s="10">
        <v>160</v>
      </c>
      <c r="K20" s="10">
        <v>180</v>
      </c>
      <c r="L20" s="10">
        <v>200</v>
      </c>
      <c r="M20" s="10">
        <v>220</v>
      </c>
      <c r="N20" s="10">
        <v>250</v>
      </c>
      <c r="O20" s="10">
        <v>260</v>
      </c>
      <c r="P20" s="10">
        <v>270</v>
      </c>
      <c r="Q20" s="10">
        <v>280</v>
      </c>
      <c r="R20" s="10">
        <v>290</v>
      </c>
      <c r="S20" s="10">
        <v>300</v>
      </c>
    </row>
    <row r="21" spans="1:19">
      <c r="A21" s="3" t="s">
        <v>1</v>
      </c>
      <c r="B21" s="10">
        <f>B20+100</f>
        <v>200</v>
      </c>
      <c r="C21" s="10">
        <v>210</v>
      </c>
      <c r="D21" s="10">
        <v>215</v>
      </c>
      <c r="E21" s="10">
        <v>220</v>
      </c>
      <c r="F21" s="10">
        <v>225</v>
      </c>
      <c r="G21" s="10">
        <v>230</v>
      </c>
      <c r="H21" s="10">
        <v>240</v>
      </c>
      <c r="I21" s="10">
        <v>250</v>
      </c>
      <c r="J21" s="10">
        <v>260</v>
      </c>
      <c r="K21" s="10">
        <v>280</v>
      </c>
      <c r="L21" s="10">
        <v>300</v>
      </c>
      <c r="M21" s="10">
        <v>320</v>
      </c>
      <c r="N21" s="10">
        <v>350</v>
      </c>
      <c r="O21" s="10">
        <v>360</v>
      </c>
      <c r="P21" s="10">
        <v>370</v>
      </c>
      <c r="Q21" s="10">
        <v>380</v>
      </c>
      <c r="R21" s="10">
        <v>390</v>
      </c>
      <c r="S21" s="10">
        <v>400</v>
      </c>
    </row>
    <row r="22" spans="1:19">
      <c r="A22" s="4" t="s">
        <v>4</v>
      </c>
      <c r="B22" s="16">
        <f>(((B20*0.00314)*'Технический лист'!$G$4)+365+((B21*0.00314)*'Технический лист'!$G$5))*1.95</f>
        <v>3000.6705350649349</v>
      </c>
      <c r="C22" s="16">
        <f>(((C20*0.00314)*'Технический лист'!$G$4)+365+((C21*0.00314)*'Технический лист'!$G$5))*1.95</f>
        <v>3160.0053085714285</v>
      </c>
      <c r="D22" s="16">
        <f>(((D20*0.00314)*'Технический лист'!$G$4)+365+((D21*0.00314)*'Технический лист'!$G$5))*1.95</f>
        <v>3239.6726953246753</v>
      </c>
      <c r="E22" s="16">
        <f>(((E20*0.00314)*'Технический лист'!$G$4)+365+((E21*0.00314)*'Технический лист'!$G$5))*1.95</f>
        <v>3319.340082077922</v>
      </c>
      <c r="F22" s="16">
        <f>(((F20*0.00314)*'Технический лист'!$G$4)+365+((F21*0.00314)*'Технический лист'!$G$5))*1.95</f>
        <v>3399.0074688311688</v>
      </c>
      <c r="G22" s="16">
        <f>(((G20*0.00314)*'Технический лист'!$G$4)+365+((G21*0.00314)*'Технический лист'!$G$5))*1.95</f>
        <v>3478.6748555844156</v>
      </c>
      <c r="H22" s="16">
        <f>(((H20*0.00314)*'Технический лист'!$G$4)+365+((H21*0.00314)*'Технический лист'!$G$5))*1.95</f>
        <v>3638.0096290909096</v>
      </c>
      <c r="I22" s="16">
        <f>(((I20*0.00314)*'Технический лист'!$G$4)+365+((I21*0.00314)*'Технический лист'!$G$5))*1.95</f>
        <v>3797.3444025974027</v>
      </c>
      <c r="J22" s="16">
        <f>(((J20*0.00314)*'Технический лист'!$G$4)+365+((J21*0.00314)*'Технический лист'!$G$5))*1.95</f>
        <v>3956.6791761038958</v>
      </c>
      <c r="K22" s="16">
        <f>(((K20*0.00314)*'Технический лист'!$G$4)+365+((K21*0.00314)*'Технический лист'!$G$5))*1.95</f>
        <v>4275.3487231168829</v>
      </c>
      <c r="L22" s="16">
        <f>(((L20*0.00314)*'Технический лист'!$G$4)+365+((L21*0.00314)*'Технический лист'!$G$5))*1.95</f>
        <v>4594.01827012987</v>
      </c>
      <c r="M22" s="16">
        <f>(((M20*0.00314)*'Технический лист'!$G$4)+365+((M21*0.00314)*'Технический лист'!$G$5))*1.95</f>
        <v>4912.6878171428561</v>
      </c>
      <c r="N22" s="16">
        <f>(((N20*0.00314)*'Технический лист'!$G$4)+365+((N21*0.00314)*'Технический лист'!$G$5))*1.95</f>
        <v>5390.6921376623377</v>
      </c>
      <c r="O22" s="16">
        <f>(((O20*0.00314)*'Технический лист'!$G$4)+365+((O21*0.00314)*'Технический лист'!$G$5))*1.95</f>
        <v>5550.0269111688312</v>
      </c>
      <c r="P22" s="16">
        <f>(((P20*0.00314)*'Технический лист'!$G$4)+365+((P21*0.00314)*'Технический лист'!$G$5))*1.95</f>
        <v>5709.3616846753248</v>
      </c>
      <c r="Q22" s="16">
        <f>(((Q20*0.00314)*'Технический лист'!$G$4)+365+((Q21*0.00314)*'Технический лист'!$G$5))*1.95</f>
        <v>5868.6964581818183</v>
      </c>
      <c r="R22" s="16">
        <f>(((R20*0.00314)*'Технический лист'!$G$4)+365+((R21*0.00314)*'Технический лист'!$G$5))*1.95</f>
        <v>6028.0312316883119</v>
      </c>
      <c r="S22" s="16">
        <f>(((S20*0.00314)*'Технический лист'!$G$4)+365+((S21*0.00314)*'Технический лист'!$G$5))*1.95</f>
        <v>6187.3660051948054</v>
      </c>
    </row>
    <row r="23" spans="1:19">
      <c r="A23" s="4" t="s">
        <v>3</v>
      </c>
      <c r="B23" s="9">
        <f>((B22/2)*1.07)-10</f>
        <v>1595.3587362597402</v>
      </c>
      <c r="C23" s="9">
        <f t="shared" ref="C23:N23" si="8">((C22/2)*1.07)-10</f>
        <v>1680.6028400857144</v>
      </c>
      <c r="D23" s="9">
        <f t="shared" si="8"/>
        <v>1723.2248919987014</v>
      </c>
      <c r="E23" s="9">
        <f t="shared" si="8"/>
        <v>1765.8469439116884</v>
      </c>
      <c r="F23" s="9">
        <f t="shared" si="8"/>
        <v>1808.4689958246754</v>
      </c>
      <c r="G23" s="9">
        <f t="shared" si="8"/>
        <v>1851.0910477376624</v>
      </c>
      <c r="H23" s="9">
        <f t="shared" si="8"/>
        <v>1936.3351515636368</v>
      </c>
      <c r="I23" s="9">
        <f t="shared" si="8"/>
        <v>2021.5792553896106</v>
      </c>
      <c r="J23" s="9">
        <f t="shared" si="8"/>
        <v>2106.8233592155843</v>
      </c>
      <c r="K23" s="9">
        <f t="shared" si="8"/>
        <v>2277.3115668675323</v>
      </c>
      <c r="L23" s="9">
        <f t="shared" si="8"/>
        <v>2447.7997745194807</v>
      </c>
      <c r="M23" s="9">
        <f t="shared" si="8"/>
        <v>2618.2879821714282</v>
      </c>
      <c r="N23" s="9">
        <f t="shared" si="8"/>
        <v>2874.0202936493511</v>
      </c>
      <c r="O23" s="9">
        <f t="shared" ref="O23:S23" si="9">((O22/2)*1.07)-10</f>
        <v>2959.264397475325</v>
      </c>
      <c r="P23" s="9">
        <f t="shared" si="9"/>
        <v>3044.508501301299</v>
      </c>
      <c r="Q23" s="9">
        <f t="shared" si="9"/>
        <v>3129.752605127273</v>
      </c>
      <c r="R23" s="9">
        <f t="shared" si="9"/>
        <v>3214.996708953247</v>
      </c>
      <c r="S23" s="9">
        <f t="shared" si="9"/>
        <v>3300.240812779221</v>
      </c>
    </row>
    <row r="24" spans="1:19">
      <c r="A24" s="4" t="s">
        <v>5</v>
      </c>
      <c r="B24" s="16">
        <f>((((B20*0.00314)*0.5)*'Технический лист'!$I$4)+310+(((B21*0.00314)*0.5)*'Технический лист'!$I$5))*1.96</f>
        <v>2394.9096945454548</v>
      </c>
      <c r="C24" s="16">
        <f>((((C20*0.00314)*0.5)*'Технический лист'!$I$4)+310+(((C21*0.00314)*0.5)*'Технический лист'!$I$5))*1.96</f>
        <v>2518.6818719999997</v>
      </c>
      <c r="D24" s="16">
        <f>((((D20*0.00314)*0.5)*'Технический лист'!$I$4)+310+(((D21*0.00314)*0.5)*'Технический лист'!$I$5))*1.96</f>
        <v>2580.5679607272732</v>
      </c>
      <c r="E24" s="16">
        <f>((((E20*0.00314)*0.5)*'Технический лист'!$I$4)+310+(((E21*0.00314)*0.5)*'Технический лист'!$I$5))*1.96</f>
        <v>2642.4540494545454</v>
      </c>
      <c r="F24" s="16">
        <f>((((F20*0.00314)*0.5)*'Технический лист'!$I$4)+310+(((F21*0.00314)*0.5)*'Технический лист'!$I$5))*1.96</f>
        <v>2704.340138181818</v>
      </c>
      <c r="G24" s="16">
        <f>((((G20*0.00314)*0.5)*'Технический лист'!$I$4)+310+(((G21*0.00314)*0.5)*'Технический лист'!$I$5))*1.96</f>
        <v>2766.2262269090907</v>
      </c>
      <c r="H24" s="16">
        <f>((((H20*0.00314)*0.5)*'Технический лист'!$I$4)+310+(((H21*0.00314)*0.5)*'Технический лист'!$I$5))*1.96</f>
        <v>2889.9984043636364</v>
      </c>
      <c r="I24" s="16">
        <f>((((I20*0.00314)*0.5)*'Технический лист'!$I$4)+310+(((I21*0.00314)*0.5)*'Технический лист'!$I$5))*1.96</f>
        <v>3013.7705818181817</v>
      </c>
      <c r="J24" s="16">
        <f>((((J20*0.00314)*0.5)*'Технический лист'!$I$4)+310+(((J21*0.00314)*0.5)*'Технический лист'!$I$5))*1.96</f>
        <v>3137.5427592727274</v>
      </c>
      <c r="K24" s="16">
        <f>((((K20*0.00314)*0.5)*'Технический лист'!$I$4)+310+(((K21*0.00314)*0.5)*'Технический лист'!$I$5))*1.96</f>
        <v>3385.0871141818179</v>
      </c>
      <c r="L24" s="16">
        <f>((((L20*0.00314)*0.5)*'Технический лист'!$I$4)+310+(((L21*0.00314)*0.5)*'Технический лист'!$I$5))*1.96</f>
        <v>3632.6314690909089</v>
      </c>
      <c r="M24" s="16">
        <f>((((M20*0.00314)*0.5)*'Технический лист'!$I$4)+310+(((M21*0.00314)*0.5)*'Технический лист'!$I$5))*1.96</f>
        <v>3880.1758239999999</v>
      </c>
      <c r="N24" s="16">
        <f>((((N20*0.00314)*0.5)*'Технический лист'!$I$4)+310+(((N21*0.00314)*0.5)*'Технический лист'!$I$5))*1.96</f>
        <v>4251.4923563636357</v>
      </c>
      <c r="O24" s="16">
        <f>((((O20*0.00314)*0.5)*'Технический лист'!$I$4)+310+(((O21*0.00314)*0.5)*'Технический лист'!$I$5))*1.96</f>
        <v>4375.2645338181819</v>
      </c>
      <c r="P24" s="16">
        <f>((((P20*0.00314)*0.5)*'Технический лист'!$I$4)+310+(((P21*0.00314)*0.5)*'Технический лист'!$I$5))*1.96</f>
        <v>4499.0367112727281</v>
      </c>
      <c r="Q24" s="16">
        <f>((((Q20*0.00314)*0.5)*'Технический лист'!$I$4)+310+(((Q21*0.00314)*0.5)*'Технический лист'!$I$5))*1.96</f>
        <v>4622.8088887272725</v>
      </c>
      <c r="R24" s="16">
        <f>((((R20*0.00314)*0.5)*'Технический лист'!$I$4)+310+(((R21*0.00314)*0.5)*'Технический лист'!$I$5))*1.96</f>
        <v>4746.5810661818177</v>
      </c>
      <c r="S24" s="16">
        <f>((((S20*0.00314)*0.5)*'Технический лист'!$I$4)+310+(((S21*0.00314)*0.5)*'Технический лист'!$I$5))*1.96</f>
        <v>4870.3532436363639</v>
      </c>
    </row>
    <row r="25" spans="1:19">
      <c r="A25" s="4" t="s">
        <v>96</v>
      </c>
      <c r="B25" s="9">
        <f>((B24*2)/3)-6</f>
        <v>1590.6064630303033</v>
      </c>
      <c r="C25" s="9">
        <f t="shared" ref="C25:N25" si="10">((C24*2)/3)-6</f>
        <v>1673.1212479999997</v>
      </c>
      <c r="D25" s="9">
        <f t="shared" si="10"/>
        <v>1714.3786404848488</v>
      </c>
      <c r="E25" s="9">
        <f t="shared" si="10"/>
        <v>1755.636032969697</v>
      </c>
      <c r="F25" s="9">
        <f t="shared" si="10"/>
        <v>1796.8934254545454</v>
      </c>
      <c r="G25" s="9">
        <f t="shared" si="10"/>
        <v>1838.1508179393938</v>
      </c>
      <c r="H25" s="9">
        <f t="shared" si="10"/>
        <v>1920.6656029090909</v>
      </c>
      <c r="I25" s="9">
        <f t="shared" si="10"/>
        <v>2003.1803878787878</v>
      </c>
      <c r="J25" s="9">
        <f t="shared" si="10"/>
        <v>2085.6951728484851</v>
      </c>
      <c r="K25" s="9">
        <f t="shared" si="10"/>
        <v>2250.7247427878788</v>
      </c>
      <c r="L25" s="9">
        <f t="shared" si="10"/>
        <v>2415.7543127272725</v>
      </c>
      <c r="M25" s="9">
        <f t="shared" si="10"/>
        <v>2580.7838826666666</v>
      </c>
      <c r="N25" s="9">
        <f t="shared" si="10"/>
        <v>2828.3282375757572</v>
      </c>
      <c r="O25" s="9">
        <f t="shared" ref="O25:S25" si="11">((O24*2)/3)-6</f>
        <v>2910.8430225454545</v>
      </c>
      <c r="P25" s="9">
        <f t="shared" si="11"/>
        <v>2993.3578075151522</v>
      </c>
      <c r="Q25" s="9">
        <f t="shared" si="11"/>
        <v>3075.8725924848482</v>
      </c>
      <c r="R25" s="9">
        <f t="shared" si="11"/>
        <v>3158.387377454545</v>
      </c>
      <c r="S25" s="9">
        <f t="shared" si="11"/>
        <v>3240.9021624242428</v>
      </c>
    </row>
    <row r="26" spans="1:19">
      <c r="A26" s="4" t="s">
        <v>6</v>
      </c>
      <c r="B26" s="16">
        <f>((((B20*0.00314)*0.22)*'Технический лист'!$M$4)+100+(((B21*0.00314)*0.21)*'Технический лист'!$O$5)+(((B20+30)*(B20+30)/1000000)*'Технический лист'!$E$18))*1.96</f>
        <v>1177.3318367999998</v>
      </c>
      <c r="C26" s="16">
        <f>((((C20*0.00314)*0.22)*'Технический лист'!$M$4)+100+(((C21*0.00314)*0.21)*'Технический лист'!$O$5)+(((C20+30)*(C20+30)/1000000)*'Технический лист'!$E$18))*1.96</f>
        <v>1255.7444726399997</v>
      </c>
      <c r="D26" s="16">
        <f>((((D20*0.00314)*0.22)*'Технический лист'!$M$4)+100+(((D21*0.00314)*0.21)*'Технический лист'!$O$5)+(((D20+30)*(D20+30)/1000000)*'Технический лист'!$E$18))*1.96</f>
        <v>1295.4211905599998</v>
      </c>
      <c r="E26" s="16">
        <f>((((E20*0.00314)*0.22)*'Технический лист'!$M$4)+100+(((E21*0.00314)*0.21)*'Технический лист'!$O$5)+(((E20+30)*(E20+30)/1000000)*'Технический лист'!$E$18))*1.96</f>
        <v>1335.4115084800001</v>
      </c>
      <c r="F26" s="16">
        <f>((((F20*0.00314)*0.22)*'Технический лист'!$M$4)+100+(((F21*0.00314)*0.21)*'Технический лист'!$O$5)+(((F20+30)*(F20+30)/1000000)*'Технический лист'!$E$18))*1.96</f>
        <v>1375.7154264000001</v>
      </c>
      <c r="G26" s="16">
        <f>((((G20*0.00314)*0.22)*'Технический лист'!$M$4)+100+(((G21*0.00314)*0.21)*'Технический лист'!$O$5)+(((G20+30)*(G20+30)/1000000)*'Технический лист'!$E$18))*1.96</f>
        <v>1416.33294432</v>
      </c>
      <c r="H26" s="16">
        <f>((((H20*0.00314)*0.22)*'Технический лист'!$M$4)+100+(((H21*0.00314)*0.21)*'Технический лист'!$O$5)+(((H20+30)*(H20+30)/1000000)*'Технический лист'!$E$18))*1.96</f>
        <v>1498.50878016</v>
      </c>
      <c r="I26" s="16">
        <f>((((I20*0.00314)*0.22)*'Технический лист'!$M$4)+100+(((I21*0.00314)*0.21)*'Технический лист'!$O$5)+(((I20+30)*(I20+30)/1000000)*'Технический лист'!$E$18))*1.96</f>
        <v>1581.9390159999998</v>
      </c>
      <c r="J26" s="16">
        <f>((((J20*0.00314)*0.22)*'Технический лист'!$M$4)+100+(((J21*0.00314)*0.21)*'Технический лист'!$O$5)+(((J20+30)*(J20+30)/1000000)*'Технический лист'!$E$18))*1.96</f>
        <v>1666.6236518399999</v>
      </c>
      <c r="K26" s="16">
        <f>((((K20*0.00314)*0.22)*'Технический лист'!$M$4)+100+(((K21*0.00314)*0.21)*'Технический лист'!$O$5)+(((K20+30)*(K20+30)/1000000)*'Технический лист'!$E$18))*1.96</f>
        <v>1839.7561235200001</v>
      </c>
      <c r="L26" s="16">
        <f>((((L20*0.00314)*0.22)*'Технический лист'!$M$4)+100+(((L21*0.00314)*0.21)*'Технический лист'!$O$5)+(((L20+30)*(L20+30)/1000000)*'Технический лист'!$E$18))*1.96</f>
        <v>2017.9061952</v>
      </c>
      <c r="M26" s="16">
        <f>((((M20*0.00314)*0.22)*'Технический лист'!$M$4)+100+(((M21*0.00314)*0.21)*'Технический лист'!$O$5)+(((M20+30)*(M20+30)/1000000)*'Технический лист'!$E$18))*1.96</f>
        <v>2201.07386688</v>
      </c>
      <c r="N26" s="16">
        <f>((((N20*0.00314)*0.22)*'Технический лист'!$M$4)+100+(((N21*0.00314)*0.21)*'Технический лист'!$O$5)+(((N20+30)*(N20+30)/1000000)*'Технический лист'!$E$18))*1.96</f>
        <v>2485.2333743999998</v>
      </c>
      <c r="O26" s="16">
        <f>((((O20*0.00314)*0.22)*'Технический лист'!$M$4)+100+(((O21*0.00314)*0.21)*'Технический лист'!$O$5)+(((O20+30)*(O20+30)/1000000)*'Технический лист'!$E$18))*1.96</f>
        <v>2582.4620102399999</v>
      </c>
      <c r="P26" s="16">
        <f>((((P20*0.00314)*0.22)*'Технический лист'!$M$4)+100+(((P21*0.00314)*0.21)*'Технический лист'!$O$5)+(((P20+30)*(P20+30)/1000000)*'Технический лист'!$E$18))*1.96</f>
        <v>2680.9450460799999</v>
      </c>
      <c r="Q26" s="16">
        <f>((((Q20*0.00314)*0.22)*'Технический лист'!$M$4)+100+(((Q21*0.00314)*0.21)*'Технический лист'!$O$5)+(((Q20+30)*(Q20+30)/1000000)*'Технический лист'!$E$18))*1.96</f>
        <v>2780.6824819200001</v>
      </c>
      <c r="R26" s="16">
        <f>((((R20*0.00314)*0.22)*'Технический лист'!$M$4)+100+(((R21*0.00314)*0.21)*'Технический лист'!$O$5)+(((R20+30)*(R20+30)/1000000)*'Технический лист'!$E$18))*1.96</f>
        <v>2881.6743177599997</v>
      </c>
      <c r="S26" s="16">
        <f>((((S20*0.00314)*0.22)*'Технический лист'!$M$4)+100+(((S21*0.00314)*0.21)*'Технический лист'!$O$5)+(((S20+30)*(S20+30)/1000000)*'Технический лист'!$E$18))*1.96</f>
        <v>2983.9205535999999</v>
      </c>
    </row>
    <row r="27" spans="1:19">
      <c r="A27" s="4" t="s">
        <v>7</v>
      </c>
      <c r="B27" s="9">
        <f>(B26*2.2)+24</f>
        <v>2614.1300409599999</v>
      </c>
      <c r="C27" s="9">
        <f t="shared" ref="C27:N27" si="12">(C26*2.2)+24</f>
        <v>2786.6378398079996</v>
      </c>
      <c r="D27" s="9">
        <f t="shared" si="12"/>
        <v>2873.9266192319997</v>
      </c>
      <c r="E27" s="9">
        <f t="shared" si="12"/>
        <v>2961.9053186560004</v>
      </c>
      <c r="F27" s="9">
        <f t="shared" si="12"/>
        <v>3050.5739380800005</v>
      </c>
      <c r="G27" s="9">
        <f t="shared" si="12"/>
        <v>3139.9324775040004</v>
      </c>
      <c r="H27" s="9">
        <f t="shared" si="12"/>
        <v>3320.7193163520001</v>
      </c>
      <c r="I27" s="9">
        <f t="shared" si="12"/>
        <v>3504.2658351999999</v>
      </c>
      <c r="J27" s="9">
        <f t="shared" si="12"/>
        <v>3690.5720340480002</v>
      </c>
      <c r="K27" s="9">
        <f t="shared" si="12"/>
        <v>4071.4634717440003</v>
      </c>
      <c r="L27" s="9">
        <f t="shared" si="12"/>
        <v>4463.39362944</v>
      </c>
      <c r="M27" s="9">
        <f t="shared" si="12"/>
        <v>4866.3625071360002</v>
      </c>
      <c r="N27" s="9">
        <f t="shared" si="12"/>
        <v>5491.5134236799995</v>
      </c>
      <c r="O27" s="9">
        <f t="shared" ref="O27:S27" si="13">(O26*2.2)+24</f>
        <v>5705.4164225280001</v>
      </c>
      <c r="P27" s="9">
        <f t="shared" si="13"/>
        <v>5922.0791013759999</v>
      </c>
      <c r="Q27" s="9">
        <f t="shared" si="13"/>
        <v>6141.5014602240008</v>
      </c>
      <c r="R27" s="9">
        <f t="shared" si="13"/>
        <v>6363.6834990719999</v>
      </c>
      <c r="S27" s="9">
        <f t="shared" si="13"/>
        <v>6588.6252179200001</v>
      </c>
    </row>
    <row r="28" spans="1:19">
      <c r="A28" s="4" t="s">
        <v>8</v>
      </c>
      <c r="B28" s="16">
        <f>((((B20*0.00314)*0.2)*'Технический лист'!$M$4)+50+(((B21*0.00314)*0.22)*'Технический лист'!$O$5))*1.96</f>
        <v>965.94687941818188</v>
      </c>
      <c r="C28" s="16">
        <f>((((C20*0.00314)*0.2)*'Технический лист'!$M$4)+50+(((C21*0.00314)*0.22)*'Технический лист'!$O$5))*1.96</f>
        <v>1025.44557248</v>
      </c>
      <c r="D28" s="16">
        <f>((((D20*0.00314)*0.2)*'Технический лист'!$M$4)+50+(((D21*0.00314)*0.22)*'Технический лист'!$O$5))*1.96</f>
        <v>1055.1949190109092</v>
      </c>
      <c r="E28" s="16">
        <f>((((E20*0.00314)*0.2)*'Технический лист'!$M$4)+50+(((E21*0.00314)*0.22)*'Технический лист'!$O$5))*1.96</f>
        <v>1084.9442655418184</v>
      </c>
      <c r="F28" s="16">
        <f>((((F20*0.00314)*0.2)*'Технический лист'!$M$4)+50+(((F21*0.00314)*0.22)*'Технический лист'!$O$5))*1.96</f>
        <v>1114.6936120727273</v>
      </c>
      <c r="G28" s="16">
        <f>((((G20*0.00314)*0.2)*'Технический лист'!$M$4)+50+(((G21*0.00314)*0.22)*'Технический лист'!$O$5))*1.96</f>
        <v>1144.4429586036363</v>
      </c>
      <c r="H28" s="16">
        <f>((((H20*0.00314)*0.2)*'Технический лист'!$M$4)+50+(((H21*0.00314)*0.22)*'Технический лист'!$O$5))*1.96</f>
        <v>1203.9416516654546</v>
      </c>
      <c r="I28" s="16">
        <f>((((I20*0.00314)*0.2)*'Технический лист'!$M$4)+50+(((I21*0.00314)*0.22)*'Технический лист'!$O$5))*1.96</f>
        <v>1263.440344727273</v>
      </c>
      <c r="J28" s="16">
        <f>((((J20*0.00314)*0.2)*'Технический лист'!$M$4)+50+(((J21*0.00314)*0.22)*'Технический лист'!$O$5))*1.96</f>
        <v>1322.9390377890909</v>
      </c>
      <c r="K28" s="16">
        <f>((((K20*0.00314)*0.2)*'Технический лист'!$M$4)+50+(((K21*0.00314)*0.22)*'Технический лист'!$O$5))*1.96</f>
        <v>1441.9364239127274</v>
      </c>
      <c r="L28" s="16">
        <f>((((L20*0.00314)*0.2)*'Технический лист'!$M$4)+50+(((L21*0.00314)*0.22)*'Технический лист'!$O$5))*1.96</f>
        <v>1560.9338100363636</v>
      </c>
      <c r="M28" s="16">
        <f>((((M20*0.00314)*0.2)*'Технический лист'!$M$4)+50+(((M21*0.00314)*0.22)*'Технический лист'!$O$5))*1.96</f>
        <v>1679.9311961599999</v>
      </c>
      <c r="N28" s="16">
        <f>((((N20*0.00314)*0.2)*'Технический лист'!$M$4)+50+(((N21*0.00314)*0.22)*'Технический лист'!$O$5))*1.96</f>
        <v>1858.4272753454547</v>
      </c>
      <c r="O28" s="16">
        <f>((((O20*0.00314)*0.2)*'Технический лист'!$M$4)+50+(((O21*0.00314)*0.22)*'Технический лист'!$O$5))*1.96</f>
        <v>1917.9259684072729</v>
      </c>
      <c r="P28" s="16">
        <f>((((P20*0.00314)*0.2)*'Технический лист'!$M$4)+50+(((P21*0.00314)*0.22)*'Технический лист'!$O$5))*1.96</f>
        <v>1977.424661469091</v>
      </c>
      <c r="Q28" s="16">
        <f>((((Q20*0.00314)*0.2)*'Технический лист'!$M$4)+50+(((Q21*0.00314)*0.22)*'Технический лист'!$O$5))*1.96</f>
        <v>2036.9233545309091</v>
      </c>
      <c r="R28" s="16">
        <f>((((R20*0.00314)*0.2)*'Технический лист'!$M$4)+50+(((R21*0.00314)*0.22)*'Технический лист'!$O$5))*1.96</f>
        <v>2096.4220475927277</v>
      </c>
      <c r="S28" s="16">
        <f>((((S20*0.00314)*0.2)*'Технический лист'!$M$4)+50+(((S21*0.00314)*0.22)*'Технический лист'!$O$5))*1.96</f>
        <v>2155.9207406545456</v>
      </c>
    </row>
    <row r="29" spans="1:19">
      <c r="A29" s="4" t="s">
        <v>9</v>
      </c>
      <c r="B29" s="9">
        <f>((((B20*0.00314)*((B20+545)/1000))*'Технический лист'!$K$4)+370+((B21*0.00314)*((B21+450)/1000))*'Технический лист'!$K$5)*1.97</f>
        <v>3241.9868906103902</v>
      </c>
      <c r="C29" s="9">
        <f>((((C20*0.00314)*((C20+545)/1000))*'Технический лист'!$K$4)+370+((C21*0.00314)*((C21+450)/1000))*'Технический лист'!$K$5)*1.97</f>
        <v>3455.6825576657143</v>
      </c>
      <c r="D29" s="9">
        <f>((((D20*0.00314)*((D20+545)/1000))*'Технический лист'!$K$4)+370+((D21*0.00314)*((D21+450)/1000))*'Технический лист'!$K$5)*1.97</f>
        <v>3564.5263480157146</v>
      </c>
      <c r="E29" s="9">
        <f>((((E20*0.00314)*((E20+545)/1000))*'Технический лист'!$K$4)+370+((E21*0.00314)*((E21+450)/1000))*'Технический лист'!$K$5)*1.97</f>
        <v>3674.7007762472731</v>
      </c>
      <c r="F29" s="9">
        <f>((((F20*0.00314)*((F20+545)/1000))*'Технический лист'!$K$4)+370+((F21*0.00314)*((F21+450)/1000))*'Технический лист'!$K$5)*1.97</f>
        <v>3786.2058423603899</v>
      </c>
      <c r="G29" s="9">
        <f>((((G20*0.00314)*((G20+545)/1000))*'Технический лист'!$K$4)+370+((G21*0.00314)*((G21+450)/1000))*'Технический лист'!$K$5)*1.97</f>
        <v>3899.0415463550648</v>
      </c>
      <c r="H29" s="9">
        <f>((((H20*0.00314)*((H20+545)/1000))*'Технический лист'!$K$4)+370+((H21*0.00314)*((H21+450)/1000))*'Технический лист'!$K$5)*1.97</f>
        <v>4128.7048679890904</v>
      </c>
      <c r="I29" s="9">
        <f>((((I20*0.00314)*((I20+545)/1000))*'Технический лист'!$K$4)+370+((I21*0.00314)*((I21+450)/1000))*'Технический лист'!$K$5)*1.97</f>
        <v>4363.6907411493503</v>
      </c>
      <c r="J29" s="9">
        <f>((((J20*0.00314)*((J20+545)/1000))*'Технический лист'!$K$4)+370+((J21*0.00314)*((J21+450)/1000))*'Технический лист'!$K$5)*1.97</f>
        <v>4603.999165835844</v>
      </c>
      <c r="K29" s="9">
        <f>((((K20*0.00314)*((K20+545)/1000))*'Технический лист'!$K$4)+370+((K21*0.00314)*((K21+450)/1000))*'Технический лист'!$K$5)*1.97</f>
        <v>5100.5836697875329</v>
      </c>
      <c r="L29" s="9">
        <f>((((L20*0.00314)*((L20+545)/1000))*'Технический лист'!$K$4)+370+((L21*0.00314)*((L21+450)/1000))*'Технический лист'!$K$5)*1.97</f>
        <v>5618.4583798441554</v>
      </c>
      <c r="M29" s="9">
        <f>((((M20*0.00314)*((M20+545)/1000))*'Технический лист'!$K$4)+370+((M21*0.00314)*((M21+450)/1000))*'Технический лист'!$K$5)*1.97</f>
        <v>6157.6232960057141</v>
      </c>
      <c r="N29" s="9">
        <f>((((N20*0.00314)*((N20+545)/1000))*'Технический лист'!$K$4)+370+((N21*0.00314)*((N21+450)/1000))*'Технический лист'!$K$5)*1.97</f>
        <v>7006.2898066948055</v>
      </c>
      <c r="O29" s="9">
        <f>((((O20*0.00314)*((O20+545)/1000))*'Технический лист'!$K$4)+370+((O21*0.00314)*((O21+450)/1000))*'Технический лист'!$K$5)*1.97</f>
        <v>7299.8237466436367</v>
      </c>
      <c r="P29" s="9">
        <f>((((P20*0.00314)*((P20+545)/1000))*'Технический лист'!$K$4)+370+((P21*0.00314)*((P21+450)/1000))*'Технический лист'!$K$5)*1.97</f>
        <v>7598.6802381187008</v>
      </c>
      <c r="Q29" s="9">
        <f>((((Q20*0.00314)*((Q20+545)/1000))*'Технический лист'!$K$4)+370+((Q21*0.00314)*((Q21+450)/1000))*'Технический лист'!$K$5)*1.97</f>
        <v>7902.8592811200006</v>
      </c>
      <c r="R29" s="9">
        <f>((((R20*0.00314)*((R20+545)/1000))*'Технический лист'!$K$4)+370+((R21*0.00314)*((R21+450)/1000))*'Технический лист'!$K$5)*1.97</f>
        <v>8212.3608756475314</v>
      </c>
      <c r="S29" s="9">
        <f>((((S20*0.00314)*((S20+545)/1000))*'Технический лист'!$K$4)+370+((S21*0.00314)*((S21+450)/1000))*'Технический лист'!$K$5)*1.97</f>
        <v>8527.185021701298</v>
      </c>
    </row>
    <row r="30" spans="1:19" hidden="1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>
      <c r="A31" s="4" t="s">
        <v>119</v>
      </c>
      <c r="B31" s="16">
        <v>2100</v>
      </c>
      <c r="C31" s="16">
        <v>2100</v>
      </c>
      <c r="D31" s="16">
        <v>2100</v>
      </c>
      <c r="E31" s="16">
        <v>2100</v>
      </c>
      <c r="F31" s="16">
        <v>2100</v>
      </c>
      <c r="G31" s="16">
        <v>2100</v>
      </c>
      <c r="H31" s="16">
        <v>2100</v>
      </c>
      <c r="I31" s="16">
        <v>2100</v>
      </c>
      <c r="J31" s="16">
        <v>2100</v>
      </c>
      <c r="K31" s="16">
        <v>2100</v>
      </c>
      <c r="L31" s="16">
        <v>2100</v>
      </c>
      <c r="M31" s="16">
        <v>2100</v>
      </c>
      <c r="N31" s="16">
        <v>2100</v>
      </c>
      <c r="O31" s="16">
        <v>2100</v>
      </c>
      <c r="P31" s="16">
        <v>2100</v>
      </c>
      <c r="Q31" s="16">
        <v>2100</v>
      </c>
      <c r="R31" s="16">
        <v>2100</v>
      </c>
      <c r="S31" s="16">
        <v>2100</v>
      </c>
    </row>
  </sheetData>
  <mergeCells count="6">
    <mergeCell ref="A19:N19"/>
    <mergeCell ref="A1:C1"/>
    <mergeCell ref="D1:O1"/>
    <mergeCell ref="D2:O2"/>
    <mergeCell ref="D3:O3"/>
    <mergeCell ref="A5:O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31"/>
  <sheetViews>
    <sheetView zoomScale="80" zoomScaleNormal="80" workbookViewId="0">
      <selection activeCell="B31" sqref="B31:S31"/>
    </sheetView>
  </sheetViews>
  <sheetFormatPr defaultRowHeight="14.4"/>
  <cols>
    <col min="1" max="1" width="26.6640625" customWidth="1"/>
    <col min="2" max="19" width="6.33203125" customWidth="1"/>
  </cols>
  <sheetData>
    <row r="1" spans="1:19" ht="45" customHeight="1">
      <c r="A1" s="32"/>
      <c r="B1" s="32"/>
      <c r="C1" s="32"/>
      <c r="D1" s="40" t="s">
        <v>94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1"/>
      <c r="Q1" s="1"/>
    </row>
    <row r="2" spans="1:19" ht="15" customHeight="1">
      <c r="D2" s="34" t="s">
        <v>95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1"/>
    </row>
    <row r="3" spans="1:19" ht="15" customHeight="1">
      <c r="D3" s="34" t="s">
        <v>112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9" ht="2.25" customHeight="1"/>
    <row r="5" spans="1:19">
      <c r="A5" s="41" t="s">
        <v>106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1:19">
      <c r="A6" s="3" t="s">
        <v>0</v>
      </c>
      <c r="B6" s="10">
        <v>100</v>
      </c>
      <c r="C6" s="10">
        <v>110</v>
      </c>
      <c r="D6" s="10">
        <v>115</v>
      </c>
      <c r="E6" s="10">
        <v>120</v>
      </c>
      <c r="F6" s="10">
        <v>125</v>
      </c>
      <c r="G6" s="10">
        <v>130</v>
      </c>
      <c r="H6" s="10">
        <v>140</v>
      </c>
      <c r="I6" s="10">
        <v>150</v>
      </c>
      <c r="J6" s="10">
        <v>160</v>
      </c>
      <c r="K6" s="10">
        <v>180</v>
      </c>
      <c r="L6" s="10">
        <v>200</v>
      </c>
      <c r="M6" s="10">
        <v>220</v>
      </c>
      <c r="N6" s="10">
        <v>250</v>
      </c>
      <c r="O6" s="10">
        <v>260</v>
      </c>
      <c r="P6" s="10">
        <v>270</v>
      </c>
      <c r="Q6" s="10">
        <v>280</v>
      </c>
      <c r="R6" s="10">
        <v>290</v>
      </c>
      <c r="S6" s="10">
        <v>300</v>
      </c>
    </row>
    <row r="7" spans="1:19">
      <c r="A7" s="3" t="s">
        <v>1</v>
      </c>
      <c r="B7" s="10">
        <f>B6+100</f>
        <v>200</v>
      </c>
      <c r="C7" s="10">
        <f t="shared" ref="C7:N7" si="0">C6+100</f>
        <v>210</v>
      </c>
      <c r="D7" s="10">
        <f t="shared" si="0"/>
        <v>215</v>
      </c>
      <c r="E7" s="10">
        <f t="shared" si="0"/>
        <v>220</v>
      </c>
      <c r="F7" s="10">
        <f t="shared" si="0"/>
        <v>225</v>
      </c>
      <c r="G7" s="10">
        <f t="shared" si="0"/>
        <v>230</v>
      </c>
      <c r="H7" s="10">
        <f t="shared" si="0"/>
        <v>240</v>
      </c>
      <c r="I7" s="10">
        <f t="shared" si="0"/>
        <v>250</v>
      </c>
      <c r="J7" s="10">
        <f t="shared" si="0"/>
        <v>260</v>
      </c>
      <c r="K7" s="10">
        <f t="shared" si="0"/>
        <v>280</v>
      </c>
      <c r="L7" s="10">
        <f t="shared" si="0"/>
        <v>300</v>
      </c>
      <c r="M7" s="10">
        <f t="shared" si="0"/>
        <v>320</v>
      </c>
      <c r="N7" s="10">
        <f t="shared" si="0"/>
        <v>350</v>
      </c>
      <c r="O7" s="10">
        <f t="shared" ref="O7:S7" si="1">O6+100</f>
        <v>360</v>
      </c>
      <c r="P7" s="10">
        <f t="shared" si="1"/>
        <v>370</v>
      </c>
      <c r="Q7" s="10">
        <f t="shared" si="1"/>
        <v>380</v>
      </c>
      <c r="R7" s="10">
        <f t="shared" si="1"/>
        <v>390</v>
      </c>
      <c r="S7" s="10">
        <f t="shared" si="1"/>
        <v>400</v>
      </c>
    </row>
    <row r="8" spans="1:19">
      <c r="A8" s="4" t="s">
        <v>4</v>
      </c>
      <c r="B8" s="16">
        <f>(((B6*0.00314)*'Технический лист'!$G$7)+365+((B7*0.00314)*'Технический лист'!$G$11))*1.95</f>
        <v>1993.0081600000001</v>
      </c>
      <c r="C8" s="16">
        <f>(((C6*0.00314)*'Технический лист'!$G$7)+365+((C7*0.00314)*'Технический лист'!$G$11))*1.95</f>
        <v>2099.4789660000001</v>
      </c>
      <c r="D8" s="16">
        <f>(((D6*0.00314)*'Технический лист'!$G$7)+365+((D7*0.00314)*'Технический лист'!$G$11))*1.95</f>
        <v>2152.7143689999998</v>
      </c>
      <c r="E8" s="16">
        <f>(((E6*0.00314)*'Технический лист'!$G$7)+365+((E7*0.00314)*'Технический лист'!$G$11))*1.95</f>
        <v>2205.9497719999999</v>
      </c>
      <c r="F8" s="16">
        <f>(((F6*0.00314)*'Технический лист'!$G$7)+365+((F7*0.00314)*'Технический лист'!$G$11))*1.95</f>
        <v>2259.1851749999996</v>
      </c>
      <c r="G8" s="16">
        <f>(((G6*0.00314)*'Технический лист'!$G$7)+365+((G7*0.00314)*'Технический лист'!$G$11))*1.95</f>
        <v>2312.4205780000002</v>
      </c>
      <c r="H8" s="16">
        <f>(((H6*0.00314)*'Технический лист'!$G$7)+365+((H7*0.00314)*'Технический лист'!$G$11))*1.95</f>
        <v>2418.891384</v>
      </c>
      <c r="I8" s="16">
        <f>(((I6*0.00314)*'Технический лист'!$G$7)+365+((I7*0.00314)*'Технический лист'!$G$11))*1.95</f>
        <v>2525.3621899999998</v>
      </c>
      <c r="J8" s="16">
        <f>(((J6*0.00314)*'Технический лист'!$G$7)+365+((J7*0.00314)*'Технический лист'!$G$11))*1.95</f>
        <v>2631.8329960000001</v>
      </c>
      <c r="K8" s="16">
        <f>(((K6*0.00314)*'Технический лист'!$G$7)+365+((K7*0.00314)*'Технический лист'!$G$11))*1.95</f>
        <v>2844.7746080000002</v>
      </c>
      <c r="L8" s="16">
        <f>(((L6*0.00314)*'Технический лист'!$G$7)+365+((L7*0.00314)*'Технический лист'!$G$11))*1.95</f>
        <v>3057.7162199999998</v>
      </c>
      <c r="M8" s="16">
        <f>(((M6*0.00314)*'Технический лист'!$G$7)+365+((M7*0.00314)*'Технический лист'!$G$11))*1.95</f>
        <v>3270.6578319999999</v>
      </c>
      <c r="N8" s="16">
        <f>(((N6*0.00314)*'Технический лист'!$G$7)+365+((N7*0.00314)*'Технический лист'!$G$11))*1.95</f>
        <v>3590.0702500000002</v>
      </c>
      <c r="O8" s="16">
        <f>(((O6*0.00314)*'Технический лист'!$G$7)+365+((O7*0.00314)*'Технический лист'!$G$11))*1.95</f>
        <v>3696.541056</v>
      </c>
      <c r="P8" s="16">
        <f>(((P6*0.00314)*'Технический лист'!$G$7)+365+((P7*0.00314)*'Технический лист'!$G$11))*1.95</f>
        <v>3803.0118619999994</v>
      </c>
      <c r="Q8" s="16">
        <f>(((Q6*0.00314)*'Технический лист'!$G$7)+365+((Q7*0.00314)*'Технический лист'!$G$11))*1.95</f>
        <v>3909.4826680000001</v>
      </c>
      <c r="R8" s="16">
        <f>(((R6*0.00314)*'Технический лист'!$G$7)+365+((R7*0.00314)*'Технический лист'!$G$11))*1.95</f>
        <v>4015.9534739999995</v>
      </c>
      <c r="S8" s="16">
        <f>(((S6*0.00314)*'Технический лист'!$G$7)+365+((S7*0.00314)*'Технический лист'!$G$11))*1.95</f>
        <v>4122.4242800000002</v>
      </c>
    </row>
    <row r="9" spans="1:19">
      <c r="A9" s="4" t="s">
        <v>3</v>
      </c>
      <c r="B9" s="9">
        <f>((B8/2)*1.07)-10</f>
        <v>1056.2593656000001</v>
      </c>
      <c r="C9" s="9">
        <f t="shared" ref="C9:N9" si="2">((C8/2)*1.07)-10</f>
        <v>1113.2212468100001</v>
      </c>
      <c r="D9" s="9">
        <f t="shared" si="2"/>
        <v>1141.702187415</v>
      </c>
      <c r="E9" s="9">
        <f t="shared" si="2"/>
        <v>1170.1831280200001</v>
      </c>
      <c r="F9" s="9">
        <f t="shared" si="2"/>
        <v>1198.6640686249998</v>
      </c>
      <c r="G9" s="9">
        <f t="shared" si="2"/>
        <v>1227.1450092300001</v>
      </c>
      <c r="H9" s="9">
        <f t="shared" si="2"/>
        <v>1284.1068904400001</v>
      </c>
      <c r="I9" s="9">
        <f t="shared" si="2"/>
        <v>1341.0687716499999</v>
      </c>
      <c r="J9" s="9">
        <f t="shared" si="2"/>
        <v>1398.0306528600001</v>
      </c>
      <c r="K9" s="9">
        <f t="shared" si="2"/>
        <v>1511.9544152800001</v>
      </c>
      <c r="L9" s="9">
        <f t="shared" si="2"/>
        <v>1625.8781776999999</v>
      </c>
      <c r="M9" s="9">
        <f t="shared" si="2"/>
        <v>1739.8019401199999</v>
      </c>
      <c r="N9" s="9">
        <f t="shared" si="2"/>
        <v>1910.6875837500002</v>
      </c>
      <c r="O9" s="9">
        <f t="shared" ref="O9:S9" si="3">((O8/2)*1.07)-10</f>
        <v>1967.6494649600002</v>
      </c>
      <c r="P9" s="9">
        <f t="shared" si="3"/>
        <v>2024.6113461699997</v>
      </c>
      <c r="Q9" s="9">
        <f t="shared" si="3"/>
        <v>2081.5732273800004</v>
      </c>
      <c r="R9" s="9">
        <f t="shared" si="3"/>
        <v>2138.5351085899997</v>
      </c>
      <c r="S9" s="9">
        <f t="shared" si="3"/>
        <v>2195.4969898000004</v>
      </c>
    </row>
    <row r="10" spans="1:19">
      <c r="A10" s="4" t="s">
        <v>5</v>
      </c>
      <c r="B10" s="16">
        <f>((((B6*0.00314)*0.5)*'Технический лист'!$I$7)+310+(((B7*0.00314)*0.5)*'Технический лист'!$I$11))*1.96</f>
        <v>1657.7047573333332</v>
      </c>
      <c r="C10" s="16">
        <f>((((C6*0.00314)*0.5)*'Технический лист'!$I$7)+310+(((C7*0.00314)*0.5)*'Технический лист'!$I$11))*1.96</f>
        <v>1741.8313023999997</v>
      </c>
      <c r="D10" s="16">
        <f>((((D6*0.00314)*0.5)*'Технический лист'!$I$7)+310+(((D7*0.00314)*0.5)*'Технический лист'!$I$11))*1.96</f>
        <v>1783.8945749333332</v>
      </c>
      <c r="E10" s="16">
        <f>((((E6*0.00314)*0.5)*'Технический лист'!$I$7)+310+(((E7*0.00314)*0.5)*'Технический лист'!$I$11))*1.96</f>
        <v>1825.9578474666666</v>
      </c>
      <c r="F10" s="16">
        <f>((((F6*0.00314)*0.5)*'Технический лист'!$I$7)+310+(((F7*0.00314)*0.5)*'Технический лист'!$I$11))*1.96</f>
        <v>1868.0211199999999</v>
      </c>
      <c r="G10" s="16">
        <f>((((G6*0.00314)*0.5)*'Технический лист'!$I$7)+310+(((G7*0.00314)*0.5)*'Технический лист'!$I$11))*1.96</f>
        <v>1910.0843925333331</v>
      </c>
      <c r="H10" s="16">
        <f>((((H6*0.00314)*0.5)*'Технический лист'!$I$7)+310+(((H7*0.00314)*0.5)*'Технический лист'!$I$11))*1.96</f>
        <v>1994.2109375999999</v>
      </c>
      <c r="I10" s="16">
        <f>((((I6*0.00314)*0.5)*'Технический лист'!$I$7)+310+(((I7*0.00314)*0.5)*'Технический лист'!$I$11))*1.96</f>
        <v>2078.3374826666668</v>
      </c>
      <c r="J10" s="16">
        <f>((((J6*0.00314)*0.5)*'Технический лист'!$I$7)+310+(((J7*0.00314)*0.5)*'Технический лист'!$I$11))*1.96</f>
        <v>2162.4640277333328</v>
      </c>
      <c r="K10" s="16">
        <f>((((K6*0.00314)*0.5)*'Технический лист'!$I$7)+310+(((K7*0.00314)*0.5)*'Технический лист'!$I$11))*1.96</f>
        <v>2330.7171178666667</v>
      </c>
      <c r="L10" s="16">
        <f>((((L6*0.00314)*0.5)*'Технический лист'!$I$7)+310+(((L7*0.00314)*0.5)*'Технический лист'!$I$11))*1.96</f>
        <v>2498.9702079999997</v>
      </c>
      <c r="M10" s="16">
        <f>((((M6*0.00314)*0.5)*'Технический лист'!$I$7)+310+(((M7*0.00314)*0.5)*'Технический лист'!$I$11))*1.96</f>
        <v>2667.2232981333332</v>
      </c>
      <c r="N10" s="16">
        <f>((((N6*0.00314)*0.5)*'Технический лист'!$I$7)+310+(((N7*0.00314)*0.5)*'Технический лист'!$I$11))*1.96</f>
        <v>2919.6029333333331</v>
      </c>
      <c r="O10" s="16">
        <f>((((O6*0.00314)*0.5)*'Технический лист'!$I$7)+310+(((O7*0.00314)*0.5)*'Технический лист'!$I$11))*1.96</f>
        <v>3003.7294784000001</v>
      </c>
      <c r="P10" s="16">
        <f>((((P6*0.00314)*0.5)*'Технический лист'!$I$7)+310+(((P7*0.00314)*0.5)*'Технический лист'!$I$11))*1.96</f>
        <v>3087.8560234666661</v>
      </c>
      <c r="Q10" s="16">
        <f>((((Q6*0.00314)*0.5)*'Технический лист'!$I$7)+310+(((Q7*0.00314)*0.5)*'Технический лист'!$I$11))*1.96</f>
        <v>3171.9825685333331</v>
      </c>
      <c r="R10" s="16">
        <f>((((R6*0.00314)*0.5)*'Технический лист'!$I$7)+310+(((R7*0.00314)*0.5)*'Технический лист'!$I$11))*1.96</f>
        <v>3256.1091135999995</v>
      </c>
      <c r="S10" s="16">
        <f>((((S6*0.00314)*0.5)*'Технический лист'!$I$7)+310+(((S7*0.00314)*0.5)*'Технический лист'!$I$11))*1.96</f>
        <v>3340.235658666666</v>
      </c>
    </row>
    <row r="11" spans="1:19">
      <c r="A11" s="4" t="s">
        <v>96</v>
      </c>
      <c r="B11" s="9">
        <f>((B10*2)/3)-6</f>
        <v>1099.1365048888888</v>
      </c>
      <c r="C11" s="9">
        <f t="shared" ref="C11:N11" si="4">((C10*2)/3)-6</f>
        <v>1155.2208682666665</v>
      </c>
      <c r="D11" s="9">
        <f t="shared" si="4"/>
        <v>1183.2630499555555</v>
      </c>
      <c r="E11" s="9">
        <f t="shared" si="4"/>
        <v>1211.3052316444443</v>
      </c>
      <c r="F11" s="9">
        <f t="shared" si="4"/>
        <v>1239.3474133333332</v>
      </c>
      <c r="G11" s="9">
        <f t="shared" si="4"/>
        <v>1267.389595022222</v>
      </c>
      <c r="H11" s="9">
        <f t="shared" si="4"/>
        <v>1323.4739583999999</v>
      </c>
      <c r="I11" s="9">
        <f t="shared" si="4"/>
        <v>1379.5583217777778</v>
      </c>
      <c r="J11" s="9">
        <f t="shared" si="4"/>
        <v>1435.6426851555552</v>
      </c>
      <c r="K11" s="9">
        <f t="shared" si="4"/>
        <v>1547.8114119111112</v>
      </c>
      <c r="L11" s="9">
        <f t="shared" si="4"/>
        <v>1659.9801386666666</v>
      </c>
      <c r="M11" s="9">
        <f t="shared" si="4"/>
        <v>1772.1488654222221</v>
      </c>
      <c r="N11" s="9">
        <f t="shared" si="4"/>
        <v>1940.4019555555553</v>
      </c>
      <c r="O11" s="9">
        <f t="shared" ref="O11:S11" si="5">((O10*2)/3)-6</f>
        <v>1996.4863189333335</v>
      </c>
      <c r="P11" s="9">
        <f t="shared" si="5"/>
        <v>2052.5706823111109</v>
      </c>
      <c r="Q11" s="9">
        <f t="shared" si="5"/>
        <v>2108.6550456888885</v>
      </c>
      <c r="R11" s="9">
        <f t="shared" si="5"/>
        <v>2164.7394090666662</v>
      </c>
      <c r="S11" s="9">
        <f t="shared" si="5"/>
        <v>2220.8237724444439</v>
      </c>
    </row>
    <row r="12" spans="1:19">
      <c r="A12" s="4" t="s">
        <v>6</v>
      </c>
      <c r="B12" s="16">
        <f>((((B6*0.00314)*0.22)*'Технический лист'!$M$7)+100+(((B7*0.00314)*0.21)*'Технический лист'!$O$11)+(((B6+30)*(B6+30)/1000000)*'Технический лист'!$E$20))*1.96</f>
        <v>943.80306496000003</v>
      </c>
      <c r="C12" s="16">
        <f>((((C6*0.00314)*0.22)*'Технический лист'!$M$7)+100+(((C7*0.00314)*0.21)*'Технический лист'!$O$11)+(((C6+30)*(C6+30)/1000000)*'Технический лист'!$E$20))*1.96</f>
        <v>1012.560824576</v>
      </c>
      <c r="D12" s="16">
        <f>((((D6*0.00314)*0.22)*'Технический лист'!$M$7)+100+(((D7*0.00314)*0.21)*'Технический лист'!$O$11)+(((D6+30)*(D6+30)/1000000)*'Технический лист'!$E$20))*1.96</f>
        <v>1047.5277043840001</v>
      </c>
      <c r="E12" s="16">
        <f>((((E6*0.00314)*0.22)*'Технический лист'!$M$7)+100+(((E7*0.00314)*0.21)*'Технический лист'!$O$11)+(((E6+30)*(E6+30)/1000000)*'Технический лист'!$E$20))*1.96</f>
        <v>1082.8865841920001</v>
      </c>
      <c r="F12" s="16">
        <f>((((F6*0.00314)*0.22)*'Технический лист'!$M$7)+100+(((F7*0.00314)*0.21)*'Технический лист'!$O$11)+(((F6+30)*(F6+30)/1000000)*'Технический лист'!$E$20))*1.96</f>
        <v>1118.6374640000001</v>
      </c>
      <c r="G12" s="16">
        <f>((((G6*0.00314)*0.22)*'Технический лист'!$M$7)+100+(((G7*0.00314)*0.21)*'Технический лист'!$O$11)+(((G6+30)*(G6+30)/1000000)*'Технический лист'!$E$20))*1.96</f>
        <v>1154.780343808</v>
      </c>
      <c r="H12" s="16">
        <f>((((H6*0.00314)*0.22)*'Технический лист'!$M$7)+100+(((H7*0.00314)*0.21)*'Технический лист'!$O$11)+(((H6+30)*(H6+30)/1000000)*'Технический лист'!$E$20))*1.96</f>
        <v>1228.2421034239999</v>
      </c>
      <c r="I12" s="16">
        <f>((((I6*0.00314)*0.22)*'Технический лист'!$M$7)+100+(((I7*0.00314)*0.21)*'Технический лист'!$O$11)+(((I6+30)*(I6+30)/1000000)*'Технический лист'!$E$20))*1.96</f>
        <v>1303.27186304</v>
      </c>
      <c r="J12" s="16">
        <f>((((J6*0.00314)*0.22)*'Технический лист'!$M$7)+100+(((J7*0.00314)*0.21)*'Технический лист'!$O$11)+(((J6+30)*(J6+30)/1000000)*'Технический лист'!$E$20))*1.96</f>
        <v>1379.8696226559996</v>
      </c>
      <c r="K12" s="16">
        <f>((((K6*0.00314)*0.22)*'Технический лист'!$M$7)+100+(((K7*0.00314)*0.21)*'Технический лист'!$O$11)+(((K6+30)*(K6+30)/1000000)*'Технический лист'!$E$20))*1.96</f>
        <v>1537.7691418879999</v>
      </c>
      <c r="L12" s="16">
        <f>((((L6*0.00314)*0.22)*'Технический лист'!$M$7)+100+(((L7*0.00314)*0.21)*'Технический лист'!$O$11)+(((L6+30)*(L6+30)/1000000)*'Технический лист'!$E$20))*1.96</f>
        <v>1701.94066112</v>
      </c>
      <c r="M12" s="16">
        <f>((((M6*0.00314)*0.22)*'Технический лист'!$M$7)+100+(((M7*0.00314)*0.21)*'Технический лист'!$O$11)+(((M6+30)*(M6+30)/1000000)*'Технический лист'!$E$20))*1.96</f>
        <v>1872.3841803519997</v>
      </c>
      <c r="N12" s="16">
        <f>((((N6*0.00314)*0.22)*'Технический лист'!$M$7)+100+(((N7*0.00314)*0.21)*'Технический лист'!$O$11)+(((N6+30)*(N6+30)/1000000)*'Технический лист'!$E$20))*1.96</f>
        <v>2139.8094592000002</v>
      </c>
      <c r="O12" s="16">
        <f>((((O6*0.00314)*0.22)*'Технический лист'!$M$7)+100+(((O7*0.00314)*0.21)*'Технический лист'!$O$11)+(((O6+30)*(O6+30)/1000000)*'Технический лист'!$E$20))*1.96</f>
        <v>2232.0872188160001</v>
      </c>
      <c r="P12" s="16">
        <f>((((P6*0.00314)*0.22)*'Технический лист'!$M$7)+100+(((P7*0.00314)*0.21)*'Технический лист'!$O$11)+(((P6+30)*(P6+30)/1000000)*'Технический лист'!$E$20))*1.96</f>
        <v>2325.9329784319998</v>
      </c>
      <c r="Q12" s="16">
        <f>((((Q6*0.00314)*0.22)*'Технический лист'!$M$7)+100+(((Q7*0.00314)*0.21)*'Технический лист'!$O$11)+(((Q6+30)*(Q6+30)/1000000)*'Технический лист'!$E$20))*1.96</f>
        <v>2421.3467380480001</v>
      </c>
      <c r="R12" s="16">
        <f>((((R6*0.00314)*0.22)*'Технический лист'!$M$7)+100+(((R7*0.00314)*0.21)*'Технический лист'!$O$11)+(((R6+30)*(R6+30)/1000000)*'Технический лист'!$E$20))*1.96</f>
        <v>2518.3284976639998</v>
      </c>
      <c r="S12" s="16">
        <f>((((S6*0.00314)*0.22)*'Технический лист'!$M$7)+100+(((S7*0.00314)*0.21)*'Технический лист'!$O$11)+(((S6+30)*(S6+30)/1000000)*'Технический лист'!$E$20))*1.96</f>
        <v>2616.8782572799996</v>
      </c>
    </row>
    <row r="13" spans="1:19">
      <c r="A13" s="4" t="s">
        <v>7</v>
      </c>
      <c r="B13" s="9">
        <f>(B12*2.2)+24</f>
        <v>2100.3667429120001</v>
      </c>
      <c r="C13" s="9">
        <f t="shared" ref="C13:N13" si="6">(C12*2.2)+24</f>
        <v>2251.6338140672001</v>
      </c>
      <c r="D13" s="9">
        <f t="shared" si="6"/>
        <v>2328.5609496448005</v>
      </c>
      <c r="E13" s="9">
        <f t="shared" si="6"/>
        <v>2406.3504852224005</v>
      </c>
      <c r="F13" s="9">
        <f t="shared" si="6"/>
        <v>2485.0024208000004</v>
      </c>
      <c r="G13" s="9">
        <f t="shared" si="6"/>
        <v>2564.5167563776004</v>
      </c>
      <c r="H13" s="9">
        <f t="shared" si="6"/>
        <v>2726.1326275328001</v>
      </c>
      <c r="I13" s="9">
        <f t="shared" si="6"/>
        <v>2891.1980986880003</v>
      </c>
      <c r="J13" s="9">
        <f t="shared" si="6"/>
        <v>3059.7131698431995</v>
      </c>
      <c r="K13" s="9">
        <f t="shared" si="6"/>
        <v>3407.0921121536003</v>
      </c>
      <c r="L13" s="9">
        <f t="shared" si="6"/>
        <v>3768.2694544640003</v>
      </c>
      <c r="M13" s="9">
        <f t="shared" si="6"/>
        <v>4143.2451967744</v>
      </c>
      <c r="N13" s="9">
        <f t="shared" si="6"/>
        <v>4731.5808102400006</v>
      </c>
      <c r="O13" s="9">
        <f t="shared" ref="O13:S13" si="7">(O12*2.2)+24</f>
        <v>4934.5918813952003</v>
      </c>
      <c r="P13" s="9">
        <f t="shared" si="7"/>
        <v>5141.0525525503999</v>
      </c>
      <c r="Q13" s="9">
        <f t="shared" si="7"/>
        <v>5350.9628237056004</v>
      </c>
      <c r="R13" s="9">
        <f t="shared" si="7"/>
        <v>5564.3226948607999</v>
      </c>
      <c r="S13" s="9">
        <f t="shared" si="7"/>
        <v>5781.1321660159992</v>
      </c>
    </row>
    <row r="14" spans="1:19">
      <c r="A14" s="4" t="s">
        <v>8</v>
      </c>
      <c r="B14" s="16">
        <f>((((B6*0.00314)*0.2)*'Технический лист'!$M$7)+50+(((B7*0.00314)*0.22)*'Технический лист'!$O$11))*1.96</f>
        <v>695.99432746666673</v>
      </c>
      <c r="C14" s="16">
        <f>((((C6*0.00314)*0.2)*'Технический лист'!$M$7)+50+(((C7*0.00314)*0.22)*'Технический лист'!$O$11))*1.96</f>
        <v>741.18895872000007</v>
      </c>
      <c r="D14" s="16">
        <f>((((D6*0.00314)*0.2)*'Технический лист'!$M$7)+50+(((D7*0.00314)*0.22)*'Технический лист'!$O$11))*1.96</f>
        <v>763.78627434666657</v>
      </c>
      <c r="E14" s="16">
        <f>((((E6*0.00314)*0.2)*'Технический лист'!$M$7)+50+(((E7*0.00314)*0.22)*'Технический лист'!$O$11))*1.96</f>
        <v>786.38358997333341</v>
      </c>
      <c r="F14" s="16">
        <f>((((F6*0.00314)*0.2)*'Технический лист'!$M$7)+50+(((F7*0.00314)*0.22)*'Технический лист'!$O$11))*1.96</f>
        <v>808.98090560000014</v>
      </c>
      <c r="G14" s="16">
        <f>((((G6*0.00314)*0.2)*'Технический лист'!$M$7)+50+(((G7*0.00314)*0.22)*'Технический лист'!$O$11))*1.96</f>
        <v>831.57822122666664</v>
      </c>
      <c r="H14" s="16">
        <f>((((H6*0.00314)*0.2)*'Технический лист'!$M$7)+50+(((H7*0.00314)*0.22)*'Технический лист'!$O$11))*1.96</f>
        <v>876.7728524800001</v>
      </c>
      <c r="I14" s="16">
        <f>((((I6*0.00314)*0.2)*'Технический лист'!$M$7)+50+(((I7*0.00314)*0.22)*'Технический лист'!$O$11))*1.96</f>
        <v>921.96748373333332</v>
      </c>
      <c r="J14" s="16">
        <f>((((J6*0.00314)*0.2)*'Технический лист'!$M$7)+50+(((J7*0.00314)*0.22)*'Технический лист'!$O$11))*1.96</f>
        <v>967.16211498666667</v>
      </c>
      <c r="K14" s="16">
        <f>((((K6*0.00314)*0.2)*'Технический лист'!$M$7)+50+(((K7*0.00314)*0.22)*'Технический лист'!$O$11))*1.96</f>
        <v>1057.5513774933331</v>
      </c>
      <c r="L14" s="16">
        <f>((((L6*0.00314)*0.2)*'Технический лист'!$M$7)+50+(((L7*0.00314)*0.22)*'Технический лист'!$O$11))*1.96</f>
        <v>1147.94064</v>
      </c>
      <c r="M14" s="16">
        <f>((((M6*0.00314)*0.2)*'Технический лист'!$M$7)+50+(((M7*0.00314)*0.22)*'Технический лист'!$O$11))*1.96</f>
        <v>1238.3299025066667</v>
      </c>
      <c r="N14" s="16">
        <f>((((N6*0.00314)*0.2)*'Технический лист'!$M$7)+50+(((N7*0.00314)*0.22)*'Технический лист'!$O$11))*1.96</f>
        <v>1373.9137962666668</v>
      </c>
      <c r="O14" s="16">
        <f>((((O6*0.00314)*0.2)*'Технический лист'!$M$7)+50+(((O7*0.00314)*0.22)*'Технический лист'!$O$11))*1.96</f>
        <v>1419.1084275200001</v>
      </c>
      <c r="P14" s="16">
        <f>((((P6*0.00314)*0.2)*'Технический лист'!$M$7)+50+(((P7*0.00314)*0.22)*'Технический лист'!$O$11))*1.96</f>
        <v>1464.3030587733333</v>
      </c>
      <c r="Q14" s="16">
        <f>((((Q6*0.00314)*0.2)*'Технический лист'!$M$7)+50+(((Q7*0.00314)*0.22)*'Технический лист'!$O$11))*1.96</f>
        <v>1509.4976900266665</v>
      </c>
      <c r="R14" s="16">
        <f>((((R6*0.00314)*0.2)*'Технический лист'!$M$7)+50+(((R7*0.00314)*0.22)*'Технический лист'!$O$11))*1.96</f>
        <v>1554.69232128</v>
      </c>
      <c r="S14" s="16">
        <f>((((S6*0.00314)*0.2)*'Технический лист'!$M$7)+50+(((S7*0.00314)*0.22)*'Технический лист'!$O$11))*1.96</f>
        <v>1599.8869525333334</v>
      </c>
    </row>
    <row r="15" spans="1:19">
      <c r="A15" s="4" t="s">
        <v>9</v>
      </c>
      <c r="B15" s="9">
        <f>((((B6*0.00314)*((B6+545)/1000))*'Технический лист'!$K$7)+370+((B7*0.00314)*((B7+450)/1000))*'Технический лист'!$K$11)*1.97</f>
        <v>2166.4617749866666</v>
      </c>
      <c r="C15" s="9">
        <f>((((C6*0.00314)*((C6+545)/1000))*'Технический лист'!$K$7)+370+((C7*0.00314)*((C7+450)/1000))*'Технический лист'!$K$11)*1.97</f>
        <v>2306.9554790879997</v>
      </c>
      <c r="D15" s="9">
        <f>((((D6*0.00314)*((D6+545)/1000))*'Технический лист'!$K$7)+370+((D7*0.00314)*((D7+450)/1000))*'Технический лист'!$K$11)*1.97</f>
        <v>2378.5541758706668</v>
      </c>
      <c r="E15" s="9">
        <f>((((E6*0.00314)*((E6+545)/1000))*'Технический лист'!$K$7)+370+((E7*0.00314)*((E7+450)/1000))*'Технический лист'!$K$11)*1.97</f>
        <v>2451.0541024746667</v>
      </c>
      <c r="F15" s="9">
        <f>((((F6*0.00314)*((F6+545)/1000))*'Технический лист'!$K$7)+370+((F7*0.00314)*((F7+450)/1000))*'Технический лист'!$K$11)*1.97</f>
        <v>2524.4552588999995</v>
      </c>
      <c r="G15" s="9">
        <f>((((G6*0.00314)*((G6+545)/1000))*'Технический лист'!$K$7)+370+((G7*0.00314)*((G7+450)/1000))*'Технический лист'!$K$11)*1.97</f>
        <v>2598.7576451466666</v>
      </c>
      <c r="H15" s="9">
        <f>((((H6*0.00314)*((H6+545)/1000))*'Технический лист'!$K$7)+370+((H7*0.00314)*((H7+450)/1000))*'Технический лист'!$K$11)*1.97</f>
        <v>2750.0661071039999</v>
      </c>
      <c r="I15" s="9">
        <f>((((I6*0.00314)*((I6+545)/1000))*'Технический лист'!$K$7)+370+((I7*0.00314)*((I7+450)/1000))*'Технический лист'!$K$11)*1.97</f>
        <v>2904.9794883466661</v>
      </c>
      <c r="J15" s="9">
        <f>((((J6*0.00314)*((J6+545)/1000))*'Технический лист'!$K$7)+370+((J7*0.00314)*((J7+450)/1000))*'Технический лист'!$K$11)*1.97</f>
        <v>3063.4977888746662</v>
      </c>
      <c r="K15" s="9">
        <f>((((K6*0.00314)*((K6+545)/1000))*'Технический лист'!$K$7)+370+((K7*0.00314)*((K7+450)/1000))*'Технический лист'!$K$11)*1.97</f>
        <v>3391.349147786666</v>
      </c>
      <c r="L15" s="9">
        <f>((((L6*0.00314)*((L6+545)/1000))*'Технический лист'!$K$7)+370+((L7*0.00314)*((L7+450)/1000))*'Технический лист'!$K$11)*1.97</f>
        <v>3733.6201838399993</v>
      </c>
      <c r="M15" s="9">
        <f>((((M6*0.00314)*((M6+545)/1000))*'Технический лист'!$K$7)+370+((M7*0.00314)*((M7+450)/1000))*'Технический лист'!$K$11)*1.97</f>
        <v>4090.3108970346666</v>
      </c>
      <c r="N15" s="9">
        <f>((((N6*0.00314)*((N6+545)/1000))*'Технический лист'!$K$7)+370+((N7*0.00314)*((N7+450)/1000))*'Технический лист'!$K$11)*1.97</f>
        <v>4652.3838614666665</v>
      </c>
      <c r="O15" s="9">
        <f>((((O6*0.00314)*((O6+545)/1000))*'Технический лист'!$K$7)+370+((O7*0.00314)*((O7+450)/1000))*'Технический лист'!$K$11)*1.97</f>
        <v>4846.9513548479999</v>
      </c>
      <c r="P15" s="9">
        <f>((((P6*0.00314)*((P6+545)/1000))*'Технический лист'!$K$7)+370+((P7*0.00314)*((P7+450)/1000))*'Технический лист'!$K$11)*1.97</f>
        <v>5045.1237675146658</v>
      </c>
      <c r="Q15" s="9">
        <f>((((Q6*0.00314)*((Q6+545)/1000))*'Технический лист'!$K$7)+370+((Q7*0.00314)*((Q7+450)/1000))*'Технический лист'!$K$11)*1.97</f>
        <v>5246.901099466666</v>
      </c>
      <c r="R15" s="9">
        <f>((((R6*0.00314)*((R6+545)/1000))*'Технический лист'!$K$7)+370+((R7*0.00314)*((R7+450)/1000))*'Технический лист'!$K$11)*1.97</f>
        <v>5452.2833507039986</v>
      </c>
      <c r="S15" s="9">
        <f>((((S6*0.00314)*((S6+545)/1000))*'Технический лист'!$K$7)+370+((S7*0.00314)*((S7+450)/1000))*'Технический лист'!$K$11)*1.97</f>
        <v>5661.2705212266656</v>
      </c>
    </row>
    <row r="16" spans="1:19" ht="0.75" hidden="1" customHeight="1">
      <c r="A16" s="4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>
      <c r="A17" s="4" t="s">
        <v>118</v>
      </c>
      <c r="B17" s="16">
        <v>1800</v>
      </c>
      <c r="C17" s="16">
        <v>1800</v>
      </c>
      <c r="D17" s="16">
        <v>1800</v>
      </c>
      <c r="E17" s="16">
        <v>1800</v>
      </c>
      <c r="F17" s="16">
        <v>1800</v>
      </c>
      <c r="G17" s="16">
        <v>1800</v>
      </c>
      <c r="H17" s="16">
        <v>1800</v>
      </c>
      <c r="I17" s="16">
        <v>1800</v>
      </c>
      <c r="J17" s="16">
        <v>1800</v>
      </c>
      <c r="K17" s="16">
        <v>1800</v>
      </c>
      <c r="L17" s="16">
        <v>1800</v>
      </c>
      <c r="M17" s="16">
        <v>1800</v>
      </c>
      <c r="N17" s="16">
        <v>1800</v>
      </c>
      <c r="O17" s="16">
        <v>1800</v>
      </c>
      <c r="P17" s="16">
        <v>1800</v>
      </c>
      <c r="Q17" s="16">
        <v>1800</v>
      </c>
      <c r="R17" s="16">
        <v>1800</v>
      </c>
      <c r="S17" s="16">
        <v>1800</v>
      </c>
    </row>
    <row r="19" spans="1:19">
      <c r="A19" s="41" t="s">
        <v>60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19">
      <c r="A20" s="3" t="s">
        <v>0</v>
      </c>
      <c r="B20" s="10">
        <v>100</v>
      </c>
      <c r="C20" s="10">
        <v>110</v>
      </c>
      <c r="D20" s="10">
        <v>115</v>
      </c>
      <c r="E20" s="10">
        <v>120</v>
      </c>
      <c r="F20" s="10">
        <v>125</v>
      </c>
      <c r="G20" s="10">
        <v>130</v>
      </c>
      <c r="H20" s="10">
        <v>140</v>
      </c>
      <c r="I20" s="10">
        <v>150</v>
      </c>
      <c r="J20" s="10">
        <v>160</v>
      </c>
      <c r="K20" s="10">
        <v>180</v>
      </c>
      <c r="L20" s="10">
        <v>200</v>
      </c>
      <c r="M20" s="10">
        <v>220</v>
      </c>
      <c r="N20" s="10">
        <v>250</v>
      </c>
      <c r="O20" s="10">
        <v>260</v>
      </c>
      <c r="P20" s="10">
        <v>270</v>
      </c>
      <c r="Q20" s="10">
        <v>280</v>
      </c>
      <c r="R20" s="10">
        <v>290</v>
      </c>
      <c r="S20" s="10">
        <v>300</v>
      </c>
    </row>
    <row r="21" spans="1:19">
      <c r="A21" s="3" t="s">
        <v>1</v>
      </c>
      <c r="B21" s="10">
        <f>B20+100</f>
        <v>200</v>
      </c>
      <c r="C21" s="10">
        <f t="shared" ref="C21:N21" si="8">C20+100</f>
        <v>210</v>
      </c>
      <c r="D21" s="10">
        <f t="shared" si="8"/>
        <v>215</v>
      </c>
      <c r="E21" s="10">
        <f t="shared" si="8"/>
        <v>220</v>
      </c>
      <c r="F21" s="10">
        <f t="shared" si="8"/>
        <v>225</v>
      </c>
      <c r="G21" s="10">
        <f t="shared" si="8"/>
        <v>230</v>
      </c>
      <c r="H21" s="10">
        <f t="shared" si="8"/>
        <v>240</v>
      </c>
      <c r="I21" s="10">
        <f t="shared" si="8"/>
        <v>250</v>
      </c>
      <c r="J21" s="10">
        <f t="shared" si="8"/>
        <v>260</v>
      </c>
      <c r="K21" s="10">
        <f t="shared" si="8"/>
        <v>280</v>
      </c>
      <c r="L21" s="10">
        <f t="shared" si="8"/>
        <v>300</v>
      </c>
      <c r="M21" s="10">
        <f t="shared" si="8"/>
        <v>320</v>
      </c>
      <c r="N21" s="10">
        <f t="shared" si="8"/>
        <v>350</v>
      </c>
      <c r="O21" s="10">
        <f t="shared" ref="O21:S21" si="9">O20+100</f>
        <v>360</v>
      </c>
      <c r="P21" s="10">
        <f t="shared" si="9"/>
        <v>370</v>
      </c>
      <c r="Q21" s="10">
        <f t="shared" si="9"/>
        <v>380</v>
      </c>
      <c r="R21" s="10">
        <f t="shared" si="9"/>
        <v>390</v>
      </c>
      <c r="S21" s="10">
        <f t="shared" si="9"/>
        <v>400</v>
      </c>
    </row>
    <row r="22" spans="1:19">
      <c r="A22" s="4" t="s">
        <v>4</v>
      </c>
      <c r="B22" s="16">
        <f>(((B20*0.00314)*'Технический лист'!$G$7)+365+((B21*0.00314)*'Технический лист'!$G$5))*1.95</f>
        <v>2951.0535599999998</v>
      </c>
      <c r="C22" s="16">
        <f>(((C20*0.00314)*'Технический лист'!$G$7)+365+((C21*0.00314)*'Технический лист'!$G$5))*1.95</f>
        <v>3105.4266359999997</v>
      </c>
      <c r="D22" s="16">
        <f>(((D20*0.00314)*'Технический лист'!$G$7)+365+((D21*0.00314)*'Технический лист'!$G$5))*1.95</f>
        <v>3182.6131740000001</v>
      </c>
      <c r="E22" s="16">
        <f>(((E20*0.00314)*'Технический лист'!$G$7)+365+((E21*0.00314)*'Технический лист'!$G$5))*1.95</f>
        <v>3259.799712</v>
      </c>
      <c r="F22" s="16">
        <f>(((F20*0.00314)*'Технический лист'!$G$7)+365+((F21*0.00314)*'Технический лист'!$G$5))*1.95</f>
        <v>3336.9862499999999</v>
      </c>
      <c r="G22" s="16">
        <f>(((G20*0.00314)*'Технический лист'!$G$7)+365+((G21*0.00314)*'Технический лист'!$G$5))*1.95</f>
        <v>3414.1727880000003</v>
      </c>
      <c r="H22" s="16">
        <f>(((H20*0.00314)*'Технический лист'!$G$7)+365+((H21*0.00314)*'Технический лист'!$G$5))*1.95</f>
        <v>3568.5458640000002</v>
      </c>
      <c r="I22" s="16">
        <f>(((I20*0.00314)*'Технический лист'!$G$7)+365+((I21*0.00314)*'Технический лист'!$G$5))*1.95</f>
        <v>3722.91894</v>
      </c>
      <c r="J22" s="16">
        <f>(((J20*0.00314)*'Технический лист'!$G$7)+365+((J21*0.00314)*'Технический лист'!$G$5))*1.95</f>
        <v>3877.2920159999999</v>
      </c>
      <c r="K22" s="16">
        <f>(((K20*0.00314)*'Технический лист'!$G$7)+365+((K21*0.00314)*'Технический лист'!$G$5))*1.95</f>
        <v>4186.038168</v>
      </c>
      <c r="L22" s="16">
        <f>(((L20*0.00314)*'Технический лист'!$G$7)+365+((L21*0.00314)*'Технический лист'!$G$5))*1.95</f>
        <v>4494.7843199999998</v>
      </c>
      <c r="M22" s="16">
        <f>(((M20*0.00314)*'Технический лист'!$G$7)+365+((M21*0.00314)*'Технический лист'!$G$5))*1.95</f>
        <v>4803.5304719999995</v>
      </c>
      <c r="N22" s="16">
        <f>(((N20*0.00314)*'Технический лист'!$G$7)+365+((N21*0.00314)*'Технический лист'!$G$5))*1.95</f>
        <v>5266.6496999999999</v>
      </c>
      <c r="O22" s="16">
        <f>(((O20*0.00314)*'Технический лист'!$G$7)+365+((O21*0.00314)*'Технический лист'!$G$5))*1.95</f>
        <v>5421.0227760000007</v>
      </c>
      <c r="P22" s="16">
        <f>(((P20*0.00314)*'Технический лист'!$G$7)+365+((P21*0.00314)*'Технический лист'!$G$5))*1.95</f>
        <v>5575.3958519999996</v>
      </c>
      <c r="Q22" s="16">
        <f>(((Q20*0.00314)*'Технический лист'!$G$7)+365+((Q21*0.00314)*'Технический лист'!$G$5))*1.95</f>
        <v>5729.7689280000004</v>
      </c>
      <c r="R22" s="16">
        <f>(((R20*0.00314)*'Технический лист'!$G$7)+365+((R21*0.00314)*'Технический лист'!$G$5))*1.95</f>
        <v>5884.1420039999994</v>
      </c>
      <c r="S22" s="16">
        <f>(((S20*0.00314)*'Технический лист'!$G$7)+365+((S21*0.00314)*'Технический лист'!$G$5))*1.95</f>
        <v>6038.5150799999992</v>
      </c>
    </row>
    <row r="23" spans="1:19">
      <c r="A23" s="4" t="s">
        <v>3</v>
      </c>
      <c r="B23" s="9">
        <f>((B22/2)*1.07)-10</f>
        <v>1568.8136546000001</v>
      </c>
      <c r="C23" s="9">
        <f t="shared" ref="C23:N23" si="10">((C22/2)*1.07)-10</f>
        <v>1651.4032502599998</v>
      </c>
      <c r="D23" s="9">
        <f t="shared" si="10"/>
        <v>1692.6980480900002</v>
      </c>
      <c r="E23" s="9">
        <f t="shared" si="10"/>
        <v>1733.99284592</v>
      </c>
      <c r="F23" s="9">
        <f t="shared" si="10"/>
        <v>1775.2876437500001</v>
      </c>
      <c r="G23" s="9">
        <f t="shared" si="10"/>
        <v>1816.5824415800002</v>
      </c>
      <c r="H23" s="9">
        <f t="shared" si="10"/>
        <v>1899.1720372400002</v>
      </c>
      <c r="I23" s="9">
        <f t="shared" si="10"/>
        <v>1981.7616329000002</v>
      </c>
      <c r="J23" s="9">
        <f t="shared" si="10"/>
        <v>2064.35122856</v>
      </c>
      <c r="K23" s="9">
        <f t="shared" si="10"/>
        <v>2229.53041988</v>
      </c>
      <c r="L23" s="9">
        <f t="shared" si="10"/>
        <v>2394.7096111999999</v>
      </c>
      <c r="M23" s="9">
        <f t="shared" si="10"/>
        <v>2559.8888025199999</v>
      </c>
      <c r="N23" s="9">
        <f t="shared" si="10"/>
        <v>2807.6575895000001</v>
      </c>
      <c r="O23" s="9">
        <f t="shared" ref="O23:S23" si="11">((O22/2)*1.07)-10</f>
        <v>2890.2471851600008</v>
      </c>
      <c r="P23" s="9">
        <f t="shared" si="11"/>
        <v>2972.8367808200001</v>
      </c>
      <c r="Q23" s="9">
        <f t="shared" si="11"/>
        <v>3055.4263764800003</v>
      </c>
      <c r="R23" s="9">
        <f t="shared" si="11"/>
        <v>3138.01597214</v>
      </c>
      <c r="S23" s="9">
        <f t="shared" si="11"/>
        <v>3220.6055677999998</v>
      </c>
    </row>
    <row r="24" spans="1:19">
      <c r="A24" s="4" t="s">
        <v>5</v>
      </c>
      <c r="B24" s="16">
        <f>((((B20*0.00314)*0.5)*'Технический лист'!$I$7)+310+(((B21*0.00314)*0.5)*'Технический лист'!$I$5))*1.96</f>
        <v>2339.2019839999998</v>
      </c>
      <c r="C24" s="16">
        <f>((((C20*0.00314)*0.5)*'Технический лист'!$I$7)+310+(((C21*0.00314)*0.5)*'Технический лист'!$I$5))*1.96</f>
        <v>2457.4033903999998</v>
      </c>
      <c r="D24" s="16">
        <f>((((D20*0.00314)*0.5)*'Технический лист'!$I$7)+310+(((D21*0.00314)*0.5)*'Технический лист'!$I$5))*1.96</f>
        <v>2516.5040936</v>
      </c>
      <c r="E24" s="16">
        <f>((((E20*0.00314)*0.5)*'Технический лист'!$I$7)+310+(((E21*0.00314)*0.5)*'Технический лист'!$I$5))*1.96</f>
        <v>2575.6047968000003</v>
      </c>
      <c r="F24" s="16">
        <f>((((F20*0.00314)*0.5)*'Технический лист'!$I$7)+310+(((F21*0.00314)*0.5)*'Технический лист'!$I$5))*1.96</f>
        <v>2634.7055</v>
      </c>
      <c r="G24" s="16">
        <f>((((G20*0.00314)*0.5)*'Технический лист'!$I$7)+310+(((G21*0.00314)*0.5)*'Технический лист'!$I$5))*1.96</f>
        <v>2693.8062031999998</v>
      </c>
      <c r="H24" s="16">
        <f>((((H20*0.00314)*0.5)*'Технический лист'!$I$7)+310+(((H21*0.00314)*0.5)*'Технический лист'!$I$5))*1.96</f>
        <v>2812.0076095999998</v>
      </c>
      <c r="I24" s="16">
        <f>((((I20*0.00314)*0.5)*'Технический лист'!$I$7)+310+(((I21*0.00314)*0.5)*'Технический лист'!$I$5))*1.96</f>
        <v>2930.2090159999993</v>
      </c>
      <c r="J24" s="16">
        <f>((((J20*0.00314)*0.5)*'Технический лист'!$I$7)+310+(((J21*0.00314)*0.5)*'Технический лист'!$I$5))*1.96</f>
        <v>3048.4104223999998</v>
      </c>
      <c r="K24" s="16">
        <f>((((K20*0.00314)*0.5)*'Технический лист'!$I$7)+310+(((K21*0.00314)*0.5)*'Технический лист'!$I$5))*1.96</f>
        <v>3284.8132351999998</v>
      </c>
      <c r="L24" s="16">
        <f>((((L20*0.00314)*0.5)*'Технический лист'!$I$7)+310+(((L21*0.00314)*0.5)*'Технический лист'!$I$5))*1.96</f>
        <v>3521.2160479999998</v>
      </c>
      <c r="M24" s="16">
        <f>((((M20*0.00314)*0.5)*'Технический лист'!$I$7)+310+(((M21*0.00314)*0.5)*'Технический лист'!$I$5))*1.96</f>
        <v>3757.6188607999993</v>
      </c>
      <c r="N24" s="16">
        <f>((((N20*0.00314)*0.5)*'Технический лист'!$I$7)+310+(((N21*0.00314)*0.5)*'Технический лист'!$I$5))*1.96</f>
        <v>4112.2230799999998</v>
      </c>
      <c r="O24" s="16">
        <f>((((O20*0.00314)*0.5)*'Технический лист'!$I$7)+310+(((O21*0.00314)*0.5)*'Технический лист'!$I$5))*1.96</f>
        <v>4230.4244864000002</v>
      </c>
      <c r="P24" s="16">
        <f>((((P20*0.00314)*0.5)*'Технический лист'!$I$7)+310+(((P21*0.00314)*0.5)*'Технический лист'!$I$5))*1.96</f>
        <v>4348.6258927999997</v>
      </c>
      <c r="Q24" s="16">
        <f>((((Q20*0.00314)*0.5)*'Технический лист'!$I$7)+310+(((Q21*0.00314)*0.5)*'Технический лист'!$I$5))*1.96</f>
        <v>4466.8272992000002</v>
      </c>
      <c r="R24" s="16">
        <f>((((R20*0.00314)*0.5)*'Технический лист'!$I$7)+310+(((R21*0.00314)*0.5)*'Технический лист'!$I$5))*1.96</f>
        <v>4585.0287056000006</v>
      </c>
      <c r="S24" s="16">
        <f>((((S20*0.00314)*0.5)*'Технический лист'!$I$7)+310+(((S21*0.00314)*0.5)*'Технический лист'!$I$5))*1.96</f>
        <v>4703.2301119999993</v>
      </c>
    </row>
    <row r="25" spans="1:19">
      <c r="A25" s="4" t="s">
        <v>96</v>
      </c>
      <c r="B25" s="9">
        <f>((B24*2)/3)-6</f>
        <v>1553.4679893333332</v>
      </c>
      <c r="C25" s="9">
        <f t="shared" ref="C25:N25" si="12">((C24*2)/3)-6</f>
        <v>1632.2689269333332</v>
      </c>
      <c r="D25" s="9">
        <f t="shared" si="12"/>
        <v>1671.6693957333334</v>
      </c>
      <c r="E25" s="9">
        <f t="shared" si="12"/>
        <v>1711.0698645333334</v>
      </c>
      <c r="F25" s="9">
        <f t="shared" si="12"/>
        <v>1750.4703333333334</v>
      </c>
      <c r="G25" s="9">
        <f t="shared" si="12"/>
        <v>1789.8708021333332</v>
      </c>
      <c r="H25" s="9">
        <f t="shared" si="12"/>
        <v>1868.6717397333332</v>
      </c>
      <c r="I25" s="9">
        <f t="shared" si="12"/>
        <v>1947.472677333333</v>
      </c>
      <c r="J25" s="9">
        <f t="shared" si="12"/>
        <v>2026.2736149333332</v>
      </c>
      <c r="K25" s="9">
        <f t="shared" si="12"/>
        <v>2183.8754901333332</v>
      </c>
      <c r="L25" s="9">
        <f t="shared" si="12"/>
        <v>2341.4773653333332</v>
      </c>
      <c r="M25" s="9">
        <f t="shared" si="12"/>
        <v>2499.0792405333327</v>
      </c>
      <c r="N25" s="9">
        <f t="shared" si="12"/>
        <v>2735.4820533333332</v>
      </c>
      <c r="O25" s="9">
        <f t="shared" ref="O25:S25" si="13">((O24*2)/3)-6</f>
        <v>2814.2829909333336</v>
      </c>
      <c r="P25" s="9">
        <f t="shared" si="13"/>
        <v>2893.0839285333332</v>
      </c>
      <c r="Q25" s="9">
        <f t="shared" si="13"/>
        <v>2971.8848661333336</v>
      </c>
      <c r="R25" s="9">
        <f t="shared" si="13"/>
        <v>3050.6858037333336</v>
      </c>
      <c r="S25" s="9">
        <f t="shared" si="13"/>
        <v>3129.4867413333327</v>
      </c>
    </row>
    <row r="26" spans="1:19">
      <c r="A26" s="4" t="s">
        <v>6</v>
      </c>
      <c r="B26" s="16">
        <f>((((B20*0.00314)*0.22)*'Технический лист'!$M$7)+100+(((B21*0.00314)*0.21)*'Технический лист'!$O$5)+(((B20+30)*(B20+30)/1000000)*'Технический лист'!$E$20))*1.96</f>
        <v>1186.08948416</v>
      </c>
      <c r="C26" s="16">
        <f>((((C20*0.00314)*0.22)*'Технический лист'!$M$7)+100+(((C21*0.00314)*0.21)*'Технический лист'!$O$5)+(((C20+30)*(C20+30)/1000000)*'Технический лист'!$E$20))*1.96</f>
        <v>1266.9615647359999</v>
      </c>
      <c r="D26" s="16">
        <f>((((D20*0.00314)*0.22)*'Технический лист'!$M$7)+100+(((D21*0.00314)*0.21)*'Технический лист'!$O$5)+(((D20+30)*(D20+30)/1000000)*'Технический лист'!$E$20))*1.96</f>
        <v>1307.9856050240001</v>
      </c>
      <c r="E26" s="16">
        <f>((((E20*0.00314)*0.22)*'Технический лист'!$M$7)+100+(((E21*0.00314)*0.21)*'Технический лист'!$O$5)+(((E20+30)*(E20+30)/1000000)*'Технический лист'!$E$20))*1.96</f>
        <v>1349.4016453119998</v>
      </c>
      <c r="F26" s="16">
        <f>((((F20*0.00314)*0.22)*'Технический лист'!$M$7)+100+(((F21*0.00314)*0.21)*'Технический лист'!$O$5)+(((F20+30)*(F20+30)/1000000)*'Технический лист'!$E$20))*1.96</f>
        <v>1391.2096856000001</v>
      </c>
      <c r="G26" s="16">
        <f>((((G20*0.00314)*0.22)*'Технический лист'!$M$7)+100+(((G21*0.00314)*0.21)*'Технический лист'!$O$5)+(((G20+30)*(G20+30)/1000000)*'Технический лист'!$E$20))*1.96</f>
        <v>1433.4097258879999</v>
      </c>
      <c r="H26" s="16">
        <f>((((H20*0.00314)*0.22)*'Технический лист'!$M$7)+100+(((H21*0.00314)*0.21)*'Технический лист'!$O$5)+(((H20+30)*(H20+30)/1000000)*'Технический лист'!$E$20))*1.96</f>
        <v>1518.985806464</v>
      </c>
      <c r="I26" s="16">
        <f>((((I20*0.00314)*0.22)*'Технический лист'!$M$7)+100+(((I21*0.00314)*0.21)*'Технический лист'!$O$5)+(((I20+30)*(I20+30)/1000000)*'Технический лист'!$E$20))*1.96</f>
        <v>1606.1298870400001</v>
      </c>
      <c r="J26" s="16">
        <f>((((J20*0.00314)*0.22)*'Технический лист'!$M$7)+100+(((J21*0.00314)*0.21)*'Технический лист'!$O$5)+(((J20+30)*(J20+30)/1000000)*'Технический лист'!$E$20))*1.96</f>
        <v>1694.8419676159997</v>
      </c>
      <c r="K26" s="16">
        <f>((((K20*0.00314)*0.22)*'Технический лист'!$M$7)+100+(((K21*0.00314)*0.21)*'Технический лист'!$O$5)+(((K20+30)*(K20+30)/1000000)*'Технический лист'!$E$20))*1.96</f>
        <v>1876.970128768</v>
      </c>
      <c r="L26" s="16">
        <f>((((L20*0.00314)*0.22)*'Технический лист'!$M$7)+100+(((L21*0.00314)*0.21)*'Технический лист'!$O$5)+(((L20+30)*(L20+30)/1000000)*'Технический лист'!$E$20))*1.96</f>
        <v>2065.3702899199993</v>
      </c>
      <c r="M26" s="16">
        <f>((((M20*0.00314)*0.22)*'Технический лист'!$M$7)+100+(((M21*0.00314)*0.21)*'Технический лист'!$O$5)+(((M20+30)*(M20+30)/1000000)*'Технический лист'!$E$20))*1.96</f>
        <v>2260.0424510719999</v>
      </c>
      <c r="N26" s="16">
        <f>((((N20*0.00314)*0.22)*'Технический лист'!$M$7)+100+(((N21*0.00314)*0.21)*'Технический лист'!$O$5)+(((N20+30)*(N20+30)/1000000)*'Технический лист'!$E$20))*1.96</f>
        <v>2563.8106927999997</v>
      </c>
      <c r="O26" s="16">
        <f>((((O20*0.00314)*0.22)*'Технический лист'!$M$7)+100+(((O21*0.00314)*0.21)*'Технический лист'!$O$5)+(((O20+30)*(O20+30)/1000000)*'Технический лист'!$E$20))*1.96</f>
        <v>2668.2027733760001</v>
      </c>
      <c r="P26" s="16">
        <f>((((P20*0.00314)*0.22)*'Технический лист'!$M$7)+100+(((P21*0.00314)*0.21)*'Технический лист'!$O$5)+(((P20+30)*(P20+30)/1000000)*'Технический лист'!$E$20))*1.96</f>
        <v>2774.1628539519998</v>
      </c>
      <c r="Q26" s="16">
        <f>((((Q20*0.00314)*0.22)*'Технический лист'!$M$7)+100+(((Q21*0.00314)*0.21)*'Технический лист'!$O$5)+(((Q20+30)*(Q20+30)/1000000)*'Технический лист'!$E$20))*1.96</f>
        <v>2881.6909345280001</v>
      </c>
      <c r="R26" s="16">
        <f>((((R20*0.00314)*0.22)*'Технический лист'!$M$7)+100+(((R21*0.00314)*0.21)*'Технический лист'!$O$5)+(((R20+30)*(R20+30)/1000000)*'Технический лист'!$E$20))*1.96</f>
        <v>2990.7870151039992</v>
      </c>
      <c r="S26" s="16">
        <f>((((S20*0.00314)*0.22)*'Технический лист'!$M$7)+100+(((S21*0.00314)*0.21)*'Технический лист'!$O$5)+(((S20+30)*(S20+30)/1000000)*'Технический лист'!$E$20))*1.96</f>
        <v>3101.4510956799995</v>
      </c>
    </row>
    <row r="27" spans="1:19">
      <c r="A27" s="4" t="s">
        <v>7</v>
      </c>
      <c r="B27" s="9">
        <f>(B26*2.2)+24</f>
        <v>2633.3968651520004</v>
      </c>
      <c r="C27" s="9">
        <f t="shared" ref="C27:N27" si="14">(C26*2.2)+24</f>
        <v>2811.3154424191998</v>
      </c>
      <c r="D27" s="9">
        <f t="shared" si="14"/>
        <v>2901.5683310528002</v>
      </c>
      <c r="E27" s="9">
        <f t="shared" si="14"/>
        <v>2992.6836196863997</v>
      </c>
      <c r="F27" s="9">
        <f t="shared" si="14"/>
        <v>3084.6613083200004</v>
      </c>
      <c r="G27" s="9">
        <f t="shared" si="14"/>
        <v>3177.5013969535999</v>
      </c>
      <c r="H27" s="9">
        <f t="shared" si="14"/>
        <v>3365.7687742208004</v>
      </c>
      <c r="I27" s="9">
        <f t="shared" si="14"/>
        <v>3557.4857514880005</v>
      </c>
      <c r="J27" s="9">
        <f t="shared" si="14"/>
        <v>3752.6523287551995</v>
      </c>
      <c r="K27" s="9">
        <f t="shared" si="14"/>
        <v>4153.3342832896005</v>
      </c>
      <c r="L27" s="9">
        <f t="shared" si="14"/>
        <v>4567.814637823999</v>
      </c>
      <c r="M27" s="9">
        <f t="shared" si="14"/>
        <v>4996.0933923584007</v>
      </c>
      <c r="N27" s="9">
        <f t="shared" si="14"/>
        <v>5664.38352416</v>
      </c>
      <c r="O27" s="9">
        <f t="shared" ref="O27:S27" si="15">(O26*2.2)+24</f>
        <v>5894.0461014272005</v>
      </c>
      <c r="P27" s="9">
        <f t="shared" si="15"/>
        <v>6127.1582786944</v>
      </c>
      <c r="Q27" s="9">
        <f t="shared" si="15"/>
        <v>6363.7200559616003</v>
      </c>
      <c r="R27" s="9">
        <f t="shared" si="15"/>
        <v>6603.7314332287988</v>
      </c>
      <c r="S27" s="9">
        <f t="shared" si="15"/>
        <v>6847.1924104959999</v>
      </c>
    </row>
    <row r="28" spans="1:19">
      <c r="A28" s="4" t="s">
        <v>8</v>
      </c>
      <c r="B28" s="16">
        <f>((((B20*0.00314)*0.2)*'Технический лист'!$M$7)+50+(((B21*0.00314)*0.22)*'Технический лист'!$O$5))*1.96</f>
        <v>949.8181952000001</v>
      </c>
      <c r="C28" s="16">
        <f>((((C20*0.00314)*0.2)*'Технический лист'!$M$7)+50+(((C21*0.00314)*0.22)*'Технический лист'!$O$5))*1.96</f>
        <v>1007.7040198400001</v>
      </c>
      <c r="D28" s="16">
        <f>((((D20*0.00314)*0.2)*'Технический лист'!$M$7)+50+(((D21*0.00314)*0.22)*'Технический лист'!$O$5))*1.96</f>
        <v>1036.6469321599998</v>
      </c>
      <c r="E28" s="16">
        <f>((((E20*0.00314)*0.2)*'Технический лист'!$M$7)+50+(((E21*0.00314)*0.22)*'Технический лист'!$O$5))*1.96</f>
        <v>1065.5898444800002</v>
      </c>
      <c r="F28" s="16">
        <f>((((F20*0.00314)*0.2)*'Технический лист'!$M$7)+50+(((F21*0.00314)*0.22)*'Технический лист'!$O$5))*1.96</f>
        <v>1094.5327568</v>
      </c>
      <c r="G28" s="16">
        <f>((((G20*0.00314)*0.2)*'Технический лист'!$M$7)+50+(((G21*0.00314)*0.22)*'Технический лист'!$O$5))*1.96</f>
        <v>1123.47566912</v>
      </c>
      <c r="H28" s="16">
        <f>((((H20*0.00314)*0.2)*'Технический лист'!$M$7)+50+(((H21*0.00314)*0.22)*'Технический лист'!$O$5))*1.96</f>
        <v>1181.3614937600003</v>
      </c>
      <c r="I28" s="16">
        <f>((((I20*0.00314)*0.2)*'Технический лист'!$M$7)+50+(((I21*0.00314)*0.22)*'Технический лист'!$O$5))*1.96</f>
        <v>1239.2473184</v>
      </c>
      <c r="J28" s="16">
        <f>((((J20*0.00314)*0.2)*'Технический лист'!$M$7)+50+(((J21*0.00314)*0.22)*'Технический лист'!$O$5))*1.96</f>
        <v>1297.13314304</v>
      </c>
      <c r="K28" s="16">
        <f>((((K20*0.00314)*0.2)*'Технический лист'!$M$7)+50+(((K21*0.00314)*0.22)*'Технический лист'!$O$5))*1.96</f>
        <v>1412.9047923199998</v>
      </c>
      <c r="L28" s="16">
        <f>((((L20*0.00314)*0.2)*'Технический лист'!$M$7)+50+(((L21*0.00314)*0.22)*'Технический лист'!$O$5))*1.96</f>
        <v>1528.6764415999999</v>
      </c>
      <c r="M28" s="16">
        <f>((((M20*0.00314)*0.2)*'Технический лист'!$M$7)+50+(((M21*0.00314)*0.22)*'Технический лист'!$O$5))*1.96</f>
        <v>1644.4480908799999</v>
      </c>
      <c r="N28" s="16">
        <f>((((N20*0.00314)*0.2)*'Технический лист'!$M$7)+50+(((N21*0.00314)*0.22)*'Технический лист'!$O$5))*1.96</f>
        <v>1818.1055648000001</v>
      </c>
      <c r="O28" s="16">
        <f>((((O20*0.00314)*0.2)*'Технический лист'!$M$7)+50+(((O21*0.00314)*0.22)*'Технический лист'!$O$5))*1.96</f>
        <v>1875.9913894400001</v>
      </c>
      <c r="P28" s="16">
        <f>((((P20*0.00314)*0.2)*'Технический лист'!$M$7)+50+(((P21*0.00314)*0.22)*'Технический лист'!$O$5))*1.96</f>
        <v>1933.8772140799997</v>
      </c>
      <c r="Q28" s="16">
        <f>((((Q20*0.00314)*0.2)*'Технический лист'!$M$7)+50+(((Q21*0.00314)*0.22)*'Технический лист'!$O$5))*1.96</f>
        <v>1991.7630387199997</v>
      </c>
      <c r="R28" s="16">
        <f>((((R20*0.00314)*0.2)*'Технический лист'!$M$7)+50+(((R21*0.00314)*0.22)*'Технический лист'!$O$5))*1.96</f>
        <v>2049.6488633599997</v>
      </c>
      <c r="S28" s="16">
        <f>((((S20*0.00314)*0.2)*'Технический лист'!$M$7)+50+(((S21*0.00314)*0.22)*'Технический лист'!$O$5))*1.96</f>
        <v>2107.5346880000002</v>
      </c>
    </row>
    <row r="29" spans="1:19">
      <c r="A29" s="4" t="s">
        <v>9</v>
      </c>
      <c r="B29" s="9">
        <f>((((B20*0.00314)*((B20+545)/1000))*'Технический лист'!$K$7)+370+((B21*0.00314)*((B21+450)/1000))*'Технический лист'!$K$5)*1.97</f>
        <v>3201.6760243200001</v>
      </c>
      <c r="C29" s="9">
        <f>((((C20*0.00314)*((C20+545)/1000))*'Технический лист'!$K$7)+370+((C21*0.00314)*((C21+450)/1000))*'Технический лист'!$K$5)*1.97</f>
        <v>3410.6531326079999</v>
      </c>
      <c r="D29" s="9">
        <f>((((D20*0.00314)*((D20+545)/1000))*'Технический лист'!$K$7)+370+((D21*0.00314)*((D21+450)/1000))*'Технический лист'!$K$5)*1.97</f>
        <v>3517.0907704739998</v>
      </c>
      <c r="E29" s="9">
        <f>((((E20*0.00314)*((E20+545)/1000))*'Технический лист'!$K$7)+370+((E21*0.00314)*((E21+450)/1000))*'Технический лист'!$K$5)*1.97</f>
        <v>3624.8277974879998</v>
      </c>
      <c r="F29" s="9">
        <f>((((F20*0.00314)*((F20+545)/1000))*'Технический лист'!$K$7)+370+((F21*0.00314)*((F21+450)/1000))*'Технический лист'!$K$5)*1.97</f>
        <v>3733.8642136499998</v>
      </c>
      <c r="G29" s="9">
        <f>((((G20*0.00314)*((G20+545)/1000))*'Технический лист'!$K$7)+370+((G21*0.00314)*((G21+450)/1000))*'Технический лист'!$K$5)*1.97</f>
        <v>3844.2000189599999</v>
      </c>
      <c r="H29" s="9">
        <f>((((H20*0.00314)*((H20+545)/1000))*'Технический лист'!$K$7)+370+((H21*0.00314)*((H21+450)/1000))*'Технический лист'!$K$5)*1.97</f>
        <v>4068.7697970240001</v>
      </c>
      <c r="I29" s="9">
        <f>((((I20*0.00314)*((I20+545)/1000))*'Технический лист'!$K$7)+370+((I21*0.00314)*((I21+450)/1000))*'Технический лист'!$K$5)*1.97</f>
        <v>4298.5371316800001</v>
      </c>
      <c r="J29" s="9">
        <f>((((J20*0.00314)*((J20+545)/1000))*'Технический лист'!$K$7)+370+((J21*0.00314)*((J21+450)/1000))*'Технический лист'!$K$5)*1.97</f>
        <v>4533.5020229279999</v>
      </c>
      <c r="K29" s="9">
        <f>((((K20*0.00314)*((K20+545)/1000))*'Технический лист'!$K$7)+370+((K21*0.00314)*((K21+450)/1000))*'Технический лист'!$K$5)*1.97</f>
        <v>5019.024475199999</v>
      </c>
      <c r="L29" s="9">
        <f>((((L20*0.00314)*((L20+545)/1000))*'Технический лист'!$K$7)+370+((L21*0.00314)*((L21+450)/1000))*'Технический лист'!$K$5)*1.97</f>
        <v>5525.3371538399997</v>
      </c>
      <c r="M29" s="9">
        <f>((((M20*0.00314)*((M20+545)/1000))*'Технический лист'!$K$7)+370+((M21*0.00314)*((M21+450)/1000))*'Технический лист'!$K$5)*1.97</f>
        <v>6052.4400588480003</v>
      </c>
      <c r="N29" s="9">
        <f>((((N20*0.00314)*((N20+545)/1000))*'Технический лист'!$K$7)+370+((N21*0.00314)*((N21+450)/1000))*'Технический лист'!$K$5)*1.97</f>
        <v>6882.0760908000002</v>
      </c>
      <c r="O29" s="9">
        <f>((((O20*0.00314)*((O20+545)/1000))*'Технический лист'!$K$7)+370+((O21*0.00314)*((O21+450)/1000))*'Технический лист'!$K$5)*1.97</f>
        <v>7169.0165479679999</v>
      </c>
      <c r="P29" s="9">
        <f>((((P20*0.00314)*((P20+545)/1000))*'Технический лист'!$K$7)+370+((P21*0.00314)*((P21+450)/1000))*'Технический лист'!$K$5)*1.97</f>
        <v>7461.154561727999</v>
      </c>
      <c r="Q29" s="9">
        <f>((((Q20*0.00314)*((Q20+545)/1000))*'Технический лист'!$K$7)+370+((Q21*0.00314)*((Q21+450)/1000))*'Технический лист'!$K$5)*1.97</f>
        <v>7758.49013208</v>
      </c>
      <c r="R29" s="9">
        <f>((((R20*0.00314)*((R20+545)/1000))*'Технический лист'!$K$7)+370+((R21*0.00314)*((R21+450)/1000))*'Технический лист'!$K$5)*1.97</f>
        <v>8061.0232590239984</v>
      </c>
      <c r="S29" s="9">
        <f>((((S20*0.00314)*((S20+545)/1000))*'Технический лист'!$K$7)+370+((S21*0.00314)*((S21+450)/1000))*'Технический лист'!$K$5)*1.97</f>
        <v>8368.7539425599971</v>
      </c>
    </row>
    <row r="30" spans="1:19" hidden="1">
      <c r="A30" s="4" t="s">
        <v>8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>
      <c r="A31" s="4" t="s">
        <v>119</v>
      </c>
      <c r="B31" s="16">
        <v>2100</v>
      </c>
      <c r="C31" s="16">
        <v>2100</v>
      </c>
      <c r="D31" s="16">
        <v>2100</v>
      </c>
      <c r="E31" s="16">
        <v>2100</v>
      </c>
      <c r="F31" s="16">
        <v>2100</v>
      </c>
      <c r="G31" s="16">
        <v>2100</v>
      </c>
      <c r="H31" s="16">
        <v>2100</v>
      </c>
      <c r="I31" s="16">
        <v>2100</v>
      </c>
      <c r="J31" s="16">
        <v>2100</v>
      </c>
      <c r="K31" s="16">
        <v>2100</v>
      </c>
      <c r="L31" s="16">
        <v>2100</v>
      </c>
      <c r="M31" s="16">
        <v>2100</v>
      </c>
      <c r="N31" s="16">
        <v>2100</v>
      </c>
      <c r="O31" s="16">
        <v>2100</v>
      </c>
      <c r="P31" s="16">
        <v>2100</v>
      </c>
      <c r="Q31" s="16">
        <v>2100</v>
      </c>
      <c r="R31" s="16">
        <v>2100</v>
      </c>
      <c r="S31" s="16">
        <v>2100</v>
      </c>
    </row>
  </sheetData>
  <mergeCells count="6">
    <mergeCell ref="A19:N19"/>
    <mergeCell ref="A1:C1"/>
    <mergeCell ref="D1:O1"/>
    <mergeCell ref="D2:O2"/>
    <mergeCell ref="D3:O3"/>
    <mergeCell ref="A5:O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S31"/>
  <sheetViews>
    <sheetView zoomScale="80" zoomScaleNormal="80" workbookViewId="0">
      <selection activeCell="B31" sqref="B31:S31"/>
    </sheetView>
  </sheetViews>
  <sheetFormatPr defaultRowHeight="14.4"/>
  <cols>
    <col min="1" max="1" width="26.6640625" customWidth="1"/>
    <col min="2" max="19" width="6.33203125" customWidth="1"/>
  </cols>
  <sheetData>
    <row r="1" spans="1:19" ht="45" customHeight="1">
      <c r="A1" s="32"/>
      <c r="B1" s="32"/>
      <c r="C1" s="32"/>
      <c r="D1" s="40" t="s">
        <v>94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1"/>
      <c r="Q1" s="1"/>
    </row>
    <row r="2" spans="1:19" ht="15" customHeight="1">
      <c r="D2" s="34" t="s">
        <v>95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1"/>
    </row>
    <row r="3" spans="1:19" ht="15" customHeight="1">
      <c r="D3" s="34" t="s">
        <v>112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9" ht="2.25" customHeight="1"/>
    <row r="5" spans="1:19">
      <c r="A5" s="41" t="s">
        <v>107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1:19">
      <c r="A6" s="3" t="s">
        <v>0</v>
      </c>
      <c r="B6" s="10">
        <v>100</v>
      </c>
      <c r="C6" s="10">
        <v>110</v>
      </c>
      <c r="D6" s="10">
        <v>115</v>
      </c>
      <c r="E6" s="10">
        <v>120</v>
      </c>
      <c r="F6" s="10">
        <v>125</v>
      </c>
      <c r="G6" s="10">
        <v>130</v>
      </c>
      <c r="H6" s="10">
        <v>140</v>
      </c>
      <c r="I6" s="10">
        <v>150</v>
      </c>
      <c r="J6" s="10">
        <v>160</v>
      </c>
      <c r="K6" s="10">
        <v>180</v>
      </c>
      <c r="L6" s="10">
        <v>200</v>
      </c>
      <c r="M6" s="10">
        <v>220</v>
      </c>
      <c r="N6" s="10">
        <v>250</v>
      </c>
      <c r="O6" s="10">
        <v>260</v>
      </c>
      <c r="P6" s="10">
        <v>270</v>
      </c>
      <c r="Q6" s="10">
        <v>280</v>
      </c>
      <c r="R6" s="10">
        <v>290</v>
      </c>
      <c r="S6" s="10">
        <v>300</v>
      </c>
    </row>
    <row r="7" spans="1:19">
      <c r="A7" s="3" t="s">
        <v>1</v>
      </c>
      <c r="B7" s="10">
        <f>B6+100</f>
        <v>200</v>
      </c>
      <c r="C7" s="10">
        <f t="shared" ref="C7:N7" si="0">C6+100</f>
        <v>210</v>
      </c>
      <c r="D7" s="10">
        <f t="shared" si="0"/>
        <v>215</v>
      </c>
      <c r="E7" s="10">
        <f t="shared" si="0"/>
        <v>220</v>
      </c>
      <c r="F7" s="10">
        <f t="shared" si="0"/>
        <v>225</v>
      </c>
      <c r="G7" s="10">
        <f t="shared" si="0"/>
        <v>230</v>
      </c>
      <c r="H7" s="10">
        <f t="shared" si="0"/>
        <v>240</v>
      </c>
      <c r="I7" s="10">
        <f t="shared" si="0"/>
        <v>250</v>
      </c>
      <c r="J7" s="10">
        <f t="shared" si="0"/>
        <v>260</v>
      </c>
      <c r="K7" s="10">
        <f t="shared" si="0"/>
        <v>280</v>
      </c>
      <c r="L7" s="10">
        <f t="shared" si="0"/>
        <v>300</v>
      </c>
      <c r="M7" s="10">
        <f t="shared" si="0"/>
        <v>320</v>
      </c>
      <c r="N7" s="10">
        <f t="shared" si="0"/>
        <v>350</v>
      </c>
      <c r="O7" s="10">
        <f t="shared" ref="O7:S7" si="1">O6+100</f>
        <v>360</v>
      </c>
      <c r="P7" s="10">
        <f t="shared" si="1"/>
        <v>370</v>
      </c>
      <c r="Q7" s="10">
        <f t="shared" si="1"/>
        <v>380</v>
      </c>
      <c r="R7" s="10">
        <f t="shared" si="1"/>
        <v>390</v>
      </c>
      <c r="S7" s="10">
        <f t="shared" si="1"/>
        <v>400</v>
      </c>
    </row>
    <row r="8" spans="1:19">
      <c r="A8" s="4" t="s">
        <v>4</v>
      </c>
      <c r="B8" s="16">
        <f>(((B6*0.00314)*'Технический лист'!$G$8)+365+((B7*0.00314)*'Технический лист'!$G$11))*1.95</f>
        <v>2405.2339662337658</v>
      </c>
      <c r="C8" s="16">
        <f>(((C6*0.00314)*'Технический лист'!$G$8)+365+((C7*0.00314)*'Технический лист'!$G$11))*1.95</f>
        <v>2552.9273528571421</v>
      </c>
      <c r="D8" s="16">
        <f>(((D6*0.00314)*'Технический лист'!$G$8)+365+((D7*0.00314)*'Технический лист'!$G$11))*1.95</f>
        <v>2626.7740461688309</v>
      </c>
      <c r="E8" s="16">
        <f>(((E6*0.00314)*'Технический лист'!$G$8)+365+((E7*0.00314)*'Технический лист'!$G$11))*1.95</f>
        <v>2700.6207394805197</v>
      </c>
      <c r="F8" s="16">
        <f>(((F6*0.00314)*'Технический лист'!$G$8)+365+((F7*0.00314)*'Технический лист'!$G$11))*1.95</f>
        <v>2774.4674327922075</v>
      </c>
      <c r="G8" s="16">
        <f>(((G6*0.00314)*'Технический лист'!$G$8)+365+((G7*0.00314)*'Технический лист'!$G$11))*1.95</f>
        <v>2848.3141261038954</v>
      </c>
      <c r="H8" s="16">
        <f>(((H6*0.00314)*'Технический лист'!$G$8)+365+((H7*0.00314)*'Технический лист'!$G$11))*1.95</f>
        <v>2996.0075127272721</v>
      </c>
      <c r="I8" s="16">
        <f>(((I6*0.00314)*'Технический лист'!$G$8)+365+((I7*0.00314)*'Технический лист'!$G$11))*1.95</f>
        <v>3143.7008993506493</v>
      </c>
      <c r="J8" s="16">
        <f>(((J6*0.00314)*'Технический лист'!$G$8)+365+((J7*0.00314)*'Технический лист'!$G$11))*1.95</f>
        <v>3291.3942859740255</v>
      </c>
      <c r="K8" s="16">
        <f>(((K6*0.00314)*'Технический лист'!$G$8)+365+((K7*0.00314)*'Технический лист'!$G$11))*1.95</f>
        <v>3586.7810592207793</v>
      </c>
      <c r="L8" s="16">
        <f>(((L6*0.00314)*'Технический лист'!$G$8)+365+((L7*0.00314)*'Технический лист'!$G$11))*1.95</f>
        <v>3882.1678324675322</v>
      </c>
      <c r="M8" s="16">
        <f>(((M6*0.00314)*'Технический лист'!$G$8)+365+((M7*0.00314)*'Технический лист'!$G$11))*1.95</f>
        <v>4177.5546057142856</v>
      </c>
      <c r="N8" s="16">
        <f>(((N6*0.00314)*'Технический лист'!$G$8)+365+((N7*0.00314)*'Технический лист'!$G$11))*1.95</f>
        <v>4620.6347655844147</v>
      </c>
      <c r="O8" s="16">
        <f>(((O6*0.00314)*'Технический лист'!$G$8)+365+((O7*0.00314)*'Технический лист'!$G$11))*1.95</f>
        <v>4768.3281522077923</v>
      </c>
      <c r="P8" s="16">
        <f>(((P6*0.00314)*'Технический лист'!$G$8)+365+((P7*0.00314)*'Технический лист'!$G$11))*1.95</f>
        <v>4916.021538831169</v>
      </c>
      <c r="Q8" s="16">
        <f>(((Q6*0.00314)*'Технический лист'!$G$8)+365+((Q7*0.00314)*'Технический лист'!$G$11))*1.95</f>
        <v>5063.7149254545448</v>
      </c>
      <c r="R8" s="16">
        <f>(((R6*0.00314)*'Технический лист'!$G$8)+365+((R7*0.00314)*'Технический лист'!$G$11))*1.95</f>
        <v>5211.4083120779205</v>
      </c>
      <c r="S8" s="16">
        <f>(((S6*0.00314)*'Технический лист'!$G$8)+365+((S7*0.00314)*'Технический лист'!$G$11))*1.95</f>
        <v>5359.1016987012981</v>
      </c>
    </row>
    <row r="9" spans="1:19">
      <c r="A9" s="4" t="s">
        <v>3</v>
      </c>
      <c r="B9" s="9">
        <f>((B8/2)*1.07)-10</f>
        <v>1276.8001719350648</v>
      </c>
      <c r="C9" s="9">
        <f t="shared" ref="C9:N9" si="2">((C8/2)*1.07)-10</f>
        <v>1355.8161337785712</v>
      </c>
      <c r="D9" s="9">
        <f t="shared" si="2"/>
        <v>1395.3241147003246</v>
      </c>
      <c r="E9" s="9">
        <f t="shared" si="2"/>
        <v>1434.8320956220782</v>
      </c>
      <c r="F9" s="9">
        <f t="shared" si="2"/>
        <v>1474.3400765438312</v>
      </c>
      <c r="G9" s="9">
        <f t="shared" si="2"/>
        <v>1513.8480574655841</v>
      </c>
      <c r="H9" s="9">
        <f t="shared" si="2"/>
        <v>1592.8640193090907</v>
      </c>
      <c r="I9" s="9">
        <f t="shared" si="2"/>
        <v>1671.8799811525973</v>
      </c>
      <c r="J9" s="9">
        <f t="shared" si="2"/>
        <v>1750.8959429961037</v>
      </c>
      <c r="K9" s="9">
        <f t="shared" si="2"/>
        <v>1908.9278666831171</v>
      </c>
      <c r="L9" s="9">
        <f t="shared" si="2"/>
        <v>2066.9597903701297</v>
      </c>
      <c r="M9" s="9">
        <f t="shared" si="2"/>
        <v>2224.9917140571429</v>
      </c>
      <c r="N9" s="9">
        <f t="shared" si="2"/>
        <v>2462.039599587662</v>
      </c>
      <c r="O9" s="9">
        <f t="shared" ref="O9:S9" si="3">((O8/2)*1.07)-10</f>
        <v>2541.0555614311688</v>
      </c>
      <c r="P9" s="9">
        <f t="shared" si="3"/>
        <v>2620.0715232746757</v>
      </c>
      <c r="Q9" s="9">
        <f t="shared" si="3"/>
        <v>2699.0874851181816</v>
      </c>
      <c r="R9" s="9">
        <f t="shared" si="3"/>
        <v>2778.1034469616875</v>
      </c>
      <c r="S9" s="9">
        <f t="shared" si="3"/>
        <v>2857.1194088051948</v>
      </c>
    </row>
    <row r="10" spans="1:19">
      <c r="A10" s="4" t="s">
        <v>5</v>
      </c>
      <c r="B10" s="16">
        <f>((((B6*0.00314)*0.5)*'Технический лист'!$I$8)+310+(((B7*0.00314)*0.5)*'Технический лист'!$I$11))*1.96</f>
        <v>1926.4186496969696</v>
      </c>
      <c r="C10" s="16">
        <f>((((C6*0.00314)*0.5)*'Технический лист'!$I$8)+310+(((C7*0.00314)*0.5)*'Технический лист'!$I$11))*1.96</f>
        <v>2037.4165839999998</v>
      </c>
      <c r="D10" s="16">
        <f>((((D6*0.00314)*0.5)*'Технический лист'!$I$8)+310+(((D7*0.00314)*0.5)*'Технический лист'!$I$11))*1.96</f>
        <v>2092.915551151515</v>
      </c>
      <c r="E10" s="16">
        <f>((((E6*0.00314)*0.5)*'Технический лист'!$I$8)+310+(((E7*0.00314)*0.5)*'Технический лист'!$I$11))*1.96</f>
        <v>2148.41451830303</v>
      </c>
      <c r="F10" s="16">
        <f>((((F6*0.00314)*0.5)*'Технический лист'!$I$8)+310+(((F7*0.00314)*0.5)*'Технический лист'!$I$11))*1.96</f>
        <v>2203.9134854545455</v>
      </c>
      <c r="G10" s="16">
        <f>((((G6*0.00314)*0.5)*'Технический лист'!$I$8)+310+(((G7*0.00314)*0.5)*'Технический лист'!$I$11))*1.96</f>
        <v>2259.4124526060605</v>
      </c>
      <c r="H10" s="16">
        <f>((((H6*0.00314)*0.5)*'Технический лист'!$I$8)+310+(((H7*0.00314)*0.5)*'Технический лист'!$I$11))*1.96</f>
        <v>2370.4103869090909</v>
      </c>
      <c r="I10" s="16">
        <f>((((I6*0.00314)*0.5)*'Технический лист'!$I$8)+310+(((I7*0.00314)*0.5)*'Технический лист'!$I$11))*1.96</f>
        <v>2481.4083212121209</v>
      </c>
      <c r="J10" s="16">
        <f>((((J6*0.00314)*0.5)*'Технический лист'!$I$8)+310+(((J7*0.00314)*0.5)*'Технический лист'!$I$11))*1.96</f>
        <v>2592.4062555151513</v>
      </c>
      <c r="K10" s="16">
        <f>((((K6*0.00314)*0.5)*'Технический лист'!$I$8)+310+(((K7*0.00314)*0.5)*'Технический лист'!$I$11))*1.96</f>
        <v>2814.4021241212122</v>
      </c>
      <c r="L10" s="16">
        <f>((((L6*0.00314)*0.5)*'Технический лист'!$I$8)+310+(((L7*0.00314)*0.5)*'Технический лист'!$I$11))*1.96</f>
        <v>3036.3979927272726</v>
      </c>
      <c r="M10" s="16">
        <f>((((M6*0.00314)*0.5)*'Технический лист'!$I$8)+310+(((M7*0.00314)*0.5)*'Технический лист'!$I$11))*1.96</f>
        <v>3258.3938613333326</v>
      </c>
      <c r="N10" s="16">
        <f>((((N6*0.00314)*0.5)*'Технический лист'!$I$8)+310+(((N7*0.00314)*0.5)*'Технический лист'!$I$11))*1.96</f>
        <v>3591.3876642424243</v>
      </c>
      <c r="O10" s="16">
        <f>((((O6*0.00314)*0.5)*'Технический лист'!$I$8)+310+(((O7*0.00314)*0.5)*'Технический лист'!$I$11))*1.96</f>
        <v>3702.3855985454547</v>
      </c>
      <c r="P10" s="16">
        <f>((((P6*0.00314)*0.5)*'Технический лист'!$I$8)+310+(((P7*0.00314)*0.5)*'Технический лист'!$I$11))*1.96</f>
        <v>3813.3835328484847</v>
      </c>
      <c r="Q10" s="16">
        <f>((((Q6*0.00314)*0.5)*'Технический лист'!$I$8)+310+(((Q7*0.00314)*0.5)*'Технический лист'!$I$11))*1.96</f>
        <v>3924.3814671515152</v>
      </c>
      <c r="R10" s="16">
        <f>((((R6*0.00314)*0.5)*'Технический лист'!$I$8)+310+(((R7*0.00314)*0.5)*'Технический лист'!$I$11))*1.96</f>
        <v>4035.3794014545451</v>
      </c>
      <c r="S10" s="16">
        <f>((((S6*0.00314)*0.5)*'Технический лист'!$I$8)+310+(((S7*0.00314)*0.5)*'Технический лист'!$I$11))*1.96</f>
        <v>4146.3773357575756</v>
      </c>
    </row>
    <row r="11" spans="1:19">
      <c r="A11" s="4" t="s">
        <v>96</v>
      </c>
      <c r="B11" s="9">
        <f>((B10*2)/3)-6</f>
        <v>1278.2790997979798</v>
      </c>
      <c r="C11" s="9">
        <f t="shared" ref="C11:N11" si="4">((C10*2)/3)-6</f>
        <v>1352.2777226666665</v>
      </c>
      <c r="D11" s="9">
        <f t="shared" si="4"/>
        <v>1389.27703410101</v>
      </c>
      <c r="E11" s="9">
        <f t="shared" si="4"/>
        <v>1426.2763455353534</v>
      </c>
      <c r="F11" s="9">
        <f t="shared" si="4"/>
        <v>1463.2756569696969</v>
      </c>
      <c r="G11" s="9">
        <f t="shared" si="4"/>
        <v>1500.2749684040402</v>
      </c>
      <c r="H11" s="9">
        <f t="shared" si="4"/>
        <v>1574.2735912727273</v>
      </c>
      <c r="I11" s="9">
        <f t="shared" si="4"/>
        <v>1648.272214141414</v>
      </c>
      <c r="J11" s="9">
        <f t="shared" si="4"/>
        <v>1722.2708370101009</v>
      </c>
      <c r="K11" s="9">
        <f t="shared" si="4"/>
        <v>1870.2680827474749</v>
      </c>
      <c r="L11" s="9">
        <f t="shared" si="4"/>
        <v>2018.2653284848484</v>
      </c>
      <c r="M11" s="9">
        <f t="shared" si="4"/>
        <v>2166.2625742222217</v>
      </c>
      <c r="N11" s="9">
        <f t="shared" si="4"/>
        <v>2388.258442828283</v>
      </c>
      <c r="O11" s="9">
        <f t="shared" ref="O11:S11" si="5">((O10*2)/3)-6</f>
        <v>2462.2570656969697</v>
      </c>
      <c r="P11" s="9">
        <f t="shared" si="5"/>
        <v>2536.2556885656563</v>
      </c>
      <c r="Q11" s="9">
        <f t="shared" si="5"/>
        <v>2610.2543114343434</v>
      </c>
      <c r="R11" s="9">
        <f t="shared" si="5"/>
        <v>2684.2529343030301</v>
      </c>
      <c r="S11" s="9">
        <f t="shared" si="5"/>
        <v>2758.2515571717172</v>
      </c>
    </row>
    <row r="12" spans="1:19">
      <c r="A12" s="4" t="s">
        <v>6</v>
      </c>
      <c r="B12" s="16">
        <f>((((B6*0.00314)*0.22)*'Технический лист'!$M$8)+100+(((B7*0.00314)*0.21)*'Технический лист'!$O$11)+(((B6+30)*(B6+30)/1000000)*'Технический лист'!$E$20))*1.96</f>
        <v>1041.7276575999999</v>
      </c>
      <c r="C12" s="16">
        <f>((((C6*0.00314)*0.22)*'Технический лист'!$M$8)+100+(((C7*0.00314)*0.21)*'Технический лист'!$O$11)+(((C6+30)*(C6+30)/1000000)*'Технический лист'!$E$20))*1.96</f>
        <v>1120.27787648</v>
      </c>
      <c r="D12" s="16">
        <f>((((D6*0.00314)*0.22)*'Технический лист'!$M$8)+100+(((D7*0.00314)*0.21)*'Технический лист'!$O$11)+(((D6+30)*(D6+30)/1000000)*'Технический лист'!$E$20))*1.96</f>
        <v>1160.1409859200003</v>
      </c>
      <c r="E12" s="16">
        <f>((((E6*0.00314)*0.22)*'Технический лист'!$M$8)+100+(((E7*0.00314)*0.21)*'Технический лист'!$O$11)+(((E6+30)*(E6+30)/1000000)*'Технический лист'!$E$20))*1.96</f>
        <v>1200.3960953600001</v>
      </c>
      <c r="F12" s="16">
        <f>((((F6*0.00314)*0.22)*'Технический лист'!$M$8)+100+(((F7*0.00314)*0.21)*'Технический лист'!$O$11)+(((F6+30)*(F6+30)/1000000)*'Технический лист'!$E$20))*1.96</f>
        <v>1241.0432048000002</v>
      </c>
      <c r="G12" s="16">
        <f>((((G6*0.00314)*0.22)*'Технический лист'!$M$8)+100+(((G7*0.00314)*0.21)*'Технический лист'!$O$11)+(((G6+30)*(G6+30)/1000000)*'Технический лист'!$E$20))*1.96</f>
        <v>1282.08231424</v>
      </c>
      <c r="H12" s="16">
        <f>((((H6*0.00314)*0.22)*'Технический лист'!$M$8)+100+(((H7*0.00314)*0.21)*'Технический лист'!$O$11)+(((H6+30)*(H6+30)/1000000)*'Технический лист'!$E$20))*1.96</f>
        <v>1365.33653312</v>
      </c>
      <c r="I12" s="16">
        <f>((((I6*0.00314)*0.22)*'Технический лист'!$M$8)+100+(((I7*0.00314)*0.21)*'Технический лист'!$O$11)+(((I6+30)*(I6+30)/1000000)*'Технический лист'!$E$20))*1.96</f>
        <v>1450.158752</v>
      </c>
      <c r="J12" s="16">
        <f>((((J6*0.00314)*0.22)*'Технический лист'!$M$8)+100+(((J7*0.00314)*0.21)*'Технический лист'!$O$11)+(((J6+30)*(J6+30)/1000000)*'Технический лист'!$E$20))*1.96</f>
        <v>1536.5489708799998</v>
      </c>
      <c r="K12" s="16">
        <f>((((K6*0.00314)*0.22)*'Технический лист'!$M$8)+100+(((K7*0.00314)*0.21)*'Технический лист'!$O$11)+(((K6+30)*(K6+30)/1000000)*'Технический лист'!$E$20))*1.96</f>
        <v>1714.0334086399998</v>
      </c>
      <c r="L12" s="16">
        <f>((((L6*0.00314)*0.22)*'Технический лист'!$M$8)+100+(((L7*0.00314)*0.21)*'Технический лист'!$O$11)+(((L6+30)*(L6+30)/1000000)*'Технический лист'!$E$20))*1.96</f>
        <v>1897.7898463999998</v>
      </c>
      <c r="M12" s="16">
        <f>((((M6*0.00314)*0.22)*'Технический лист'!$M$8)+100+(((M7*0.00314)*0.21)*'Технический лист'!$O$11)+(((M6+30)*(M6+30)/1000000)*'Технический лист'!$E$20))*1.96</f>
        <v>2087.8182841600001</v>
      </c>
      <c r="N12" s="16">
        <f>((((N6*0.00314)*0.22)*'Технический лист'!$M$8)+100+(((N7*0.00314)*0.21)*'Технический лист'!$O$11)+(((N6+30)*(N6+30)/1000000)*'Технический лист'!$E$20))*1.96</f>
        <v>2384.6209408</v>
      </c>
      <c r="O12" s="16">
        <f>((((O6*0.00314)*0.22)*'Технический лист'!$M$8)+100+(((O7*0.00314)*0.21)*'Технический лист'!$O$11)+(((O6+30)*(O6+30)/1000000)*'Технический лист'!$E$20))*1.96</f>
        <v>2486.6911596800005</v>
      </c>
      <c r="P12" s="16">
        <f>((((P6*0.00314)*0.22)*'Технический лист'!$M$8)+100+(((P7*0.00314)*0.21)*'Технический лист'!$O$11)+(((P6+30)*(P6+30)/1000000)*'Технический лист'!$E$20))*1.96</f>
        <v>2590.3293785599999</v>
      </c>
      <c r="Q12" s="16">
        <f>((((Q6*0.00314)*0.22)*'Технический лист'!$M$8)+100+(((Q7*0.00314)*0.21)*'Технический лист'!$O$11)+(((Q6+30)*(Q6+30)/1000000)*'Технический лист'!$E$20))*1.96</f>
        <v>2695.5355974399999</v>
      </c>
      <c r="R12" s="16">
        <f>((((R6*0.00314)*0.22)*'Технический лист'!$M$8)+100+(((R7*0.00314)*0.21)*'Технический лист'!$O$11)+(((R6+30)*(R6+30)/1000000)*'Технический лист'!$E$20))*1.96</f>
        <v>2802.3098163199998</v>
      </c>
      <c r="S12" s="16">
        <f>((((S6*0.00314)*0.22)*'Технический лист'!$M$8)+100+(((S7*0.00314)*0.21)*'Технический лист'!$O$11)+(((S6+30)*(S6+30)/1000000)*'Технический лист'!$E$20))*1.96</f>
        <v>2910.6520351999993</v>
      </c>
    </row>
    <row r="13" spans="1:19">
      <c r="A13" s="4" t="s">
        <v>7</v>
      </c>
      <c r="B13" s="9">
        <f>(B12*2.2)+24</f>
        <v>2315.8008467200002</v>
      </c>
      <c r="C13" s="9">
        <f t="shared" ref="C13:N13" si="6">(C12*2.2)+24</f>
        <v>2488.6113282560004</v>
      </c>
      <c r="D13" s="9">
        <f t="shared" si="6"/>
        <v>2576.310169024001</v>
      </c>
      <c r="E13" s="9">
        <f t="shared" si="6"/>
        <v>2664.8714097920006</v>
      </c>
      <c r="F13" s="9">
        <f t="shared" si="6"/>
        <v>2754.2950505600006</v>
      </c>
      <c r="G13" s="9">
        <f t="shared" si="6"/>
        <v>2844.5810913280002</v>
      </c>
      <c r="H13" s="9">
        <f t="shared" si="6"/>
        <v>3027.7403728640002</v>
      </c>
      <c r="I13" s="9">
        <f t="shared" si="6"/>
        <v>3214.3492544000005</v>
      </c>
      <c r="J13" s="9">
        <f t="shared" si="6"/>
        <v>3404.4077359359999</v>
      </c>
      <c r="K13" s="9">
        <f t="shared" si="6"/>
        <v>3794.8734990079997</v>
      </c>
      <c r="L13" s="9">
        <f t="shared" si="6"/>
        <v>4199.1376620800002</v>
      </c>
      <c r="M13" s="9">
        <f t="shared" si="6"/>
        <v>4617.2002251520007</v>
      </c>
      <c r="N13" s="9">
        <f t="shared" si="6"/>
        <v>5270.16606976</v>
      </c>
      <c r="O13" s="9">
        <f t="shared" ref="O13:S13" si="7">(O12*2.2)+24</f>
        <v>5494.7205512960018</v>
      </c>
      <c r="P13" s="9">
        <f t="shared" si="7"/>
        <v>5722.7246328320007</v>
      </c>
      <c r="Q13" s="9">
        <f t="shared" si="7"/>
        <v>5954.1783143680004</v>
      </c>
      <c r="R13" s="9">
        <f t="shared" si="7"/>
        <v>6189.0815959040001</v>
      </c>
      <c r="S13" s="9">
        <f t="shared" si="7"/>
        <v>6427.4344774399988</v>
      </c>
    </row>
    <row r="14" spans="1:19">
      <c r="A14" s="4" t="s">
        <v>8</v>
      </c>
      <c r="B14" s="16">
        <f>((((B6*0.00314)*0.2)*'Технический лист'!$M$8)+50+(((B7*0.00314)*0.22)*'Технический лист'!$O$11))*1.96</f>
        <v>785.01668441212121</v>
      </c>
      <c r="C14" s="16">
        <f>((((C6*0.00314)*0.2)*'Технический лист'!$M$8)+50+(((C7*0.00314)*0.22)*'Технический лист'!$O$11))*1.96</f>
        <v>839.11355135999986</v>
      </c>
      <c r="D14" s="16">
        <f>((((D6*0.00314)*0.2)*'Технический лист'!$M$8)+50+(((D7*0.00314)*0.22)*'Технический лист'!$O$11))*1.96</f>
        <v>866.16198483393941</v>
      </c>
      <c r="E14" s="16">
        <f>((((E6*0.00314)*0.2)*'Технический лист'!$M$8)+50+(((E7*0.00314)*0.22)*'Технический лист'!$O$11))*1.96</f>
        <v>893.21041830787897</v>
      </c>
      <c r="F14" s="16">
        <f>((((F6*0.00314)*0.2)*'Технический лист'!$M$8)+50+(((F7*0.00314)*0.22)*'Технический лист'!$O$11))*1.96</f>
        <v>920.25885178181841</v>
      </c>
      <c r="G14" s="16">
        <f>((((G6*0.00314)*0.2)*'Технический лист'!$M$8)+50+(((G7*0.00314)*0.22)*'Технический лист'!$O$11))*1.96</f>
        <v>947.30728525575762</v>
      </c>
      <c r="H14" s="16">
        <f>((((H6*0.00314)*0.2)*'Технический лист'!$M$8)+50+(((H7*0.00314)*0.22)*'Технический лист'!$O$11))*1.96</f>
        <v>1001.4041522036364</v>
      </c>
      <c r="I14" s="16">
        <f>((((I6*0.00314)*0.2)*'Технический лист'!$M$8)+50+(((I7*0.00314)*0.22)*'Технический лист'!$O$11))*1.96</f>
        <v>1055.501019151515</v>
      </c>
      <c r="J14" s="16">
        <f>((((J6*0.00314)*0.2)*'Технический лист'!$M$8)+50+(((J7*0.00314)*0.22)*'Технический лист'!$O$11))*1.96</f>
        <v>1109.5978860993939</v>
      </c>
      <c r="K14" s="16">
        <f>((((K6*0.00314)*0.2)*'Технический лист'!$M$8)+50+(((K7*0.00314)*0.22)*'Технический лист'!$O$11))*1.96</f>
        <v>1217.7916199951517</v>
      </c>
      <c r="L14" s="16">
        <f>((((L6*0.00314)*0.2)*'Технический лист'!$M$8)+50+(((L7*0.00314)*0.22)*'Технический лист'!$O$11))*1.96</f>
        <v>1325.9853538909092</v>
      </c>
      <c r="M14" s="16">
        <f>((((M6*0.00314)*0.2)*'Технический лист'!$M$8)+50+(((M7*0.00314)*0.22)*'Технический лист'!$O$11))*1.96</f>
        <v>1434.1790877866665</v>
      </c>
      <c r="N14" s="16">
        <f>((((N6*0.00314)*0.2)*'Технический лист'!$M$8)+50+(((N7*0.00314)*0.22)*'Технический лист'!$O$11))*1.96</f>
        <v>1596.4696886303034</v>
      </c>
      <c r="O14" s="16">
        <f>((((O6*0.00314)*0.2)*'Технический лист'!$M$8)+50+(((O7*0.00314)*0.22)*'Технический лист'!$O$11))*1.96</f>
        <v>1650.5665555781818</v>
      </c>
      <c r="P14" s="16">
        <f>((((P6*0.00314)*0.2)*'Технический лист'!$M$8)+50+(((P7*0.00314)*0.22)*'Технический лист'!$O$11))*1.96</f>
        <v>1704.6634225260609</v>
      </c>
      <c r="Q14" s="16">
        <f>((((Q6*0.00314)*0.2)*'Технический лист'!$M$8)+50+(((Q7*0.00314)*0.22)*'Технический лист'!$O$11))*1.96</f>
        <v>1758.7602894739393</v>
      </c>
      <c r="R14" s="16">
        <f>((((R6*0.00314)*0.2)*'Технический лист'!$M$8)+50+(((R7*0.00314)*0.22)*'Технический лист'!$O$11))*1.96</f>
        <v>1812.857156421818</v>
      </c>
      <c r="S14" s="16">
        <f>((((S6*0.00314)*0.2)*'Технический лист'!$M$8)+50+(((S7*0.00314)*0.22)*'Технический лист'!$O$11))*1.96</f>
        <v>1866.9540233696969</v>
      </c>
    </row>
    <row r="15" spans="1:19">
      <c r="A15" s="4" t="s">
        <v>9</v>
      </c>
      <c r="B15" s="9">
        <f>((((B6*0.00314)*((B6+545)/1000))*'Технический лист'!$K$8)+370+((B7*0.00314)*((B7+450)/1000))*'Технический лист'!$K$11)*1.97</f>
        <v>2455.0236572640692</v>
      </c>
      <c r="C15" s="9">
        <f>((((C6*0.00314)*((C6+545)/1000))*'Технический лист'!$K$8)+370+((C7*0.00314)*((C7+450)/1000))*'Технический лист'!$K$11)*1.97</f>
        <v>2629.2947599885715</v>
      </c>
      <c r="D15" s="9">
        <f>((((D6*0.00314)*((D6+545)/1000))*'Технический лист'!$K$8)+370+((D7*0.00314)*((D7+450)/1000))*'Технический лист'!$K$11)*1.97</f>
        <v>2718.1176931552382</v>
      </c>
      <c r="E15" s="9">
        <f>((((E6*0.00314)*((E6+545)/1000))*'Технический лист'!$K$8)+370+((E7*0.00314)*((E7+450)/1000))*'Технический лист'!$K$11)*1.97</f>
        <v>2808.0655475248482</v>
      </c>
      <c r="F15" s="9">
        <f>((((F6*0.00314)*((F6+545)/1000))*'Технический лист'!$K$8)+370+((F7*0.00314)*((F7+450)/1000))*'Технический лист'!$K$11)*1.97</f>
        <v>2899.138323097402</v>
      </c>
      <c r="G15" s="9">
        <f>((((G6*0.00314)*((G6+545)/1000))*'Технический лист'!$K$8)+370+((G7*0.00314)*((G7+450)/1000))*'Технический лист'!$K$11)*1.97</f>
        <v>2991.336019872901</v>
      </c>
      <c r="H15" s="9">
        <f>((((H6*0.00314)*((H6+545)/1000))*'Технический лист'!$K$8)+370+((H7*0.00314)*((H7+450)/1000))*'Технический лист'!$K$11)*1.97</f>
        <v>3179.1061770327274</v>
      </c>
      <c r="I15" s="9">
        <f>((((I6*0.00314)*((I6+545)/1000))*'Технический лист'!$K$8)+370+((I7*0.00314)*((I7+450)/1000))*'Технический лист'!$K$11)*1.97</f>
        <v>3371.3760190043286</v>
      </c>
      <c r="J15" s="9">
        <f>((((J6*0.00314)*((J6+545)/1000))*'Технический лист'!$K$8)+370+((J7*0.00314)*((J7+450)/1000))*'Технический лист'!$K$11)*1.97</f>
        <v>3568.1455457877046</v>
      </c>
      <c r="K15" s="9">
        <f>((((K6*0.00314)*((K6+545)/1000))*'Технический лист'!$K$8)+370+((K7*0.00314)*((K7+450)/1000))*'Технический лист'!$K$11)*1.97</f>
        <v>3975.183653789783</v>
      </c>
      <c r="L15" s="9">
        <f>((((L6*0.00314)*((L6+545)/1000))*'Технический лист'!$K$8)+370+((L7*0.00314)*((L7+450)/1000))*'Технический лист'!$K$11)*1.97</f>
        <v>4400.2205010389607</v>
      </c>
      <c r="M15" s="9">
        <f>((((M6*0.00314)*((M6+545)/1000))*'Технический лист'!$K$8)+370+((M7*0.00314)*((M7+450)/1000))*'Технический лист'!$K$11)*1.97</f>
        <v>4843.2560875352374</v>
      </c>
      <c r="N15" s="9">
        <f>((((N6*0.00314)*((N6+545)/1000))*'Технический лист'!$K$8)+370+((N7*0.00314)*((N7+450)/1000))*'Технический лист'!$K$11)*1.97</f>
        <v>5541.5571033679653</v>
      </c>
      <c r="O15" s="9">
        <f>((((O6*0.00314)*((O6+545)/1000))*'Технический лист'!$K$8)+370+((O7*0.00314)*((O7+450)/1000))*'Технический лист'!$K$11)*1.97</f>
        <v>5783.3234782690906</v>
      </c>
      <c r="P15" s="9">
        <f>((((P6*0.00314)*((P6+545)/1000))*'Технический лист'!$K$8)+370+((P7*0.00314)*((P7+450)/1000))*'Технический лист'!$K$11)*1.97</f>
        <v>6029.5895379819904</v>
      </c>
      <c r="Q15" s="9">
        <f>((((Q6*0.00314)*((Q6+545)/1000))*'Технический лист'!$K$8)+370+((Q7*0.00314)*((Q7+450)/1000))*'Технический лист'!$K$11)*1.97</f>
        <v>6280.3552825066663</v>
      </c>
      <c r="R15" s="9">
        <f>((((R6*0.00314)*((R6+545)/1000))*'Технический лист'!$K$8)+370+((R7*0.00314)*((R7+450)/1000))*'Технический лист'!$K$11)*1.97</f>
        <v>6535.6207118431157</v>
      </c>
      <c r="S15" s="9">
        <f>((((S6*0.00314)*((S6+545)/1000))*'Технический лист'!$K$8)+370+((S7*0.00314)*((S7+450)/1000))*'Технический лист'!$K$11)*1.97</f>
        <v>6795.3858259913413</v>
      </c>
    </row>
    <row r="16" spans="1:19" ht="0.75" hidden="1" customHeight="1">
      <c r="A16" s="4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>
      <c r="A17" s="4" t="s">
        <v>118</v>
      </c>
      <c r="B17" s="16">
        <v>1800</v>
      </c>
      <c r="C17" s="16">
        <v>1800</v>
      </c>
      <c r="D17" s="16">
        <v>1800</v>
      </c>
      <c r="E17" s="16">
        <v>1800</v>
      </c>
      <c r="F17" s="16">
        <v>1800</v>
      </c>
      <c r="G17" s="16">
        <v>1800</v>
      </c>
      <c r="H17" s="16">
        <v>1800</v>
      </c>
      <c r="I17" s="16">
        <v>1800</v>
      </c>
      <c r="J17" s="16">
        <v>1800</v>
      </c>
      <c r="K17" s="16">
        <v>1800</v>
      </c>
      <c r="L17" s="16">
        <v>1800</v>
      </c>
      <c r="M17" s="16">
        <v>1800</v>
      </c>
      <c r="N17" s="16">
        <v>1800</v>
      </c>
      <c r="O17" s="16">
        <v>1800</v>
      </c>
      <c r="P17" s="16">
        <v>1800</v>
      </c>
      <c r="Q17" s="16">
        <v>1800</v>
      </c>
      <c r="R17" s="16">
        <v>1800</v>
      </c>
      <c r="S17" s="16">
        <v>1800</v>
      </c>
    </row>
    <row r="19" spans="1:19">
      <c r="A19" s="41" t="s">
        <v>61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19">
      <c r="A20" s="3" t="s">
        <v>0</v>
      </c>
      <c r="B20" s="10">
        <v>100</v>
      </c>
      <c r="C20" s="10">
        <v>110</v>
      </c>
      <c r="D20" s="10">
        <v>115</v>
      </c>
      <c r="E20" s="10">
        <v>120</v>
      </c>
      <c r="F20" s="10">
        <v>125</v>
      </c>
      <c r="G20" s="10">
        <v>130</v>
      </c>
      <c r="H20" s="10">
        <v>140</v>
      </c>
      <c r="I20" s="10">
        <v>150</v>
      </c>
      <c r="J20" s="10">
        <v>160</v>
      </c>
      <c r="K20" s="10">
        <v>180</v>
      </c>
      <c r="L20" s="10">
        <v>200</v>
      </c>
      <c r="M20" s="10">
        <v>220</v>
      </c>
      <c r="N20" s="10">
        <v>250</v>
      </c>
      <c r="O20" s="10">
        <v>260</v>
      </c>
      <c r="P20" s="10">
        <v>270</v>
      </c>
      <c r="Q20" s="10">
        <v>280</v>
      </c>
      <c r="R20" s="10">
        <v>290</v>
      </c>
      <c r="S20" s="10">
        <v>300</v>
      </c>
    </row>
    <row r="21" spans="1:19">
      <c r="A21" s="3" t="s">
        <v>1</v>
      </c>
      <c r="B21" s="10">
        <f>B20+100</f>
        <v>200</v>
      </c>
      <c r="C21" s="10">
        <f t="shared" ref="C21:N21" si="8">C20+100</f>
        <v>210</v>
      </c>
      <c r="D21" s="10">
        <f t="shared" si="8"/>
        <v>215</v>
      </c>
      <c r="E21" s="10">
        <f t="shared" si="8"/>
        <v>220</v>
      </c>
      <c r="F21" s="10">
        <f t="shared" si="8"/>
        <v>225</v>
      </c>
      <c r="G21" s="10">
        <f t="shared" si="8"/>
        <v>230</v>
      </c>
      <c r="H21" s="10">
        <f t="shared" si="8"/>
        <v>240</v>
      </c>
      <c r="I21" s="10">
        <f t="shared" si="8"/>
        <v>250</v>
      </c>
      <c r="J21" s="10">
        <f t="shared" si="8"/>
        <v>260</v>
      </c>
      <c r="K21" s="10">
        <f t="shared" si="8"/>
        <v>280</v>
      </c>
      <c r="L21" s="10">
        <f t="shared" si="8"/>
        <v>300</v>
      </c>
      <c r="M21" s="10">
        <f t="shared" si="8"/>
        <v>320</v>
      </c>
      <c r="N21" s="10">
        <f t="shared" si="8"/>
        <v>350</v>
      </c>
      <c r="O21" s="10">
        <f t="shared" ref="O21:S21" si="9">O20+100</f>
        <v>360</v>
      </c>
      <c r="P21" s="10">
        <f t="shared" si="9"/>
        <v>370</v>
      </c>
      <c r="Q21" s="10">
        <f t="shared" si="9"/>
        <v>380</v>
      </c>
      <c r="R21" s="10">
        <f t="shared" si="9"/>
        <v>390</v>
      </c>
      <c r="S21" s="10">
        <f t="shared" si="9"/>
        <v>400</v>
      </c>
    </row>
    <row r="22" spans="1:19">
      <c r="A22" s="4" t="s">
        <v>4</v>
      </c>
      <c r="B22" s="16">
        <f>(((B20*0.00314)*'Технический лист'!$G$8)+365+((B21*0.00314)*'Технический лист'!$G$5))*1.95</f>
        <v>3363.2793662337658</v>
      </c>
      <c r="C22" s="16">
        <f>(((C20*0.00314)*'Технический лист'!$G$8)+365+((C21*0.00314)*'Технический лист'!$G$5))*1.95</f>
        <v>3558.8750228571421</v>
      </c>
      <c r="D22" s="16">
        <f>(((D20*0.00314)*'Технический лист'!$G$8)+365+((D21*0.00314)*'Технический лист'!$G$5))*1.95</f>
        <v>3656.6728511688311</v>
      </c>
      <c r="E22" s="16">
        <f>(((E20*0.00314)*'Технический лист'!$G$8)+365+((E21*0.00314)*'Технический лист'!$G$5))*1.95</f>
        <v>3754.4706794805193</v>
      </c>
      <c r="F22" s="16">
        <f>(((F20*0.00314)*'Технический лист'!$G$8)+365+((F21*0.00314)*'Технический лист'!$G$5))*1.95</f>
        <v>3852.2685077922079</v>
      </c>
      <c r="G22" s="16">
        <f>(((G20*0.00314)*'Технический лист'!$G$8)+365+((G21*0.00314)*'Технический лист'!$G$5))*1.95</f>
        <v>3950.0663361038955</v>
      </c>
      <c r="H22" s="16">
        <f>(((H20*0.00314)*'Технический лист'!$G$8)+365+((H21*0.00314)*'Технический лист'!$G$5))*1.95</f>
        <v>4145.6619927272723</v>
      </c>
      <c r="I22" s="16">
        <f>(((I20*0.00314)*'Технический лист'!$G$8)+365+((I21*0.00314)*'Технический лист'!$G$5))*1.95</f>
        <v>4341.2576493506485</v>
      </c>
      <c r="J22" s="16">
        <f>(((J20*0.00314)*'Технический лист'!$G$8)+365+((J21*0.00314)*'Технический лист'!$G$5))*1.95</f>
        <v>4536.8533059740257</v>
      </c>
      <c r="K22" s="16">
        <f>(((K20*0.00314)*'Технический лист'!$G$8)+365+((K21*0.00314)*'Технический лист'!$G$5))*1.95</f>
        <v>4928.0446192207792</v>
      </c>
      <c r="L22" s="16">
        <f>(((L20*0.00314)*'Технический лист'!$G$8)+365+((L21*0.00314)*'Технический лист'!$G$5))*1.95</f>
        <v>5319.2359324675326</v>
      </c>
      <c r="M22" s="16">
        <f>(((M20*0.00314)*'Технический лист'!$G$8)+365+((M21*0.00314)*'Технический лист'!$G$5))*1.95</f>
        <v>5710.4272457142843</v>
      </c>
      <c r="N22" s="16">
        <f>(((N20*0.00314)*'Технический лист'!$G$8)+365+((N21*0.00314)*'Технический лист'!$G$5))*1.95</f>
        <v>6297.2142155844149</v>
      </c>
      <c r="O22" s="16">
        <f>(((O20*0.00314)*'Технический лист'!$G$8)+365+((O21*0.00314)*'Технический лист'!$G$5))*1.95</f>
        <v>6492.8098722077921</v>
      </c>
      <c r="P22" s="16">
        <f>(((P20*0.00314)*'Технический лист'!$G$8)+365+((P21*0.00314)*'Технический лист'!$G$5))*1.95</f>
        <v>6688.4055288311683</v>
      </c>
      <c r="Q22" s="16">
        <f>(((Q20*0.00314)*'Технический лист'!$G$8)+365+((Q21*0.00314)*'Технический лист'!$G$5))*1.95</f>
        <v>6884.0011854545455</v>
      </c>
      <c r="R22" s="16">
        <f>(((R20*0.00314)*'Технический лист'!$G$8)+365+((R21*0.00314)*'Технический лист'!$G$5))*1.95</f>
        <v>7079.5968420779209</v>
      </c>
      <c r="S22" s="16">
        <f>(((S20*0.00314)*'Технический лист'!$G$8)+365+((S21*0.00314)*'Технический лист'!$G$5))*1.95</f>
        <v>7275.1924987012981</v>
      </c>
    </row>
    <row r="23" spans="1:19">
      <c r="A23" s="4" t="s">
        <v>3</v>
      </c>
      <c r="B23" s="9">
        <f>((B22/2)*1.07)-10</f>
        <v>1789.3544609350647</v>
      </c>
      <c r="C23" s="9">
        <f t="shared" ref="C23:N23" si="10">((C22/2)*1.07)-10</f>
        <v>1893.9981372285711</v>
      </c>
      <c r="D23" s="9">
        <f t="shared" si="10"/>
        <v>1946.3199753753247</v>
      </c>
      <c r="E23" s="9">
        <f t="shared" si="10"/>
        <v>1998.6418135220779</v>
      </c>
      <c r="F23" s="9">
        <f t="shared" si="10"/>
        <v>2050.9636516688315</v>
      </c>
      <c r="G23" s="9">
        <f t="shared" si="10"/>
        <v>2103.2854898155842</v>
      </c>
      <c r="H23" s="9">
        <f t="shared" si="10"/>
        <v>2207.9291661090906</v>
      </c>
      <c r="I23" s="9">
        <f t="shared" si="10"/>
        <v>2312.572842402597</v>
      </c>
      <c r="J23" s="9">
        <f t="shared" si="10"/>
        <v>2417.2165186961038</v>
      </c>
      <c r="K23" s="9">
        <f t="shared" si="10"/>
        <v>2626.503871283117</v>
      </c>
      <c r="L23" s="9">
        <f t="shared" si="10"/>
        <v>2835.7912238701301</v>
      </c>
      <c r="M23" s="9">
        <f t="shared" si="10"/>
        <v>3045.0785764571424</v>
      </c>
      <c r="N23" s="9">
        <f t="shared" si="10"/>
        <v>3359.0096053376624</v>
      </c>
      <c r="O23" s="9">
        <f t="shared" ref="O23:S23" si="11">((O22/2)*1.07)-10</f>
        <v>3463.6532816311687</v>
      </c>
      <c r="P23" s="9">
        <f t="shared" si="11"/>
        <v>3568.2969579246751</v>
      </c>
      <c r="Q23" s="9">
        <f t="shared" si="11"/>
        <v>3672.9406342181819</v>
      </c>
      <c r="R23" s="9">
        <f t="shared" si="11"/>
        <v>3777.5843105116878</v>
      </c>
      <c r="S23" s="9">
        <f t="shared" si="11"/>
        <v>3882.2279868051946</v>
      </c>
    </row>
    <row r="24" spans="1:19">
      <c r="A24" s="4" t="s">
        <v>5</v>
      </c>
      <c r="B24" s="16">
        <f>((((B20*0.00314)*0.5)*'Технический лист'!$I$8)+310+(((B21*0.00314)*0.5)*'Технический лист'!$I$5))*1.96</f>
        <v>2607.9158763636365</v>
      </c>
      <c r="C24" s="16">
        <f>((((C20*0.00314)*0.5)*'Технический лист'!$I$8)+310+(((C21*0.00314)*0.5)*'Технический лист'!$I$5))*1.96</f>
        <v>2752.988672</v>
      </c>
      <c r="D24" s="16">
        <f>((((D20*0.00314)*0.5)*'Технический лист'!$I$8)+310+(((D21*0.00314)*0.5)*'Технический лист'!$I$5))*1.96</f>
        <v>2825.5250698181817</v>
      </c>
      <c r="E24" s="16">
        <f>((((E20*0.00314)*0.5)*'Технический лист'!$I$8)+310+(((E21*0.00314)*0.5)*'Технический лист'!$I$5))*1.96</f>
        <v>2898.0614676363639</v>
      </c>
      <c r="F24" s="16">
        <f>((((F20*0.00314)*0.5)*'Технический лист'!$I$8)+310+(((F21*0.00314)*0.5)*'Технический лист'!$I$5))*1.96</f>
        <v>2970.5978654545452</v>
      </c>
      <c r="G24" s="16">
        <f>((((G20*0.00314)*0.5)*'Технический лист'!$I$8)+310+(((G21*0.00314)*0.5)*'Технический лист'!$I$5))*1.96</f>
        <v>3043.1342632727274</v>
      </c>
      <c r="H24" s="16">
        <f>((((H20*0.00314)*0.5)*'Технический лист'!$I$8)+310+(((H21*0.00314)*0.5)*'Технический лист'!$I$5))*1.96</f>
        <v>3188.2070589090908</v>
      </c>
      <c r="I24" s="16">
        <f>((((I20*0.00314)*0.5)*'Технический лист'!$I$8)+310+(((I21*0.00314)*0.5)*'Технический лист'!$I$5))*1.96</f>
        <v>3333.2798545454548</v>
      </c>
      <c r="J24" s="16">
        <f>((((J20*0.00314)*0.5)*'Технический лист'!$I$8)+310+(((J21*0.00314)*0.5)*'Технический лист'!$I$5))*1.96</f>
        <v>3478.3526501818183</v>
      </c>
      <c r="K24" s="16">
        <f>((((K20*0.00314)*0.5)*'Технический лист'!$I$8)+310+(((K21*0.00314)*0.5)*'Технический лист'!$I$5))*1.96</f>
        <v>3768.4982414545457</v>
      </c>
      <c r="L24" s="16">
        <f>((((L20*0.00314)*0.5)*'Технический лист'!$I$8)+310+(((L21*0.00314)*0.5)*'Технический лист'!$I$5))*1.96</f>
        <v>4058.6438327272726</v>
      </c>
      <c r="M24" s="16">
        <f>((((M20*0.00314)*0.5)*'Технический лист'!$I$8)+310+(((M21*0.00314)*0.5)*'Технический лист'!$I$5))*1.96</f>
        <v>4348.7894239999996</v>
      </c>
      <c r="N24" s="16">
        <f>((((N20*0.00314)*0.5)*'Технический лист'!$I$8)+310+(((N21*0.00314)*0.5)*'Технический лист'!$I$5))*1.96</f>
        <v>4784.00781090909</v>
      </c>
      <c r="O24" s="16">
        <f>((((O20*0.00314)*0.5)*'Технический лист'!$I$8)+310+(((O21*0.00314)*0.5)*'Технический лист'!$I$5))*1.96</f>
        <v>4929.0806065454553</v>
      </c>
      <c r="P24" s="16">
        <f>((((P20*0.00314)*0.5)*'Технический лист'!$I$8)+310+(((P21*0.00314)*0.5)*'Технический лист'!$I$5))*1.96</f>
        <v>5074.1534021818179</v>
      </c>
      <c r="Q24" s="16">
        <f>((((Q20*0.00314)*0.5)*'Технический лист'!$I$8)+310+(((Q21*0.00314)*0.5)*'Технический лист'!$I$5))*1.96</f>
        <v>5219.2261978181814</v>
      </c>
      <c r="R24" s="16">
        <f>((((R20*0.00314)*0.5)*'Технический лист'!$I$8)+310+(((R21*0.00314)*0.5)*'Технический лист'!$I$5))*1.96</f>
        <v>5364.2989934545449</v>
      </c>
      <c r="S24" s="16">
        <f>((((S20*0.00314)*0.5)*'Технический лист'!$I$8)+310+(((S21*0.00314)*0.5)*'Технический лист'!$I$5))*1.96</f>
        <v>5509.3717890909093</v>
      </c>
    </row>
    <row r="25" spans="1:19">
      <c r="A25" s="4" t="s">
        <v>96</v>
      </c>
      <c r="B25" s="9">
        <f>((B24*2)/3)-6</f>
        <v>1732.6105842424242</v>
      </c>
      <c r="C25" s="9">
        <f t="shared" ref="C25:N25" si="12">((C24*2)/3)-6</f>
        <v>1829.3257813333332</v>
      </c>
      <c r="D25" s="9">
        <f t="shared" si="12"/>
        <v>1877.6833798787877</v>
      </c>
      <c r="E25" s="9">
        <f t="shared" si="12"/>
        <v>1926.0409784242427</v>
      </c>
      <c r="F25" s="9">
        <f t="shared" si="12"/>
        <v>1974.3985769696967</v>
      </c>
      <c r="G25" s="9">
        <f t="shared" si="12"/>
        <v>2022.7561755151517</v>
      </c>
      <c r="H25" s="9">
        <f t="shared" si="12"/>
        <v>2119.4713726060604</v>
      </c>
      <c r="I25" s="9">
        <f t="shared" si="12"/>
        <v>2216.1865696969699</v>
      </c>
      <c r="J25" s="9">
        <f t="shared" si="12"/>
        <v>2312.9017667878788</v>
      </c>
      <c r="K25" s="9">
        <f t="shared" si="12"/>
        <v>2506.3321609696973</v>
      </c>
      <c r="L25" s="9">
        <f t="shared" si="12"/>
        <v>2699.7625551515152</v>
      </c>
      <c r="M25" s="9">
        <f t="shared" si="12"/>
        <v>2893.1929493333332</v>
      </c>
      <c r="N25" s="9">
        <f t="shared" si="12"/>
        <v>3183.3385406060602</v>
      </c>
      <c r="O25" s="9">
        <f t="shared" ref="O25:S25" si="13">((O24*2)/3)-6</f>
        <v>3280.0537376969701</v>
      </c>
      <c r="P25" s="9">
        <f t="shared" si="13"/>
        <v>3376.7689347878786</v>
      </c>
      <c r="Q25" s="9">
        <f t="shared" si="13"/>
        <v>3473.4841318787876</v>
      </c>
      <c r="R25" s="9">
        <f t="shared" si="13"/>
        <v>3570.1993289696966</v>
      </c>
      <c r="S25" s="9">
        <f t="shared" si="13"/>
        <v>3666.914526060606</v>
      </c>
    </row>
    <row r="26" spans="1:19">
      <c r="A26" s="4" t="s">
        <v>6</v>
      </c>
      <c r="B26" s="16">
        <f>((((B20*0.00314)*0.22)*'Технический лист'!$M$8)+100+(((B21*0.00314)*0.21)*'Технический лист'!$O$5)+(((B20+30)*(B20+30)/1000000)*'Технический лист'!$E$20))*1.96</f>
        <v>1284.0140767999999</v>
      </c>
      <c r="C26" s="16">
        <f>((((C20*0.00314)*0.22)*'Технический лист'!$M$8)+100+(((C21*0.00314)*0.21)*'Технический лист'!$O$5)+(((C20+30)*(C20+30)/1000000)*'Технический лист'!$E$20))*1.96</f>
        <v>1374.6786166399997</v>
      </c>
      <c r="D26" s="16">
        <f>((((D20*0.00314)*0.22)*'Технический лист'!$M$8)+100+(((D21*0.00314)*0.21)*'Технический лист'!$O$5)+(((D20+30)*(D20+30)/1000000)*'Технический лист'!$E$20))*1.96</f>
        <v>1420.59888656</v>
      </c>
      <c r="E26" s="16">
        <f>((((E20*0.00314)*0.22)*'Технический лист'!$M$8)+100+(((E21*0.00314)*0.21)*'Технический лист'!$O$5)+(((E20+30)*(E20+30)/1000000)*'Технический лист'!$E$20))*1.96</f>
        <v>1466.9111564799998</v>
      </c>
      <c r="F26" s="16">
        <f>((((F20*0.00314)*0.22)*'Технический лист'!$M$8)+100+(((F21*0.00314)*0.21)*'Технический лист'!$O$5)+(((F20+30)*(F20+30)/1000000)*'Технический лист'!$E$20))*1.96</f>
        <v>1513.6154264000002</v>
      </c>
      <c r="G26" s="16">
        <f>((((G20*0.00314)*0.22)*'Технический лист'!$M$8)+100+(((G21*0.00314)*0.21)*'Технический лист'!$O$5)+(((G20+30)*(G20+30)/1000000)*'Технический лист'!$E$20))*1.96</f>
        <v>1560.7116963199999</v>
      </c>
      <c r="H26" s="16">
        <f>((((H20*0.00314)*0.22)*'Технический лист'!$M$8)+100+(((H21*0.00314)*0.21)*'Технический лист'!$O$5)+(((H20+30)*(H20+30)/1000000)*'Технический лист'!$E$20))*1.96</f>
        <v>1656.0802361599999</v>
      </c>
      <c r="I26" s="16">
        <f>((((I20*0.00314)*0.22)*'Технический лист'!$M$8)+100+(((I21*0.00314)*0.21)*'Технический лист'!$O$5)+(((I20+30)*(I20+30)/1000000)*'Технический лист'!$E$20))*1.96</f>
        <v>1753.0167759999999</v>
      </c>
      <c r="J26" s="16">
        <f>((((J20*0.00314)*0.22)*'Технический лист'!$M$8)+100+(((J21*0.00314)*0.21)*'Технический лист'!$O$5)+(((J20+30)*(J20+30)/1000000)*'Технический лист'!$E$20))*1.96</f>
        <v>1851.5213158399997</v>
      </c>
      <c r="K26" s="16">
        <f>((((K20*0.00314)*0.22)*'Технический лист'!$M$8)+100+(((K21*0.00314)*0.21)*'Технический лист'!$O$5)+(((K20+30)*(K20+30)/1000000)*'Технический лист'!$E$20))*1.96</f>
        <v>2053.2343955199999</v>
      </c>
      <c r="L26" s="16">
        <f>((((L20*0.00314)*0.22)*'Технический лист'!$M$8)+100+(((L21*0.00314)*0.21)*'Технический лист'!$O$5)+(((L20+30)*(L20+30)/1000000)*'Технический лист'!$E$20))*1.96</f>
        <v>2261.2194751999996</v>
      </c>
      <c r="M26" s="16">
        <f>((((M20*0.00314)*0.22)*'Технический лист'!$M$8)+100+(((M21*0.00314)*0.21)*'Технический лист'!$O$5)+(((M20+30)*(M20+30)/1000000)*'Технический лист'!$E$20))*1.96</f>
        <v>2475.4765548800001</v>
      </c>
      <c r="N26" s="16">
        <f>((((N20*0.00314)*0.22)*'Технический лист'!$M$8)+100+(((N21*0.00314)*0.21)*'Технический лист'!$O$5)+(((N20+30)*(N20+30)/1000000)*'Технический лист'!$E$20))*1.96</f>
        <v>2808.6221743999999</v>
      </c>
      <c r="O26" s="16">
        <f>((((O20*0.00314)*0.22)*'Технический лист'!$M$8)+100+(((O21*0.00314)*0.21)*'Технический лист'!$O$5)+(((O20+30)*(O20+30)/1000000)*'Технический лист'!$E$20))*1.96</f>
        <v>2922.80671424</v>
      </c>
      <c r="P26" s="16">
        <f>((((P20*0.00314)*0.22)*'Технический лист'!$M$8)+100+(((P21*0.00314)*0.21)*'Технический лист'!$O$5)+(((P20+30)*(P20+30)/1000000)*'Технический лист'!$E$20))*1.96</f>
        <v>3038.5592540799998</v>
      </c>
      <c r="Q26" s="16">
        <f>((((Q20*0.00314)*0.22)*'Технический лист'!$M$8)+100+(((Q21*0.00314)*0.21)*'Технический лист'!$O$5)+(((Q20+30)*(Q20+30)/1000000)*'Технический лист'!$E$20))*1.96</f>
        <v>3155.8797939199999</v>
      </c>
      <c r="R26" s="16">
        <f>((((R20*0.00314)*0.22)*'Технический лист'!$M$8)+100+(((R21*0.00314)*0.21)*'Технический лист'!$O$5)+(((R20+30)*(R20+30)/1000000)*'Технический лист'!$E$20))*1.96</f>
        <v>3274.7683337599997</v>
      </c>
      <c r="S26" s="16">
        <f>((((S20*0.00314)*0.22)*'Технический лист'!$M$8)+100+(((S21*0.00314)*0.21)*'Технический лист'!$O$5)+(((S20+30)*(S20+30)/1000000)*'Технический лист'!$E$20))*1.96</f>
        <v>3395.2248735999992</v>
      </c>
    </row>
    <row r="27" spans="1:19">
      <c r="A27" s="4" t="s">
        <v>7</v>
      </c>
      <c r="B27" s="9">
        <f>(B26*2.2)+24</f>
        <v>2848.8309689600001</v>
      </c>
      <c r="C27" s="9">
        <f t="shared" ref="C27:N27" si="14">(C26*2.2)+24</f>
        <v>3048.2929566079997</v>
      </c>
      <c r="D27" s="9">
        <f t="shared" si="14"/>
        <v>3149.3175504320002</v>
      </c>
      <c r="E27" s="9">
        <f t="shared" si="14"/>
        <v>3251.2045442559997</v>
      </c>
      <c r="F27" s="9">
        <f t="shared" si="14"/>
        <v>3353.9539380800006</v>
      </c>
      <c r="G27" s="9">
        <f t="shared" si="14"/>
        <v>3457.5657319040001</v>
      </c>
      <c r="H27" s="9">
        <f t="shared" si="14"/>
        <v>3667.376519552</v>
      </c>
      <c r="I27" s="9">
        <f t="shared" si="14"/>
        <v>3880.6369072000002</v>
      </c>
      <c r="J27" s="9">
        <f t="shared" si="14"/>
        <v>4097.3468948480004</v>
      </c>
      <c r="K27" s="9">
        <f t="shared" si="14"/>
        <v>4541.1156701440004</v>
      </c>
      <c r="L27" s="9">
        <f t="shared" si="14"/>
        <v>4998.6828454399993</v>
      </c>
      <c r="M27" s="9">
        <f t="shared" si="14"/>
        <v>5470.0484207360005</v>
      </c>
      <c r="N27" s="9">
        <f t="shared" si="14"/>
        <v>6202.9687836800003</v>
      </c>
      <c r="O27" s="9">
        <f t="shared" ref="O27:S27" si="15">(O26*2.2)+24</f>
        <v>6454.1747713280001</v>
      </c>
      <c r="P27" s="9">
        <f t="shared" si="15"/>
        <v>6708.8303589759998</v>
      </c>
      <c r="Q27" s="9">
        <f t="shared" si="15"/>
        <v>6966.9355466240004</v>
      </c>
      <c r="R27" s="9">
        <f t="shared" si="15"/>
        <v>7228.4903342719999</v>
      </c>
      <c r="S27" s="9">
        <f t="shared" si="15"/>
        <v>7493.4947219199985</v>
      </c>
    </row>
    <row r="28" spans="1:19">
      <c r="A28" s="4" t="s">
        <v>8</v>
      </c>
      <c r="B28" s="16">
        <f>((((B20*0.00314)*0.2)*'Технический лист'!$M$8)+50+(((B21*0.00314)*0.22)*'Технический лист'!$O$5))*1.96</f>
        <v>1038.8405521454547</v>
      </c>
      <c r="C28" s="16">
        <f>((((C20*0.00314)*0.2)*'Технический лист'!$M$8)+50+(((C21*0.00314)*0.22)*'Технический лист'!$O$5))*1.96</f>
        <v>1105.6286124799999</v>
      </c>
      <c r="D28" s="16">
        <f>((((D20*0.00314)*0.2)*'Технический лист'!$M$8)+50+(((D21*0.00314)*0.22)*'Технический лист'!$O$5))*1.96</f>
        <v>1139.022642647273</v>
      </c>
      <c r="E28" s="16">
        <f>((((E20*0.00314)*0.2)*'Технический лист'!$M$8)+50+(((E21*0.00314)*0.22)*'Технический лист'!$O$5))*1.96</f>
        <v>1172.4166728145456</v>
      </c>
      <c r="F28" s="16">
        <f>((((F20*0.00314)*0.2)*'Технический лист'!$M$8)+50+(((F21*0.00314)*0.22)*'Технический лист'!$O$5))*1.96</f>
        <v>1205.8107029818184</v>
      </c>
      <c r="G28" s="16">
        <f>((((G20*0.00314)*0.2)*'Технический лист'!$M$8)+50+(((G21*0.00314)*0.22)*'Технический лист'!$O$5))*1.96</f>
        <v>1239.2047331490908</v>
      </c>
      <c r="H28" s="16">
        <f>((((H20*0.00314)*0.2)*'Технический лист'!$M$8)+50+(((H21*0.00314)*0.22)*'Технический лист'!$O$5))*1.96</f>
        <v>1305.9927934836362</v>
      </c>
      <c r="I28" s="16">
        <f>((((I20*0.00314)*0.2)*'Технический лист'!$M$8)+50+(((I21*0.00314)*0.22)*'Технический лист'!$O$5))*1.96</f>
        <v>1372.7808538181819</v>
      </c>
      <c r="J28" s="16">
        <f>((((J20*0.00314)*0.2)*'Технический лист'!$M$8)+50+(((J21*0.00314)*0.22)*'Технический лист'!$O$5))*1.96</f>
        <v>1439.5689141527273</v>
      </c>
      <c r="K28" s="16">
        <f>((((K20*0.00314)*0.2)*'Технический лист'!$M$8)+50+(((K21*0.00314)*0.22)*'Технический лист'!$O$5))*1.96</f>
        <v>1573.1450348218182</v>
      </c>
      <c r="L28" s="16">
        <f>((((L20*0.00314)*0.2)*'Технический лист'!$M$8)+50+(((L21*0.00314)*0.22)*'Технический лист'!$O$5))*1.96</f>
        <v>1706.721155490909</v>
      </c>
      <c r="M28" s="16">
        <f>((((M20*0.00314)*0.2)*'Технический лист'!$M$8)+50+(((M21*0.00314)*0.22)*'Технический лист'!$O$5))*1.96</f>
        <v>1840.2972761599997</v>
      </c>
      <c r="N28" s="16">
        <f>((((N20*0.00314)*0.2)*'Технический лист'!$M$8)+50+(((N21*0.00314)*0.22)*'Технический лист'!$O$5))*1.96</f>
        <v>2040.6614571636367</v>
      </c>
      <c r="O28" s="16">
        <f>((((O20*0.00314)*0.2)*'Технический лист'!$M$8)+50+(((O21*0.00314)*0.22)*'Технический лист'!$O$5))*1.96</f>
        <v>2107.4495174981816</v>
      </c>
      <c r="P28" s="16">
        <f>((((P20*0.00314)*0.2)*'Технический лист'!$M$8)+50+(((P21*0.00314)*0.22)*'Технический лист'!$O$5))*1.96</f>
        <v>2174.2375778327273</v>
      </c>
      <c r="Q28" s="16">
        <f>((((Q20*0.00314)*0.2)*'Технический лист'!$M$8)+50+(((Q21*0.00314)*0.22)*'Технический лист'!$O$5))*1.96</f>
        <v>2241.0256381672725</v>
      </c>
      <c r="R28" s="16">
        <f>((((R20*0.00314)*0.2)*'Технический лист'!$M$8)+50+(((R21*0.00314)*0.22)*'Технический лист'!$O$5))*1.96</f>
        <v>2307.8136985018177</v>
      </c>
      <c r="S28" s="16">
        <f>((((S20*0.00314)*0.2)*'Технический лист'!$M$8)+50+(((S21*0.00314)*0.22)*'Технический лист'!$O$5))*1.96</f>
        <v>2374.6017588363634</v>
      </c>
    </row>
    <row r="29" spans="1:19">
      <c r="A29" s="4" t="s">
        <v>9</v>
      </c>
      <c r="B29" s="9">
        <f>((((B20*0.00314)*((B20+545)/1000))*'Технический лист'!$K$8)+370+((B21*0.00314)*((B21+450)/1000))*'Технический лист'!$K$5)*1.97</f>
        <v>3490.2379065974028</v>
      </c>
      <c r="C29" s="9">
        <f>((((C20*0.00314)*((C20+545)/1000))*'Технический лист'!$K$8)+370+((C21*0.00314)*((C21+450)/1000))*'Технический лист'!$K$5)*1.97</f>
        <v>3732.9924135085716</v>
      </c>
      <c r="D29" s="9">
        <f>((((D20*0.00314)*((D20+545)/1000))*'Технический лист'!$K$8)+370+((D21*0.00314)*((D21+450)/1000))*'Технический лист'!$K$5)*1.97</f>
        <v>3856.6542877585716</v>
      </c>
      <c r="E29" s="9">
        <f>((((E20*0.00314)*((E20+545)/1000))*'Технический лист'!$K$8)+370+((E21*0.00314)*((E21+450)/1000))*'Технический лист'!$K$5)*1.97</f>
        <v>3981.8392425381817</v>
      </c>
      <c r="F29" s="9">
        <f>((((F20*0.00314)*((F20+545)/1000))*'Технический лист'!$K$8)+370+((F21*0.00314)*((F21+450)/1000))*'Технический лист'!$K$5)*1.97</f>
        <v>4108.5472778474023</v>
      </c>
      <c r="G29" s="9">
        <f>((((G20*0.00314)*((G20+545)/1000))*'Технический лист'!$K$8)+370+((G21*0.00314)*((G21+450)/1000))*'Технический лист'!$K$5)*1.97</f>
        <v>4236.7783936862343</v>
      </c>
      <c r="H29" s="9">
        <f>((((H20*0.00314)*((H20+545)/1000))*'Технический лист'!$K$8)+370+((H21*0.00314)*((H21+450)/1000))*'Технический лист'!$K$5)*1.97</f>
        <v>4497.8098669527271</v>
      </c>
      <c r="I29" s="9">
        <f>((((I20*0.00314)*((I20+545)/1000))*'Технический лист'!$K$8)+370+((I21*0.00314)*((I21+450)/1000))*'Технический лист'!$K$5)*1.97</f>
        <v>4764.9336623376621</v>
      </c>
      <c r="J29" s="9">
        <f>((((J20*0.00314)*((J20+545)/1000))*'Технический лист'!$K$8)+370+((J21*0.00314)*((J21+450)/1000))*'Технический лист'!$K$5)*1.97</f>
        <v>5038.1497798410383</v>
      </c>
      <c r="K29" s="9">
        <f>((((K20*0.00314)*((K20+545)/1000))*'Технический лист'!$K$8)+370+((K21*0.00314)*((K21+450)/1000))*'Технический лист'!$K$5)*1.97</f>
        <v>5602.8589812031169</v>
      </c>
      <c r="L29" s="9">
        <f>((((L20*0.00314)*((L20+545)/1000))*'Технический лист'!$K$8)+370+((L21*0.00314)*((L21+450)/1000))*'Технический лист'!$K$5)*1.97</f>
        <v>6191.9374710389602</v>
      </c>
      <c r="M29" s="9">
        <f>((((M20*0.00314)*((M20+545)/1000))*'Технический лист'!$K$8)+370+((M21*0.00314)*((M21+450)/1000))*'Технический лист'!$K$5)*1.97</f>
        <v>6805.3852493485711</v>
      </c>
      <c r="N29" s="9">
        <f>((((N20*0.00314)*((N20+545)/1000))*'Технический лист'!$K$8)+370+((N21*0.00314)*((N21+450)/1000))*'Технический лист'!$K$5)*1.97</f>
        <v>7771.249332701299</v>
      </c>
      <c r="O29" s="9">
        <f>((((O20*0.00314)*((O20+545)/1000))*'Технический лист'!$K$8)+370+((O21*0.00314)*((O21+450)/1000))*'Технический лист'!$K$5)*1.97</f>
        <v>8105.3886713890906</v>
      </c>
      <c r="P29" s="9">
        <f>((((P20*0.00314)*((P20+545)/1000))*'Технический лист'!$K$8)+370+((P21*0.00314)*((P21+450)/1000))*'Технический лист'!$K$5)*1.97</f>
        <v>8445.6203321953235</v>
      </c>
      <c r="Q29" s="9">
        <f>((((Q20*0.00314)*((Q20+545)/1000))*'Технический лист'!$K$8)+370+((Q21*0.00314)*((Q21+450)/1000))*'Технический лист'!$K$5)*1.97</f>
        <v>8791.9443151199994</v>
      </c>
      <c r="R29" s="9">
        <f>((((R20*0.00314)*((R20+545)/1000))*'Технический лист'!$K$8)+370+((R21*0.00314)*((R21+450)/1000))*'Технический лист'!$K$5)*1.97</f>
        <v>9144.3606201631155</v>
      </c>
      <c r="S29" s="9">
        <f>((((S20*0.00314)*((S20+545)/1000))*'Технический лист'!$K$8)+370+((S21*0.00314)*((S21+450)/1000))*'Технический лист'!$K$5)*1.97</f>
        <v>9502.8692473246738</v>
      </c>
    </row>
    <row r="30" spans="1:19" hidden="1">
      <c r="A30" s="4" t="s">
        <v>8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>
      <c r="A31" s="4" t="s">
        <v>119</v>
      </c>
      <c r="B31" s="16">
        <v>2100</v>
      </c>
      <c r="C31" s="16">
        <v>2100</v>
      </c>
      <c r="D31" s="16">
        <v>2100</v>
      </c>
      <c r="E31" s="16">
        <v>2100</v>
      </c>
      <c r="F31" s="16">
        <v>2100</v>
      </c>
      <c r="G31" s="16">
        <v>2100</v>
      </c>
      <c r="H31" s="16">
        <v>2100</v>
      </c>
      <c r="I31" s="16">
        <v>2100</v>
      </c>
      <c r="J31" s="16">
        <v>2100</v>
      </c>
      <c r="K31" s="16">
        <v>2100</v>
      </c>
      <c r="L31" s="16">
        <v>2100</v>
      </c>
      <c r="M31" s="16">
        <v>2100</v>
      </c>
      <c r="N31" s="16">
        <v>2100</v>
      </c>
      <c r="O31" s="16">
        <v>2100</v>
      </c>
      <c r="P31" s="16">
        <v>2100</v>
      </c>
      <c r="Q31" s="16">
        <v>2100</v>
      </c>
      <c r="R31" s="16">
        <v>2100</v>
      </c>
      <c r="S31" s="16">
        <v>2100</v>
      </c>
    </row>
  </sheetData>
  <mergeCells count="6">
    <mergeCell ref="A19:N19"/>
    <mergeCell ref="A1:C1"/>
    <mergeCell ref="D1:O1"/>
    <mergeCell ref="D2:O2"/>
    <mergeCell ref="D3:O3"/>
    <mergeCell ref="A5:O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S31"/>
  <sheetViews>
    <sheetView zoomScale="80" zoomScaleNormal="80" workbookViewId="0">
      <selection activeCell="B31" sqref="B31:S31"/>
    </sheetView>
  </sheetViews>
  <sheetFormatPr defaultRowHeight="14.4"/>
  <cols>
    <col min="1" max="1" width="26.6640625" customWidth="1"/>
    <col min="2" max="19" width="6.33203125" customWidth="1"/>
  </cols>
  <sheetData>
    <row r="1" spans="1:19" ht="45" customHeight="1">
      <c r="A1" s="32"/>
      <c r="B1" s="32"/>
      <c r="C1" s="32"/>
      <c r="D1" s="40" t="s">
        <v>94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1"/>
      <c r="Q1" s="1"/>
    </row>
    <row r="2" spans="1:19" ht="15" customHeight="1">
      <c r="D2" s="34" t="s">
        <v>95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1"/>
    </row>
    <row r="3" spans="1:19" ht="15" customHeight="1">
      <c r="D3" s="34" t="s">
        <v>112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9" ht="2.25" customHeight="1"/>
    <row r="5" spans="1:19">
      <c r="A5" s="41" t="s">
        <v>108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1:19">
      <c r="A6" s="3" t="s">
        <v>0</v>
      </c>
      <c r="B6" s="10">
        <v>100</v>
      </c>
      <c r="C6" s="10">
        <v>110</v>
      </c>
      <c r="D6" s="10">
        <v>115</v>
      </c>
      <c r="E6" s="10">
        <v>120</v>
      </c>
      <c r="F6" s="10">
        <v>125</v>
      </c>
      <c r="G6" s="10">
        <v>130</v>
      </c>
      <c r="H6" s="10">
        <v>140</v>
      </c>
      <c r="I6" s="10">
        <v>150</v>
      </c>
      <c r="J6" s="10">
        <v>160</v>
      </c>
      <c r="K6" s="10">
        <v>180</v>
      </c>
      <c r="L6" s="10">
        <v>200</v>
      </c>
      <c r="M6" s="10">
        <v>220</v>
      </c>
      <c r="N6" s="10">
        <v>250</v>
      </c>
      <c r="O6" s="10">
        <v>260</v>
      </c>
      <c r="P6" s="10">
        <v>270</v>
      </c>
      <c r="Q6" s="10">
        <v>280</v>
      </c>
      <c r="R6" s="10">
        <v>290</v>
      </c>
      <c r="S6" s="10">
        <v>300</v>
      </c>
    </row>
    <row r="7" spans="1:19">
      <c r="A7" s="3" t="s">
        <v>1</v>
      </c>
      <c r="B7" s="10">
        <f>B6+100</f>
        <v>200</v>
      </c>
      <c r="C7" s="10">
        <f t="shared" ref="C7:N7" si="0">C6+100</f>
        <v>210</v>
      </c>
      <c r="D7" s="10">
        <f t="shared" si="0"/>
        <v>215</v>
      </c>
      <c r="E7" s="10">
        <f t="shared" si="0"/>
        <v>220</v>
      </c>
      <c r="F7" s="10">
        <f t="shared" si="0"/>
        <v>225</v>
      </c>
      <c r="G7" s="10">
        <f t="shared" si="0"/>
        <v>230</v>
      </c>
      <c r="H7" s="10">
        <f t="shared" si="0"/>
        <v>240</v>
      </c>
      <c r="I7" s="10">
        <f t="shared" si="0"/>
        <v>250</v>
      </c>
      <c r="J7" s="10">
        <f t="shared" si="0"/>
        <v>260</v>
      </c>
      <c r="K7" s="10">
        <f t="shared" si="0"/>
        <v>280</v>
      </c>
      <c r="L7" s="10">
        <f t="shared" si="0"/>
        <v>300</v>
      </c>
      <c r="M7" s="10">
        <f t="shared" si="0"/>
        <v>320</v>
      </c>
      <c r="N7" s="10">
        <f t="shared" si="0"/>
        <v>350</v>
      </c>
      <c r="O7" s="10">
        <f t="shared" ref="O7:S7" si="1">O6+100</f>
        <v>360</v>
      </c>
      <c r="P7" s="10">
        <f t="shared" si="1"/>
        <v>370</v>
      </c>
      <c r="Q7" s="10">
        <f t="shared" si="1"/>
        <v>380</v>
      </c>
      <c r="R7" s="10">
        <f t="shared" si="1"/>
        <v>390</v>
      </c>
      <c r="S7" s="10">
        <f t="shared" si="1"/>
        <v>400</v>
      </c>
    </row>
    <row r="8" spans="1:19">
      <c r="A8" s="4" t="s">
        <v>4</v>
      </c>
      <c r="B8" s="16">
        <f>(((B6*0.00314)*'Технический лист'!$G$9)+365+((B7*0.00314)*'Технический лист'!$G$11))*1.95</f>
        <v>2097.0991599999998</v>
      </c>
      <c r="C8" s="16">
        <f>(((C6*0.00314)*'Технический лист'!$G$9)+365+((C7*0.00314)*'Технический лист'!$G$11))*1.95</f>
        <v>2213.9790659999999</v>
      </c>
      <c r="D8" s="16">
        <f>(((D6*0.00314)*'Технический лист'!$G$9)+365+((D7*0.00314)*'Технический лист'!$G$11))*1.95</f>
        <v>2272.4190189999999</v>
      </c>
      <c r="E8" s="16">
        <f>(((E6*0.00314)*'Технический лист'!$G$9)+365+((E7*0.00314)*'Технический лист'!$G$11))*1.95</f>
        <v>2330.858972</v>
      </c>
      <c r="F8" s="16">
        <f>(((F6*0.00314)*'Технический лист'!$G$9)+365+((F7*0.00314)*'Технический лист'!$G$11))*1.95</f>
        <v>2389.2989250000001</v>
      </c>
      <c r="G8" s="16">
        <f>(((G6*0.00314)*'Технический лист'!$G$9)+365+((G7*0.00314)*'Технический лист'!$G$11))*1.95</f>
        <v>2447.7388780000001</v>
      </c>
      <c r="H8" s="16">
        <f>(((H6*0.00314)*'Технический лист'!$G$9)+365+((H7*0.00314)*'Технический лист'!$G$11))*1.95</f>
        <v>2564.6187839999998</v>
      </c>
      <c r="I8" s="16">
        <f>(((I6*0.00314)*'Технический лист'!$G$9)+365+((I7*0.00314)*'Технический лист'!$G$11))*1.95</f>
        <v>2681.4986899999999</v>
      </c>
      <c r="J8" s="16">
        <f>(((J6*0.00314)*'Технический лист'!$G$9)+365+((J7*0.00314)*'Технический лист'!$G$11))*1.95</f>
        <v>2798.378596</v>
      </c>
      <c r="K8" s="16">
        <f>(((K6*0.00314)*'Технический лист'!$G$9)+365+((K7*0.00314)*'Технический лист'!$G$11))*1.95</f>
        <v>3032.1384080000003</v>
      </c>
      <c r="L8" s="16">
        <f>(((L6*0.00314)*'Технический лист'!$G$9)+365+((L7*0.00314)*'Технический лист'!$G$11))*1.95</f>
        <v>3265.89822</v>
      </c>
      <c r="M8" s="16">
        <f>(((M6*0.00314)*'Технический лист'!$G$9)+365+((M7*0.00314)*'Технический лист'!$G$11))*1.95</f>
        <v>3499.6580319999994</v>
      </c>
      <c r="N8" s="16">
        <f>(((N6*0.00314)*'Технический лист'!$G$9)+365+((N7*0.00314)*'Технический лист'!$G$11))*1.95</f>
        <v>3850.2977500000002</v>
      </c>
      <c r="O8" s="16">
        <f>(((O6*0.00314)*'Технический лист'!$G$9)+365+((O7*0.00314)*'Технический лист'!$G$11))*1.95</f>
        <v>3967.1776559999998</v>
      </c>
      <c r="P8" s="16">
        <f>(((P6*0.00314)*'Технический лист'!$G$9)+365+((P7*0.00314)*'Технический лист'!$G$11))*1.95</f>
        <v>4084.057562</v>
      </c>
      <c r="Q8" s="16">
        <f>(((Q6*0.00314)*'Технический лист'!$G$9)+365+((Q7*0.00314)*'Технический лист'!$G$11))*1.95</f>
        <v>4200.9374680000001</v>
      </c>
      <c r="R8" s="16">
        <f>(((R6*0.00314)*'Технический лист'!$G$9)+365+((R7*0.00314)*'Технический лист'!$G$11))*1.95</f>
        <v>4317.8173740000002</v>
      </c>
      <c r="S8" s="16">
        <f>(((S6*0.00314)*'Технический лист'!$G$9)+365+((S7*0.00314)*'Технический лист'!$G$11))*1.95</f>
        <v>4434.6972799999994</v>
      </c>
    </row>
    <row r="9" spans="1:19">
      <c r="A9" s="4" t="s">
        <v>3</v>
      </c>
      <c r="B9" s="9">
        <f>((B8/2)*1.07)-10</f>
        <v>1111.9480506</v>
      </c>
      <c r="C9" s="9">
        <f t="shared" ref="C9:N9" si="2">((C8/2)*1.07)-10</f>
        <v>1174.47880031</v>
      </c>
      <c r="D9" s="9">
        <f t="shared" si="2"/>
        <v>1205.7441751650001</v>
      </c>
      <c r="E9" s="9">
        <f t="shared" si="2"/>
        <v>1237.00955002</v>
      </c>
      <c r="F9" s="9">
        <f t="shared" si="2"/>
        <v>1268.2749248750001</v>
      </c>
      <c r="G9" s="9">
        <f t="shared" si="2"/>
        <v>1299.5402997300002</v>
      </c>
      <c r="H9" s="9">
        <f t="shared" si="2"/>
        <v>1362.07104944</v>
      </c>
      <c r="I9" s="9">
        <f t="shared" si="2"/>
        <v>1424.60179915</v>
      </c>
      <c r="J9" s="9">
        <f t="shared" si="2"/>
        <v>1487.13254886</v>
      </c>
      <c r="K9" s="9">
        <f t="shared" si="2"/>
        <v>1612.1940482800003</v>
      </c>
      <c r="L9" s="9">
        <f t="shared" si="2"/>
        <v>1737.2555477000001</v>
      </c>
      <c r="M9" s="9">
        <f t="shared" si="2"/>
        <v>1862.3170471199999</v>
      </c>
      <c r="N9" s="9">
        <f t="shared" si="2"/>
        <v>2049.9092962500004</v>
      </c>
      <c r="O9" s="9">
        <f t="shared" ref="O9:S9" si="3">((O8/2)*1.07)-10</f>
        <v>2112.4400459600001</v>
      </c>
      <c r="P9" s="9">
        <f t="shared" si="3"/>
        <v>2174.9707956699999</v>
      </c>
      <c r="Q9" s="9">
        <f t="shared" si="3"/>
        <v>2237.5015453800002</v>
      </c>
      <c r="R9" s="9">
        <f t="shared" si="3"/>
        <v>2300.0322950900004</v>
      </c>
      <c r="S9" s="9">
        <f t="shared" si="3"/>
        <v>2362.5630447999997</v>
      </c>
    </row>
    <row r="10" spans="1:19">
      <c r="A10" s="4" t="s">
        <v>5</v>
      </c>
      <c r="B10" s="16">
        <f>((((B6*0.00314)*0.5)*'Технический лист'!$I$9)+310+(((B7*0.00314)*0.5)*'Технический лист'!$I$11))*1.96</f>
        <v>1740.7891573333332</v>
      </c>
      <c r="C10" s="16">
        <f>((((C6*0.00314)*0.5)*'Технический лист'!$I$9)+310+(((C7*0.00314)*0.5)*'Технический лист'!$I$11))*1.96</f>
        <v>1833.2241423999999</v>
      </c>
      <c r="D10" s="16">
        <f>((((D6*0.00314)*0.5)*'Технический лист'!$I$9)+310+(((D7*0.00314)*0.5)*'Технический лист'!$I$11))*1.96</f>
        <v>1879.4416349333333</v>
      </c>
      <c r="E10" s="16">
        <f>((((E6*0.00314)*0.5)*'Технический лист'!$I$9)+310+(((E7*0.00314)*0.5)*'Технический лист'!$I$11))*1.96</f>
        <v>1925.6591274666666</v>
      </c>
      <c r="F10" s="16">
        <f>((((F6*0.00314)*0.5)*'Технический лист'!$I$9)+310+(((F7*0.00314)*0.5)*'Технический лист'!$I$11))*1.96</f>
        <v>1971.87662</v>
      </c>
      <c r="G10" s="16">
        <f>((((G6*0.00314)*0.5)*'Технический лист'!$I$9)+310+(((G7*0.00314)*0.5)*'Технический лист'!$I$11))*1.96</f>
        <v>2018.0941125333334</v>
      </c>
      <c r="H10" s="16">
        <f>((((H6*0.00314)*0.5)*'Технический лист'!$I$9)+310+(((H7*0.00314)*0.5)*'Технический лист'!$I$11))*1.96</f>
        <v>2110.5290975999997</v>
      </c>
      <c r="I10" s="16">
        <f>((((I6*0.00314)*0.5)*'Технический лист'!$I$9)+310+(((I7*0.00314)*0.5)*'Технический лист'!$I$11))*1.96</f>
        <v>2202.9640826666669</v>
      </c>
      <c r="J10" s="16">
        <f>((((J6*0.00314)*0.5)*'Технический лист'!$I$9)+310+(((J7*0.00314)*0.5)*'Технический лист'!$I$11))*1.96</f>
        <v>2295.3990677333331</v>
      </c>
      <c r="K10" s="16">
        <f>((((K6*0.00314)*0.5)*'Технический лист'!$I$9)+310+(((K7*0.00314)*0.5)*'Технический лист'!$I$11))*1.96</f>
        <v>2480.2690378666666</v>
      </c>
      <c r="L10" s="16">
        <f>((((L6*0.00314)*0.5)*'Технический лист'!$I$9)+310+(((L7*0.00314)*0.5)*'Технический лист'!$I$11))*1.96</f>
        <v>2665.1390079999996</v>
      </c>
      <c r="M10" s="16">
        <f>((((M6*0.00314)*0.5)*'Технический лист'!$I$9)+310+(((M7*0.00314)*0.5)*'Технический лист'!$I$11))*1.96</f>
        <v>2850.0089781333331</v>
      </c>
      <c r="N10" s="16">
        <f>((((N6*0.00314)*0.5)*'Технический лист'!$I$9)+310+(((N7*0.00314)*0.5)*'Технический лист'!$I$11))*1.96</f>
        <v>3127.3139333333334</v>
      </c>
      <c r="O10" s="16">
        <f>((((O6*0.00314)*0.5)*'Технический лист'!$I$9)+310+(((O7*0.00314)*0.5)*'Технический лист'!$I$11))*1.96</f>
        <v>3219.7489183999996</v>
      </c>
      <c r="P10" s="16">
        <f>((((P6*0.00314)*0.5)*'Технический лист'!$I$9)+310+(((P7*0.00314)*0.5)*'Технический лист'!$I$11))*1.96</f>
        <v>3312.1839034666664</v>
      </c>
      <c r="Q10" s="16">
        <f>((((Q6*0.00314)*0.5)*'Технический лист'!$I$9)+310+(((Q7*0.00314)*0.5)*'Технический лист'!$I$11))*1.96</f>
        <v>3404.6188885333331</v>
      </c>
      <c r="R10" s="16">
        <f>((((R6*0.00314)*0.5)*'Технический лист'!$I$9)+310+(((R7*0.00314)*0.5)*'Технический лист'!$I$11))*1.96</f>
        <v>3497.0538735999994</v>
      </c>
      <c r="S10" s="16">
        <f>((((S6*0.00314)*0.5)*'Технический лист'!$I$9)+310+(((S7*0.00314)*0.5)*'Технический лист'!$I$11))*1.96</f>
        <v>3589.4888586666661</v>
      </c>
    </row>
    <row r="11" spans="1:19">
      <c r="A11" s="4" t="s">
        <v>96</v>
      </c>
      <c r="B11" s="9">
        <f>((B10*2)/3)-6</f>
        <v>1154.5261048888888</v>
      </c>
      <c r="C11" s="9">
        <f t="shared" ref="C11:N11" si="4">((C10*2)/3)-6</f>
        <v>1216.1494282666665</v>
      </c>
      <c r="D11" s="9">
        <f t="shared" si="4"/>
        <v>1246.9610899555555</v>
      </c>
      <c r="E11" s="9">
        <f t="shared" si="4"/>
        <v>1277.7727516444445</v>
      </c>
      <c r="F11" s="9">
        <f t="shared" si="4"/>
        <v>1308.5844133333333</v>
      </c>
      <c r="G11" s="9">
        <f t="shared" si="4"/>
        <v>1339.3960750222222</v>
      </c>
      <c r="H11" s="9">
        <f t="shared" si="4"/>
        <v>1401.0193983999998</v>
      </c>
      <c r="I11" s="9">
        <f t="shared" si="4"/>
        <v>1462.642721777778</v>
      </c>
      <c r="J11" s="9">
        <f t="shared" si="4"/>
        <v>1524.2660451555555</v>
      </c>
      <c r="K11" s="9">
        <f t="shared" si="4"/>
        <v>1647.512691911111</v>
      </c>
      <c r="L11" s="9">
        <f t="shared" si="4"/>
        <v>1770.7593386666665</v>
      </c>
      <c r="M11" s="9">
        <f t="shared" si="4"/>
        <v>1894.005985422222</v>
      </c>
      <c r="N11" s="9">
        <f t="shared" si="4"/>
        <v>2078.8759555555557</v>
      </c>
      <c r="O11" s="9">
        <f t="shared" ref="O11:S11" si="5">((O10*2)/3)-6</f>
        <v>2140.4992789333332</v>
      </c>
      <c r="P11" s="9">
        <f t="shared" si="5"/>
        <v>2202.1226023111108</v>
      </c>
      <c r="Q11" s="9">
        <f t="shared" si="5"/>
        <v>2263.7459256888887</v>
      </c>
      <c r="R11" s="9">
        <f t="shared" si="5"/>
        <v>2325.3692490666663</v>
      </c>
      <c r="S11" s="9">
        <f t="shared" si="5"/>
        <v>2386.9925724444442</v>
      </c>
    </row>
    <row r="12" spans="1:19">
      <c r="A12" s="4" t="s">
        <v>6</v>
      </c>
      <c r="B12" s="16">
        <f>((((B6*0.00314)*0.22)*'Технический лист'!$M$9)+100+(((B7*0.00314)*0.21)*'Технический лист'!$O$11)+(((B6+30)*(B6+30)/1000000)*'Технический лист'!$E$20))*1.96</f>
        <v>966.82052095999984</v>
      </c>
      <c r="C12" s="16">
        <f>((((C6*0.00314)*0.22)*'Технический лист'!$M$9)+100+(((C7*0.00314)*0.21)*'Технический лист'!$O$11)+(((C6+30)*(C6+30)/1000000)*'Технический лист'!$E$20))*1.96</f>
        <v>1037.880026176</v>
      </c>
      <c r="D12" s="16">
        <f>((((D6*0.00314)*0.22)*'Технический лист'!$M$9)+100+(((D7*0.00314)*0.21)*'Технический лист'!$O$11)+(((D6+30)*(D6+30)/1000000)*'Технический лист'!$E$20))*1.96</f>
        <v>1073.997778784</v>
      </c>
      <c r="E12" s="16">
        <f>((((E6*0.00314)*0.22)*'Технический лист'!$M$9)+100+(((E7*0.00314)*0.21)*'Технический лист'!$O$11)+(((E6+30)*(E6+30)/1000000)*'Технический лист'!$E$20))*1.96</f>
        <v>1110.5075313919999</v>
      </c>
      <c r="F12" s="16">
        <f>((((F6*0.00314)*0.22)*'Технический лист'!$M$9)+100+(((F7*0.00314)*0.21)*'Технический лист'!$O$11)+(((F6+30)*(F6+30)/1000000)*'Технический лист'!$E$20))*1.96</f>
        <v>1147.4092840000001</v>
      </c>
      <c r="G12" s="16">
        <f>((((G6*0.00314)*0.22)*'Технический лист'!$M$9)+100+(((G7*0.00314)*0.21)*'Технический лист'!$O$11)+(((G6+30)*(G6+30)/1000000)*'Технический лист'!$E$20))*1.96</f>
        <v>1184.703036608</v>
      </c>
      <c r="H12" s="16">
        <f>((((H6*0.00314)*0.22)*'Технический лист'!$M$9)+100+(((H7*0.00314)*0.21)*'Технический лист'!$O$11)+(((H6+30)*(H6+30)/1000000)*'Технический лист'!$E$20))*1.96</f>
        <v>1260.4665418239999</v>
      </c>
      <c r="I12" s="16">
        <f>((((I6*0.00314)*0.22)*'Технический лист'!$M$9)+100+(((I7*0.00314)*0.21)*'Технический лист'!$O$11)+(((I6+30)*(I6+30)/1000000)*'Технический лист'!$E$20))*1.96</f>
        <v>1337.79804704</v>
      </c>
      <c r="J12" s="16">
        <f>((((J6*0.00314)*0.22)*'Технический лист'!$M$9)+100+(((J7*0.00314)*0.21)*'Технический лист'!$O$11)+(((J6+30)*(J6+30)/1000000)*'Технический лист'!$E$20))*1.96</f>
        <v>1416.6975522559999</v>
      </c>
      <c r="K12" s="16">
        <f>((((K6*0.00314)*0.22)*'Технический лист'!$M$9)+100+(((K7*0.00314)*0.21)*'Технический лист'!$O$11)+(((K6+30)*(K6+30)/1000000)*'Технический лист'!$E$20))*1.96</f>
        <v>1579.2005626879998</v>
      </c>
      <c r="L12" s="16">
        <f>((((L6*0.00314)*0.22)*'Технический лист'!$M$9)+100+(((L7*0.00314)*0.21)*'Технический лист'!$O$11)+(((L6+30)*(L6+30)/1000000)*'Технический лист'!$E$20))*1.96</f>
        <v>1747.9755731199998</v>
      </c>
      <c r="M12" s="16">
        <f>((((M6*0.00314)*0.22)*'Технический лист'!$M$9)+100+(((M7*0.00314)*0.21)*'Технический лист'!$O$11)+(((M6+30)*(M6+30)/1000000)*'Технический лист'!$E$20))*1.96</f>
        <v>1923.022583552</v>
      </c>
      <c r="N12" s="16">
        <f>((((N6*0.00314)*0.22)*'Технический лист'!$M$9)+100+(((N7*0.00314)*0.21)*'Технический лист'!$O$11)+(((N6+30)*(N6+30)/1000000)*'Технический лист'!$E$20))*1.96</f>
        <v>2197.3530992000001</v>
      </c>
      <c r="O12" s="16">
        <f>((((O6*0.00314)*0.22)*'Технический лист'!$M$9)+100+(((O7*0.00314)*0.21)*'Технический лист'!$O$11)+(((O6+30)*(O6+30)/1000000)*'Технический лист'!$E$20))*1.96</f>
        <v>2291.9326044159998</v>
      </c>
      <c r="P12" s="16">
        <f>((((P6*0.00314)*0.22)*'Технический лист'!$M$9)+100+(((P7*0.00314)*0.21)*'Технический лист'!$O$11)+(((P6+30)*(P6+30)/1000000)*'Технический лист'!$E$20))*1.96</f>
        <v>2388.0801096319997</v>
      </c>
      <c r="Q12" s="16">
        <f>((((Q6*0.00314)*0.22)*'Технический лист'!$M$9)+100+(((Q7*0.00314)*0.21)*'Технический лист'!$O$11)+(((Q6+30)*(Q6+30)/1000000)*'Технический лист'!$E$20))*1.96</f>
        <v>2485.7956148479998</v>
      </c>
      <c r="R12" s="16">
        <f>((((R6*0.00314)*0.22)*'Технический лист'!$M$9)+100+(((R7*0.00314)*0.21)*'Технический лист'!$O$11)+(((R6+30)*(R6+30)/1000000)*'Технический лист'!$E$20))*1.96</f>
        <v>2585.0791200639997</v>
      </c>
      <c r="S12" s="16">
        <f>((((S6*0.00314)*0.22)*'Технический лист'!$M$9)+100+(((S7*0.00314)*0.21)*'Технический лист'!$O$11)+(((S6+30)*(S6+30)/1000000)*'Технический лист'!$E$20))*1.96</f>
        <v>2685.9306252799993</v>
      </c>
    </row>
    <row r="13" spans="1:19">
      <c r="A13" s="4" t="s">
        <v>7</v>
      </c>
      <c r="B13" s="9">
        <f>(B12*2.2)+24</f>
        <v>2151.0051461119997</v>
      </c>
      <c r="C13" s="9">
        <f t="shared" ref="C13:N13" si="6">(C12*2.2)+24</f>
        <v>2307.3360575872002</v>
      </c>
      <c r="D13" s="9">
        <f t="shared" si="6"/>
        <v>2386.7951133248002</v>
      </c>
      <c r="E13" s="9">
        <f t="shared" si="6"/>
        <v>2467.1165690624002</v>
      </c>
      <c r="F13" s="9">
        <f t="shared" si="6"/>
        <v>2548.3004248000002</v>
      </c>
      <c r="G13" s="9">
        <f t="shared" si="6"/>
        <v>2630.3466805376002</v>
      </c>
      <c r="H13" s="9">
        <f t="shared" si="6"/>
        <v>2797.0263920128</v>
      </c>
      <c r="I13" s="9">
        <f t="shared" si="6"/>
        <v>2967.1557034880002</v>
      </c>
      <c r="J13" s="9">
        <f t="shared" si="6"/>
        <v>3140.7346149631999</v>
      </c>
      <c r="K13" s="9">
        <f t="shared" si="6"/>
        <v>3498.2412379135999</v>
      </c>
      <c r="L13" s="9">
        <f t="shared" si="6"/>
        <v>3869.546260864</v>
      </c>
      <c r="M13" s="9">
        <f t="shared" si="6"/>
        <v>4254.6496838144003</v>
      </c>
      <c r="N13" s="9">
        <f t="shared" si="6"/>
        <v>4858.176818240001</v>
      </c>
      <c r="O13" s="9">
        <f t="shared" ref="O13:S13" si="7">(O12*2.2)+24</f>
        <v>5066.2517297151999</v>
      </c>
      <c r="P13" s="9">
        <f t="shared" si="7"/>
        <v>5277.7762411903996</v>
      </c>
      <c r="Q13" s="9">
        <f t="shared" si="7"/>
        <v>5492.7503526656001</v>
      </c>
      <c r="R13" s="9">
        <f t="shared" si="7"/>
        <v>5711.1740641407996</v>
      </c>
      <c r="S13" s="9">
        <f t="shared" si="7"/>
        <v>5933.047375615999</v>
      </c>
    </row>
    <row r="14" spans="1:19">
      <c r="A14" s="4" t="s">
        <v>8</v>
      </c>
      <c r="B14" s="16">
        <f>((((B6*0.00314)*0.2)*'Технический лист'!$M$9)+50+(((B7*0.00314)*0.22)*'Технический лист'!$O$11))*1.96</f>
        <v>716.91928746666679</v>
      </c>
      <c r="C14" s="16">
        <f>((((C6*0.00314)*0.2)*'Технический лист'!$M$9)+50+(((C7*0.00314)*0.22)*'Технический лист'!$O$11))*1.96</f>
        <v>764.20641472</v>
      </c>
      <c r="D14" s="16">
        <f>((((D6*0.00314)*0.2)*'Технический лист'!$M$9)+50+(((D7*0.00314)*0.22)*'Технический лист'!$O$11))*1.96</f>
        <v>787.8499783466666</v>
      </c>
      <c r="E14" s="16">
        <f>((((E6*0.00314)*0.2)*'Технический лист'!$M$9)+50+(((E7*0.00314)*0.22)*'Технический лист'!$O$11))*1.96</f>
        <v>811.49354197333344</v>
      </c>
      <c r="F14" s="16">
        <f>((((F6*0.00314)*0.2)*'Технический лист'!$M$9)+50+(((F7*0.00314)*0.22)*'Технический лист'!$O$11))*1.96</f>
        <v>835.13710560000015</v>
      </c>
      <c r="G14" s="16">
        <f>((((G6*0.00314)*0.2)*'Технический лист'!$M$9)+50+(((G7*0.00314)*0.22)*'Технический лист'!$O$11))*1.96</f>
        <v>858.78066922666676</v>
      </c>
      <c r="H14" s="16">
        <f>((((H6*0.00314)*0.2)*'Технический лист'!$M$9)+50+(((H7*0.00314)*0.22)*'Технический лист'!$O$11))*1.96</f>
        <v>906.06779647999997</v>
      </c>
      <c r="I14" s="16">
        <f>((((I6*0.00314)*0.2)*'Технический лист'!$M$9)+50+(((I7*0.00314)*0.22)*'Технический лист'!$O$11))*1.96</f>
        <v>953.35492373333329</v>
      </c>
      <c r="J14" s="16">
        <f>((((J6*0.00314)*0.2)*'Технический лист'!$M$9)+50+(((J7*0.00314)*0.22)*'Технический лист'!$O$11))*1.96</f>
        <v>1000.6420509866666</v>
      </c>
      <c r="K14" s="16">
        <f>((((K6*0.00314)*0.2)*'Технический лист'!$M$9)+50+(((K7*0.00314)*0.22)*'Технический лист'!$O$11))*1.96</f>
        <v>1095.2163054933335</v>
      </c>
      <c r="L14" s="16">
        <f>((((L6*0.00314)*0.2)*'Технический лист'!$M$9)+50+(((L7*0.00314)*0.22)*'Технический лист'!$O$11))*1.96</f>
        <v>1189.7905600000001</v>
      </c>
      <c r="M14" s="16">
        <f>((((M6*0.00314)*0.2)*'Технический лист'!$M$9)+50+(((M7*0.00314)*0.22)*'Технический лист'!$O$11))*1.96</f>
        <v>1284.3648145066666</v>
      </c>
      <c r="N14" s="16">
        <f>((((N6*0.00314)*0.2)*'Технический лист'!$M$9)+50+(((N7*0.00314)*0.22)*'Технический лист'!$O$11))*1.96</f>
        <v>1426.2261962666666</v>
      </c>
      <c r="O14" s="16">
        <f>((((O6*0.00314)*0.2)*'Технический лист'!$M$9)+50+(((O7*0.00314)*0.22)*'Технический лист'!$O$11))*1.96</f>
        <v>1473.5133235199999</v>
      </c>
      <c r="P14" s="16">
        <f>((((P6*0.00314)*0.2)*'Технический лист'!$M$9)+50+(((P7*0.00314)*0.22)*'Технический лист'!$O$11))*1.96</f>
        <v>1520.8004507733333</v>
      </c>
      <c r="Q14" s="16">
        <f>((((Q6*0.00314)*0.2)*'Технический лист'!$M$9)+50+(((Q7*0.00314)*0.22)*'Технический лист'!$O$11))*1.96</f>
        <v>1568.0875780266665</v>
      </c>
      <c r="R14" s="16">
        <f>((((R6*0.00314)*0.2)*'Технический лист'!$M$9)+50+(((R7*0.00314)*0.22)*'Технический лист'!$O$11))*1.96</f>
        <v>1615.3747052799999</v>
      </c>
      <c r="S14" s="16">
        <f>((((S6*0.00314)*0.2)*'Технический лист'!$M$9)+50+(((S7*0.00314)*0.22)*'Технический лист'!$O$11))*1.96</f>
        <v>1662.6618325333334</v>
      </c>
    </row>
    <row r="15" spans="1:19">
      <c r="A15" s="4" t="s">
        <v>9</v>
      </c>
      <c r="B15" s="9">
        <f>((((B6*0.00314)*((B6+545)/1000))*'Технический лист'!$K$9)+370+((B7*0.00314)*((B7+450)/1000))*'Технический лист'!$K$11)*1.97</f>
        <v>2234.2890719866664</v>
      </c>
      <c r="C15" s="9">
        <f>((((C6*0.00314)*((C6+545)/1000))*'Технический лист'!$K$9)+370+((C7*0.00314)*((C7+450)/1000))*'Технический лист'!$K$11)*1.97</f>
        <v>2382.7222503879998</v>
      </c>
      <c r="D15" s="9">
        <f>((((D6*0.00314)*((D6+545)/1000))*'Технический лист'!$K$9)+370+((D7*0.00314)*((D7+450)/1000))*'Технический лист'!$K$11)*1.97</f>
        <v>2458.3695532706665</v>
      </c>
      <c r="E15" s="9">
        <f>((((E6*0.00314)*((E6+545)/1000))*'Технический лист'!$K$9)+370+((E7*0.00314)*((E7+450)/1000))*'Технический лист'!$K$11)*1.97</f>
        <v>2534.9706652746668</v>
      </c>
      <c r="F15" s="9">
        <f>((((F6*0.00314)*((F6+545)/1000))*'Технический лист'!$K$9)+370+((F7*0.00314)*((F7+450)/1000))*'Технический лист'!$K$11)*1.97</f>
        <v>2612.5255863999996</v>
      </c>
      <c r="G15" s="9">
        <f>((((G6*0.00314)*((G6+545)/1000))*'Технический лист'!$K$9)+370+((G7*0.00314)*((G7+450)/1000))*'Технический лист'!$K$11)*1.97</f>
        <v>2691.0343166466669</v>
      </c>
      <c r="H15" s="9">
        <f>((((H6*0.00314)*((H6+545)/1000))*'Технический лист'!$K$9)+370+((H7*0.00314)*((H7+450)/1000))*'Технический лист'!$K$11)*1.97</f>
        <v>2850.9132045040001</v>
      </c>
      <c r="I15" s="9">
        <f>((((I6*0.00314)*((I6+545)/1000))*'Технический лист'!$K$9)+370+((I7*0.00314)*((I7+450)/1000))*'Технический лист'!$K$11)*1.97</f>
        <v>3014.607328846666</v>
      </c>
      <c r="J15" s="9">
        <f>((((J6*0.00314)*((J6+545)/1000))*'Технический лист'!$K$9)+370+((J7*0.00314)*((J7+450)/1000))*'Технический лист'!$K$11)*1.97</f>
        <v>3182.1166896746668</v>
      </c>
      <c r="K15" s="9">
        <f>((((K6*0.00314)*((K6+545)/1000))*'Технический лист'!$K$9)+370+((K7*0.00314)*((K7+450)/1000))*'Технический лист'!$K$11)*1.97</f>
        <v>3528.5811207866664</v>
      </c>
      <c r="L15" s="9">
        <f>((((L6*0.00314)*((L6+545)/1000))*'Технический лист'!$K$9)+370+((L7*0.00314)*((L7+450)/1000))*'Технический лист'!$K$11)*1.97</f>
        <v>3890.3064978399993</v>
      </c>
      <c r="M15" s="9">
        <f>((((M6*0.00314)*((M6+545)/1000))*'Технический лист'!$K$9)+370+((M7*0.00314)*((M7+450)/1000))*'Технический лист'!$K$11)*1.97</f>
        <v>4267.2928208346657</v>
      </c>
      <c r="N15" s="9">
        <f>((((N6*0.00314)*((N6+545)/1000))*'Технический лист'!$K$9)+370+((N7*0.00314)*((N7+450)/1000))*'Технический лист'!$K$11)*1.97</f>
        <v>4861.386578966667</v>
      </c>
      <c r="O15" s="9">
        <f>((((O6*0.00314)*((O6+545)/1000))*'Технический лист'!$K$9)+370+((O7*0.00314)*((O7+450)/1000))*'Технический лист'!$K$11)*1.97</f>
        <v>5067.0483046480003</v>
      </c>
      <c r="P15" s="9">
        <f>((((P6*0.00314)*((P6+545)/1000))*'Технический лист'!$K$9)+370+((P7*0.00314)*((P7+450)/1000))*'Технический лист'!$K$11)*1.97</f>
        <v>5276.5252668146659</v>
      </c>
      <c r="Q15" s="9">
        <f>((((Q6*0.00314)*((Q6+545)/1000))*'Технический лист'!$K$9)+370+((Q7*0.00314)*((Q7+450)/1000))*'Технический лист'!$K$11)*1.97</f>
        <v>5489.8174654666664</v>
      </c>
      <c r="R15" s="9">
        <f>((((R6*0.00314)*((R6+545)/1000))*'Технический лист'!$K$9)+370+((R7*0.00314)*((R7+450)/1000))*'Технический лист'!$K$11)*1.97</f>
        <v>5706.924900603999</v>
      </c>
      <c r="S15" s="9">
        <f>((((S6*0.00314)*((S6+545)/1000))*'Технический лист'!$K$9)+370+((S7*0.00314)*((S7+450)/1000))*'Технический лист'!$K$11)*1.97</f>
        <v>5927.8475722266658</v>
      </c>
    </row>
    <row r="16" spans="1:19" ht="0.75" hidden="1" customHeight="1">
      <c r="A16" s="4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>
      <c r="A17" s="4" t="s">
        <v>118</v>
      </c>
      <c r="B17" s="16">
        <v>1800</v>
      </c>
      <c r="C17" s="16">
        <v>1800</v>
      </c>
      <c r="D17" s="16">
        <v>1800</v>
      </c>
      <c r="E17" s="16">
        <v>1800</v>
      </c>
      <c r="F17" s="16">
        <v>1800</v>
      </c>
      <c r="G17" s="16">
        <v>1800</v>
      </c>
      <c r="H17" s="16">
        <v>1800</v>
      </c>
      <c r="I17" s="16">
        <v>1800</v>
      </c>
      <c r="J17" s="16">
        <v>1800</v>
      </c>
      <c r="K17" s="16">
        <v>1800</v>
      </c>
      <c r="L17" s="16">
        <v>1800</v>
      </c>
      <c r="M17" s="16">
        <v>1800</v>
      </c>
      <c r="N17" s="16">
        <v>1800</v>
      </c>
      <c r="O17" s="16">
        <v>1800</v>
      </c>
      <c r="P17" s="16">
        <v>1800</v>
      </c>
      <c r="Q17" s="16">
        <v>1800</v>
      </c>
      <c r="R17" s="16">
        <v>1800</v>
      </c>
      <c r="S17" s="16">
        <v>1800</v>
      </c>
    </row>
    <row r="19" spans="1:19">
      <c r="A19" s="41" t="s">
        <v>62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19">
      <c r="A20" s="3" t="s">
        <v>0</v>
      </c>
      <c r="B20" s="10">
        <v>100</v>
      </c>
      <c r="C20" s="10">
        <v>110</v>
      </c>
      <c r="D20" s="10">
        <v>115</v>
      </c>
      <c r="E20" s="10">
        <v>120</v>
      </c>
      <c r="F20" s="10">
        <v>125</v>
      </c>
      <c r="G20" s="10">
        <v>130</v>
      </c>
      <c r="H20" s="10">
        <v>140</v>
      </c>
      <c r="I20" s="10">
        <v>150</v>
      </c>
      <c r="J20" s="10">
        <v>160</v>
      </c>
      <c r="K20" s="10">
        <v>180</v>
      </c>
      <c r="L20" s="10">
        <v>200</v>
      </c>
      <c r="M20" s="10">
        <v>220</v>
      </c>
      <c r="N20" s="10">
        <v>250</v>
      </c>
      <c r="O20" s="10">
        <v>260</v>
      </c>
      <c r="P20" s="10">
        <v>270</v>
      </c>
      <c r="Q20" s="10">
        <v>280</v>
      </c>
      <c r="R20" s="10">
        <v>290</v>
      </c>
      <c r="S20" s="10">
        <v>300</v>
      </c>
    </row>
    <row r="21" spans="1:19">
      <c r="A21" s="3" t="s">
        <v>1</v>
      </c>
      <c r="B21" s="10">
        <f>B20+100</f>
        <v>200</v>
      </c>
      <c r="C21" s="10">
        <f t="shared" ref="C21:N21" si="8">C20+100</f>
        <v>210</v>
      </c>
      <c r="D21" s="10">
        <f t="shared" si="8"/>
        <v>215</v>
      </c>
      <c r="E21" s="10">
        <f t="shared" si="8"/>
        <v>220</v>
      </c>
      <c r="F21" s="10">
        <f t="shared" si="8"/>
        <v>225</v>
      </c>
      <c r="G21" s="10">
        <f t="shared" si="8"/>
        <v>230</v>
      </c>
      <c r="H21" s="10">
        <f t="shared" si="8"/>
        <v>240</v>
      </c>
      <c r="I21" s="10">
        <f t="shared" si="8"/>
        <v>250</v>
      </c>
      <c r="J21" s="10">
        <f t="shared" si="8"/>
        <v>260</v>
      </c>
      <c r="K21" s="10">
        <f t="shared" si="8"/>
        <v>280</v>
      </c>
      <c r="L21" s="10">
        <f t="shared" si="8"/>
        <v>300</v>
      </c>
      <c r="M21" s="10">
        <f t="shared" si="8"/>
        <v>320</v>
      </c>
      <c r="N21" s="10">
        <f t="shared" si="8"/>
        <v>350</v>
      </c>
      <c r="O21" s="10">
        <f t="shared" ref="O21:S21" si="9">O20+100</f>
        <v>360</v>
      </c>
      <c r="P21" s="10">
        <f t="shared" si="9"/>
        <v>370</v>
      </c>
      <c r="Q21" s="10">
        <f t="shared" si="9"/>
        <v>380</v>
      </c>
      <c r="R21" s="10">
        <f t="shared" si="9"/>
        <v>390</v>
      </c>
      <c r="S21" s="10">
        <f t="shared" si="9"/>
        <v>400</v>
      </c>
    </row>
    <row r="22" spans="1:19">
      <c r="A22" s="4" t="s">
        <v>4</v>
      </c>
      <c r="B22" s="16">
        <f>(((B20*0.00314)*'Технический лист'!$G$9)+365+((B21*0.00314)*'Технический лист'!$G$5))*1.95</f>
        <v>3055.1445600000002</v>
      </c>
      <c r="C22" s="16">
        <f>(((C20*0.00314)*'Технический лист'!$G$9)+365+((C21*0.00314)*'Технический лист'!$G$5))*1.95</f>
        <v>3219.9267359999994</v>
      </c>
      <c r="D22" s="16">
        <f>(((D20*0.00314)*'Технический лист'!$G$9)+365+((D21*0.00314)*'Технический лист'!$G$5))*1.95</f>
        <v>3302.3178240000002</v>
      </c>
      <c r="E22" s="16">
        <f>(((E20*0.00314)*'Технический лист'!$G$9)+365+((E21*0.00314)*'Технический лист'!$G$5))*1.95</f>
        <v>3384.7089120000001</v>
      </c>
      <c r="F22" s="16">
        <f>(((F20*0.00314)*'Технический лист'!$G$9)+365+((F21*0.00314)*'Технический лист'!$G$5))*1.95</f>
        <v>3467.1</v>
      </c>
      <c r="G22" s="16">
        <f>(((G20*0.00314)*'Технический лист'!$G$9)+365+((G21*0.00314)*'Технический лист'!$G$5))*1.95</f>
        <v>3549.4910879999998</v>
      </c>
      <c r="H22" s="16">
        <f>(((H20*0.00314)*'Технический лист'!$G$9)+365+((H21*0.00314)*'Технический лист'!$G$5))*1.95</f>
        <v>3714.2732639999999</v>
      </c>
      <c r="I22" s="16">
        <f>(((I20*0.00314)*'Технический лист'!$G$9)+365+((I21*0.00314)*'Технический лист'!$G$5))*1.95</f>
        <v>3879.0554399999996</v>
      </c>
      <c r="J22" s="16">
        <f>(((J20*0.00314)*'Технический лист'!$G$9)+365+((J21*0.00314)*'Технический лист'!$G$5))*1.95</f>
        <v>4043.8376160000003</v>
      </c>
      <c r="K22" s="16">
        <f>(((K20*0.00314)*'Технический лист'!$G$9)+365+((K21*0.00314)*'Технический лист'!$G$5))*1.95</f>
        <v>4373.4019680000001</v>
      </c>
      <c r="L22" s="16">
        <f>(((L20*0.00314)*'Технический лист'!$G$9)+365+((L21*0.00314)*'Технический лист'!$G$5))*1.95</f>
        <v>4702.9663199999995</v>
      </c>
      <c r="M22" s="16">
        <f>(((M20*0.00314)*'Технический лист'!$G$9)+365+((M21*0.00314)*'Технический лист'!$G$5))*1.95</f>
        <v>5032.5306719999999</v>
      </c>
      <c r="N22" s="16">
        <f>(((N20*0.00314)*'Технический лист'!$G$9)+365+((N21*0.00314)*'Технический лист'!$G$5))*1.95</f>
        <v>5526.8772000000008</v>
      </c>
      <c r="O22" s="16">
        <f>(((O20*0.00314)*'Технический лист'!$G$9)+365+((O21*0.00314)*'Технический лист'!$G$5))*1.95</f>
        <v>5691.6593759999996</v>
      </c>
      <c r="P22" s="16">
        <f>(((P20*0.00314)*'Технический лист'!$G$9)+365+((P21*0.00314)*'Технический лист'!$G$5))*1.95</f>
        <v>5856.4415519999993</v>
      </c>
      <c r="Q22" s="16">
        <f>(((Q20*0.00314)*'Технический лист'!$G$9)+365+((Q21*0.00314)*'Технический лист'!$G$5))*1.95</f>
        <v>6021.2237279999999</v>
      </c>
      <c r="R22" s="16">
        <f>(((R20*0.00314)*'Технический лист'!$G$9)+365+((R21*0.00314)*'Технический лист'!$G$5))*1.95</f>
        <v>6186.0059039999987</v>
      </c>
      <c r="S22" s="16">
        <f>(((S20*0.00314)*'Технический лист'!$G$9)+365+((S21*0.00314)*'Технический лист'!$G$5))*1.95</f>
        <v>6350.7880800000003</v>
      </c>
    </row>
    <row r="23" spans="1:19">
      <c r="A23" s="4" t="s">
        <v>3</v>
      </c>
      <c r="B23" s="9">
        <f>((B22/2)*1.07)-10</f>
        <v>1624.5023396000001</v>
      </c>
      <c r="C23" s="9">
        <f t="shared" ref="C23:N23" si="10">((C22/2)*1.07)-10</f>
        <v>1712.6608037599999</v>
      </c>
      <c r="D23" s="9">
        <f t="shared" si="10"/>
        <v>1756.7400358400002</v>
      </c>
      <c r="E23" s="9">
        <f t="shared" si="10"/>
        <v>1800.8192679200001</v>
      </c>
      <c r="F23" s="9">
        <f t="shared" si="10"/>
        <v>1844.8985</v>
      </c>
      <c r="G23" s="9">
        <f t="shared" si="10"/>
        <v>1888.9777320799999</v>
      </c>
      <c r="H23" s="9">
        <f t="shared" si="10"/>
        <v>1977.1361962400001</v>
      </c>
      <c r="I23" s="9">
        <f t="shared" si="10"/>
        <v>2065.2946603999999</v>
      </c>
      <c r="J23" s="9">
        <f t="shared" si="10"/>
        <v>2153.4531245600001</v>
      </c>
      <c r="K23" s="9">
        <f t="shared" si="10"/>
        <v>2329.7700528800001</v>
      </c>
      <c r="L23" s="9">
        <f t="shared" si="10"/>
        <v>2506.0869812000001</v>
      </c>
      <c r="M23" s="9">
        <f t="shared" si="10"/>
        <v>2682.4039095200001</v>
      </c>
      <c r="N23" s="9">
        <f t="shared" si="10"/>
        <v>2946.8793020000007</v>
      </c>
      <c r="O23" s="9">
        <f t="shared" ref="O23:S23" si="11">((O22/2)*1.07)-10</f>
        <v>3035.03776616</v>
      </c>
      <c r="P23" s="9">
        <f t="shared" si="11"/>
        <v>3123.1962303199998</v>
      </c>
      <c r="Q23" s="9">
        <f t="shared" si="11"/>
        <v>3211.35469448</v>
      </c>
      <c r="R23" s="9">
        <f t="shared" si="11"/>
        <v>3299.5131586399993</v>
      </c>
      <c r="S23" s="9">
        <f t="shared" si="11"/>
        <v>3387.6716228000005</v>
      </c>
    </row>
    <row r="24" spans="1:19">
      <c r="A24" s="4" t="s">
        <v>5</v>
      </c>
      <c r="B24" s="16">
        <f>((((B20*0.00314)*0.5)*'Технический лист'!$I$9)+310+(((B21*0.00314)*0.5)*'Технический лист'!$I$5))*1.96</f>
        <v>2422.286384</v>
      </c>
      <c r="C24" s="16">
        <f>((((C20*0.00314)*0.5)*'Технический лист'!$I$9)+310+(((C21*0.00314)*0.5)*'Технический лист'!$I$5))*1.96</f>
        <v>2548.7962303999998</v>
      </c>
      <c r="D24" s="16">
        <f>((((D20*0.00314)*0.5)*'Технический лист'!$I$9)+310+(((D21*0.00314)*0.5)*'Технический лист'!$I$5))*1.96</f>
        <v>2612.0511536000004</v>
      </c>
      <c r="E24" s="16">
        <f>((((E20*0.00314)*0.5)*'Технический лист'!$I$9)+310+(((E21*0.00314)*0.5)*'Технический лист'!$I$5))*1.96</f>
        <v>2675.3060768</v>
      </c>
      <c r="F24" s="16">
        <f>((((F20*0.00314)*0.5)*'Технический лист'!$I$9)+310+(((F21*0.00314)*0.5)*'Технический лист'!$I$5))*1.96</f>
        <v>2738.5609999999997</v>
      </c>
      <c r="G24" s="16">
        <f>((((G20*0.00314)*0.5)*'Технический лист'!$I$9)+310+(((G21*0.00314)*0.5)*'Технический лист'!$I$5))*1.96</f>
        <v>2801.8159231999994</v>
      </c>
      <c r="H24" s="16">
        <f>((((H20*0.00314)*0.5)*'Технический лист'!$I$9)+310+(((H21*0.00314)*0.5)*'Технический лист'!$I$5))*1.96</f>
        <v>2928.3257696000001</v>
      </c>
      <c r="I24" s="16">
        <f>((((I20*0.00314)*0.5)*'Технический лист'!$I$9)+310+(((I21*0.00314)*0.5)*'Технический лист'!$I$5))*1.96</f>
        <v>3054.8356159999994</v>
      </c>
      <c r="J24" s="16">
        <f>((((J20*0.00314)*0.5)*'Технический лист'!$I$9)+310+(((J21*0.00314)*0.5)*'Технический лист'!$I$5))*1.96</f>
        <v>3181.3454624000001</v>
      </c>
      <c r="K24" s="16">
        <f>((((K20*0.00314)*0.5)*'Технический лист'!$I$9)+310+(((K21*0.00314)*0.5)*'Технический лист'!$I$5))*1.96</f>
        <v>3434.3651552000001</v>
      </c>
      <c r="L24" s="16">
        <f>((((L20*0.00314)*0.5)*'Технический лист'!$I$9)+310+(((L21*0.00314)*0.5)*'Технический лист'!$I$5))*1.96</f>
        <v>3687.3848479999997</v>
      </c>
      <c r="M24" s="16">
        <f>((((M20*0.00314)*0.5)*'Технический лист'!$I$9)+310+(((M21*0.00314)*0.5)*'Технический лист'!$I$5))*1.96</f>
        <v>3940.4045407999997</v>
      </c>
      <c r="N24" s="16">
        <f>((((N20*0.00314)*0.5)*'Технический лист'!$I$9)+310+(((N21*0.00314)*0.5)*'Технический лист'!$I$5))*1.96</f>
        <v>4319.9340799999991</v>
      </c>
      <c r="O24" s="16">
        <f>((((O20*0.00314)*0.5)*'Технический лист'!$I$9)+310+(((O21*0.00314)*0.5)*'Технический лист'!$I$5))*1.96</f>
        <v>4446.4439264000002</v>
      </c>
      <c r="P24" s="16">
        <f>((((P20*0.00314)*0.5)*'Технический лист'!$I$9)+310+(((P21*0.00314)*0.5)*'Технический лист'!$I$5))*1.96</f>
        <v>4572.9537727999996</v>
      </c>
      <c r="Q24" s="16">
        <f>((((Q20*0.00314)*0.5)*'Технический лист'!$I$9)+310+(((Q21*0.00314)*0.5)*'Технический лист'!$I$5))*1.96</f>
        <v>4699.4636191999998</v>
      </c>
      <c r="R24" s="16">
        <f>((((R20*0.00314)*0.5)*'Технический лист'!$I$9)+310+(((R21*0.00314)*0.5)*'Технический лист'!$I$5))*1.96</f>
        <v>4825.9734655999991</v>
      </c>
      <c r="S24" s="16">
        <f>((((S20*0.00314)*0.5)*'Технический лист'!$I$9)+310+(((S21*0.00314)*0.5)*'Технический лист'!$I$5))*1.96</f>
        <v>4952.4833119999994</v>
      </c>
    </row>
    <row r="25" spans="1:19">
      <c r="A25" s="4" t="s">
        <v>96</v>
      </c>
      <c r="B25" s="9">
        <f>((B24*2)/3)-6</f>
        <v>1608.8575893333334</v>
      </c>
      <c r="C25" s="9">
        <f t="shared" ref="C25:N25" si="12">((C24*2)/3)-6</f>
        <v>1693.1974869333333</v>
      </c>
      <c r="D25" s="9">
        <f t="shared" si="12"/>
        <v>1735.3674357333337</v>
      </c>
      <c r="E25" s="9">
        <f t="shared" si="12"/>
        <v>1777.5373845333334</v>
      </c>
      <c r="F25" s="9">
        <f t="shared" si="12"/>
        <v>1819.7073333333331</v>
      </c>
      <c r="G25" s="9">
        <f t="shared" si="12"/>
        <v>1861.877282133333</v>
      </c>
      <c r="H25" s="9">
        <f t="shared" si="12"/>
        <v>1946.2171797333333</v>
      </c>
      <c r="I25" s="9">
        <f t="shared" si="12"/>
        <v>2030.5570773333329</v>
      </c>
      <c r="J25" s="9">
        <f t="shared" si="12"/>
        <v>2114.8969749333332</v>
      </c>
      <c r="K25" s="9">
        <f t="shared" si="12"/>
        <v>2283.5767701333334</v>
      </c>
      <c r="L25" s="9">
        <f t="shared" si="12"/>
        <v>2452.2565653333331</v>
      </c>
      <c r="M25" s="9">
        <f t="shared" si="12"/>
        <v>2620.9363605333333</v>
      </c>
      <c r="N25" s="9">
        <f t="shared" si="12"/>
        <v>2873.9560533333329</v>
      </c>
      <c r="O25" s="9">
        <f t="shared" ref="O25:S25" si="13">((O24*2)/3)-6</f>
        <v>2958.2959509333336</v>
      </c>
      <c r="P25" s="9">
        <f t="shared" si="13"/>
        <v>3042.635848533333</v>
      </c>
      <c r="Q25" s="9">
        <f t="shared" si="13"/>
        <v>3126.9757461333334</v>
      </c>
      <c r="R25" s="9">
        <f t="shared" si="13"/>
        <v>3211.3156437333328</v>
      </c>
      <c r="S25" s="9">
        <f t="shared" si="13"/>
        <v>3295.6555413333331</v>
      </c>
    </row>
    <row r="26" spans="1:19">
      <c r="A26" s="4" t="s">
        <v>6</v>
      </c>
      <c r="B26" s="16">
        <f>((((B20*0.00314)*0.22)*'Технический лист'!$M$9)+100+(((B21*0.00314)*0.21)*'Технический лист'!$O$5)+(((B20+30)*(B20+30)/1000000)*'Технический лист'!$E$20))*1.96</f>
        <v>1209.1069401599998</v>
      </c>
      <c r="C26" s="16">
        <f>((((C20*0.00314)*0.22)*'Технический лист'!$M$9)+100+(((C21*0.00314)*0.21)*'Технический лист'!$O$5)+(((C20+30)*(C20+30)/1000000)*'Технический лист'!$E$20))*1.96</f>
        <v>1292.2807663359999</v>
      </c>
      <c r="D26" s="16">
        <f>((((D20*0.00314)*0.22)*'Технический лист'!$M$9)+100+(((D21*0.00314)*0.21)*'Технический лист'!$O$5)+(((D20+30)*(D20+30)/1000000)*'Технический лист'!$E$20))*1.96</f>
        <v>1334.455679424</v>
      </c>
      <c r="E26" s="16">
        <f>((((E20*0.00314)*0.22)*'Технический лист'!$M$9)+100+(((E21*0.00314)*0.21)*'Технический лист'!$O$5)+(((E20+30)*(E20+30)/1000000)*'Технический лист'!$E$20))*1.96</f>
        <v>1377.0225925119998</v>
      </c>
      <c r="F26" s="16">
        <f>((((F20*0.00314)*0.22)*'Технический лист'!$M$9)+100+(((F21*0.00314)*0.21)*'Технический лист'!$O$5)+(((F20+30)*(F20+30)/1000000)*'Технический лист'!$E$20))*1.96</f>
        <v>1419.9815056</v>
      </c>
      <c r="G26" s="16">
        <f>((((G20*0.00314)*0.22)*'Технический лист'!$M$9)+100+(((G21*0.00314)*0.21)*'Технический лист'!$O$5)+(((G20+30)*(G20+30)/1000000)*'Технический лист'!$E$20))*1.96</f>
        <v>1463.3324186879997</v>
      </c>
      <c r="H26" s="16">
        <f>((((H20*0.00314)*0.22)*'Технический лист'!$M$9)+100+(((H21*0.00314)*0.21)*'Технический лист'!$O$5)+(((H20+30)*(H20+30)/1000000)*'Технический лист'!$E$20))*1.96</f>
        <v>1551.2102448640001</v>
      </c>
      <c r="I26" s="16">
        <f>((((I20*0.00314)*0.22)*'Технический лист'!$M$9)+100+(((I21*0.00314)*0.21)*'Технический лист'!$O$5)+(((I20+30)*(I20+30)/1000000)*'Технический лист'!$E$20))*1.96</f>
        <v>1640.6560710399997</v>
      </c>
      <c r="J26" s="16">
        <f>((((J20*0.00314)*0.22)*'Технический лист'!$M$9)+100+(((J21*0.00314)*0.21)*'Технический лист'!$O$5)+(((J20+30)*(J20+30)/1000000)*'Технический лист'!$E$20))*1.96</f>
        <v>1731.6698972159998</v>
      </c>
      <c r="K26" s="16">
        <f>((((K20*0.00314)*0.22)*'Технический лист'!$M$9)+100+(((K21*0.00314)*0.21)*'Технический лист'!$O$5)+(((K20+30)*(K20+30)/1000000)*'Технический лист'!$E$20))*1.96</f>
        <v>1918.4015495679998</v>
      </c>
      <c r="L26" s="16">
        <f>((((L20*0.00314)*0.22)*'Технический лист'!$M$9)+100+(((L21*0.00314)*0.21)*'Технический лист'!$O$5)+(((L20+30)*(L20+30)/1000000)*'Технический лист'!$E$20))*1.96</f>
        <v>2111.4052019199994</v>
      </c>
      <c r="M26" s="16">
        <f>((((M20*0.00314)*0.22)*'Технический лист'!$M$9)+100+(((M21*0.00314)*0.21)*'Технический лист'!$O$5)+(((M20+30)*(M20+30)/1000000)*'Технический лист'!$E$20))*1.96</f>
        <v>2310.680854272</v>
      </c>
      <c r="N26" s="16">
        <f>((((N20*0.00314)*0.22)*'Технический лист'!$M$9)+100+(((N21*0.00314)*0.21)*'Технический лист'!$O$5)+(((N20+30)*(N20+30)/1000000)*'Технический лист'!$E$20))*1.96</f>
        <v>2621.3543327999996</v>
      </c>
      <c r="O26" s="16">
        <f>((((O20*0.00314)*0.22)*'Технический лист'!$M$9)+100+(((O21*0.00314)*0.21)*'Технический лист'!$O$5)+(((O20+30)*(O20+30)/1000000)*'Технический лист'!$E$20))*1.96</f>
        <v>2728.0481589759997</v>
      </c>
      <c r="P26" s="16">
        <f>((((P20*0.00314)*0.22)*'Технический лист'!$M$9)+100+(((P21*0.00314)*0.21)*'Технический лист'!$O$5)+(((P20+30)*(P20+30)/1000000)*'Технический лист'!$E$20))*1.96</f>
        <v>2836.3099851519996</v>
      </c>
      <c r="Q26" s="16">
        <f>((((Q20*0.00314)*0.22)*'Технический лист'!$M$9)+100+(((Q21*0.00314)*0.21)*'Технический лист'!$O$5)+(((Q20+30)*(Q20+30)/1000000)*'Технический лист'!$E$20))*1.96</f>
        <v>2946.1398113279997</v>
      </c>
      <c r="R26" s="16">
        <f>((((R20*0.00314)*0.22)*'Технический лист'!$M$9)+100+(((R21*0.00314)*0.21)*'Технический лист'!$O$5)+(((R20+30)*(R20+30)/1000000)*'Технический лист'!$E$20))*1.96</f>
        <v>3057.537637504</v>
      </c>
      <c r="S26" s="16">
        <f>((((S20*0.00314)*0.22)*'Технический лист'!$M$9)+100+(((S21*0.00314)*0.21)*'Технический лист'!$O$5)+(((S20+30)*(S20+30)/1000000)*'Технический лист'!$E$20))*1.96</f>
        <v>3170.5034636799996</v>
      </c>
    </row>
    <row r="27" spans="1:19">
      <c r="A27" s="4" t="s">
        <v>7</v>
      </c>
      <c r="B27" s="9">
        <f>(B26*2.2)+24</f>
        <v>2684.0352683519995</v>
      </c>
      <c r="C27" s="9">
        <f t="shared" ref="C27:N27" si="14">(C26*2.2)+24</f>
        <v>2867.0176859392</v>
      </c>
      <c r="D27" s="9">
        <f t="shared" si="14"/>
        <v>2959.8024947328004</v>
      </c>
      <c r="E27" s="9">
        <f t="shared" si="14"/>
        <v>3053.4497035263998</v>
      </c>
      <c r="F27" s="9">
        <f t="shared" si="14"/>
        <v>3147.9593123200002</v>
      </c>
      <c r="G27" s="9">
        <f t="shared" si="14"/>
        <v>3243.3313211135996</v>
      </c>
      <c r="H27" s="9">
        <f t="shared" si="14"/>
        <v>3436.6625387008003</v>
      </c>
      <c r="I27" s="9">
        <f t="shared" si="14"/>
        <v>3633.4433562879994</v>
      </c>
      <c r="J27" s="9">
        <f t="shared" si="14"/>
        <v>3833.6737738751999</v>
      </c>
      <c r="K27" s="9">
        <f t="shared" si="14"/>
        <v>4244.4834090495997</v>
      </c>
      <c r="L27" s="9">
        <f t="shared" si="14"/>
        <v>4669.0914442239991</v>
      </c>
      <c r="M27" s="9">
        <f t="shared" si="14"/>
        <v>5107.4978793984001</v>
      </c>
      <c r="N27" s="9">
        <f t="shared" si="14"/>
        <v>5790.9795321599995</v>
      </c>
      <c r="O27" s="9">
        <f t="shared" ref="O27:S27" si="15">(O26*2.2)+24</f>
        <v>6025.7059497472001</v>
      </c>
      <c r="P27" s="9">
        <f t="shared" si="15"/>
        <v>6263.8819673343996</v>
      </c>
      <c r="Q27" s="9">
        <f t="shared" si="15"/>
        <v>6505.5075849216</v>
      </c>
      <c r="R27" s="9">
        <f t="shared" si="15"/>
        <v>6750.5828025088003</v>
      </c>
      <c r="S27" s="9">
        <f t="shared" si="15"/>
        <v>6999.1076200959997</v>
      </c>
    </row>
    <row r="28" spans="1:19">
      <c r="A28" s="4" t="s">
        <v>8</v>
      </c>
      <c r="B28" s="16">
        <f>((((B20*0.00314)*0.2)*'Технический лист'!$M$9)+50+(((B21*0.00314)*0.22)*'Технический лист'!$O$5))*1.96</f>
        <v>970.74315520000016</v>
      </c>
      <c r="C28" s="16">
        <f>((((C20*0.00314)*0.2)*'Технический лист'!$M$9)+50+(((C21*0.00314)*0.22)*'Технический лист'!$O$5))*1.96</f>
        <v>1030.7214758399998</v>
      </c>
      <c r="D28" s="16">
        <f>((((D20*0.00314)*0.2)*'Технический лист'!$M$9)+50+(((D21*0.00314)*0.22)*'Технический лист'!$O$5))*1.96</f>
        <v>1060.7106361599999</v>
      </c>
      <c r="E28" s="16">
        <f>((((E20*0.00314)*0.2)*'Технический лист'!$M$9)+50+(((E21*0.00314)*0.22)*'Технический лист'!$O$5))*1.96</f>
        <v>1090.69979648</v>
      </c>
      <c r="F28" s="16">
        <f>((((F20*0.00314)*0.2)*'Технический лист'!$M$9)+50+(((F21*0.00314)*0.22)*'Технический лист'!$O$5))*1.96</f>
        <v>1120.6889567999999</v>
      </c>
      <c r="G28" s="16">
        <f>((((G20*0.00314)*0.2)*'Технический лист'!$M$9)+50+(((G21*0.00314)*0.22)*'Технический лист'!$O$5))*1.96</f>
        <v>1150.67811712</v>
      </c>
      <c r="H28" s="16">
        <f>((((H20*0.00314)*0.2)*'Технический лист'!$M$9)+50+(((H21*0.00314)*0.22)*'Технический лист'!$O$5))*1.96</f>
        <v>1210.65643776</v>
      </c>
      <c r="I28" s="16">
        <f>((((I20*0.00314)*0.2)*'Технический лист'!$M$9)+50+(((I21*0.00314)*0.22)*'Технический лист'!$O$5))*1.96</f>
        <v>1270.6347584</v>
      </c>
      <c r="J28" s="16">
        <f>((((J20*0.00314)*0.2)*'Технический лист'!$M$9)+50+(((J21*0.00314)*0.22)*'Технический лист'!$O$5))*1.96</f>
        <v>1330.61307904</v>
      </c>
      <c r="K28" s="16">
        <f>((((K20*0.00314)*0.2)*'Технический лист'!$M$9)+50+(((K21*0.00314)*0.22)*'Технический лист'!$O$5))*1.96</f>
        <v>1450.56972032</v>
      </c>
      <c r="L28" s="16">
        <f>((((L20*0.00314)*0.2)*'Технический лист'!$M$9)+50+(((L21*0.00314)*0.22)*'Технический лист'!$O$5))*1.96</f>
        <v>1570.5263616</v>
      </c>
      <c r="M28" s="16">
        <f>((((M20*0.00314)*0.2)*'Технический лист'!$M$9)+50+(((M21*0.00314)*0.22)*'Технический лист'!$O$5))*1.96</f>
        <v>1690.4830028799997</v>
      </c>
      <c r="N28" s="16">
        <f>((((N20*0.00314)*0.2)*'Технический лист'!$M$9)+50+(((N21*0.00314)*0.22)*'Технический лист'!$O$5))*1.96</f>
        <v>1870.4179647999999</v>
      </c>
      <c r="O28" s="16">
        <f>((((O20*0.00314)*0.2)*'Технический лист'!$M$9)+50+(((O21*0.00314)*0.22)*'Технический лист'!$O$5))*1.96</f>
        <v>1930.3962854399999</v>
      </c>
      <c r="P28" s="16">
        <f>((((P20*0.00314)*0.2)*'Технический лист'!$M$9)+50+(((P21*0.00314)*0.22)*'Технический лист'!$O$5))*1.96</f>
        <v>1990.3746060799997</v>
      </c>
      <c r="Q28" s="16">
        <f>((((Q20*0.00314)*0.2)*'Технический лист'!$M$9)+50+(((Q21*0.00314)*0.22)*'Технический лист'!$O$5))*1.96</f>
        <v>2050.3529267200001</v>
      </c>
      <c r="R28" s="16">
        <f>((((R20*0.00314)*0.2)*'Технический лист'!$M$9)+50+(((R21*0.00314)*0.22)*'Технический лист'!$O$5))*1.96</f>
        <v>2110.3312473599999</v>
      </c>
      <c r="S28" s="16">
        <f>((((S20*0.00314)*0.2)*'Технический лист'!$M$9)+50+(((S21*0.00314)*0.22)*'Технический лист'!$O$5))*1.96</f>
        <v>2170.3095680000001</v>
      </c>
    </row>
    <row r="29" spans="1:19">
      <c r="A29" s="4" t="s">
        <v>9</v>
      </c>
      <c r="B29" s="9">
        <f>((((B20*0.00314)*((B20+545)/1000))*'Технический лист'!$K$9)+370+((B21*0.00314)*((B21+450)/1000))*'Технический лист'!$K$5)*1.97</f>
        <v>3269.5033213200004</v>
      </c>
      <c r="C29" s="9">
        <f>((((C20*0.00314)*((C20+545)/1000))*'Технический лист'!$K$9)+370+((C21*0.00314)*((C21+450)/1000))*'Технический лист'!$K$5)*1.97</f>
        <v>3486.4199039079999</v>
      </c>
      <c r="D29" s="9">
        <f>((((D20*0.00314)*((D20+545)/1000))*'Технический лист'!$K$9)+370+((D21*0.00314)*((D21+450)/1000))*'Технический лист'!$K$5)*1.97</f>
        <v>3596.906147874</v>
      </c>
      <c r="E29" s="9">
        <f>((((E20*0.00314)*((E20+545)/1000))*'Технический лист'!$K$9)+370+((E21*0.00314)*((E21+450)/1000))*'Технический лист'!$K$5)*1.97</f>
        <v>3708.7443602879998</v>
      </c>
      <c r="F29" s="9">
        <f>((((F20*0.00314)*((F20+545)/1000))*'Технический лист'!$K$9)+370+((F21*0.00314)*((F21+450)/1000))*'Технический лист'!$K$5)*1.97</f>
        <v>3821.9345411499999</v>
      </c>
      <c r="G29" s="9">
        <f>((((G20*0.00314)*((G20+545)/1000))*'Технический лист'!$K$9)+370+((G21*0.00314)*((G21+450)/1000))*'Технический лист'!$K$5)*1.97</f>
        <v>3936.4766904600001</v>
      </c>
      <c r="H29" s="9">
        <f>((((H20*0.00314)*((H20+545)/1000))*'Технический лист'!$K$9)+370+((H21*0.00314)*((H21+450)/1000))*'Технический лист'!$K$5)*1.97</f>
        <v>4169.6168944239998</v>
      </c>
      <c r="I29" s="9">
        <f>((((I20*0.00314)*((I20+545)/1000))*'Технический лист'!$K$9)+370+((I21*0.00314)*((I21+450)/1000))*'Технический лист'!$K$5)*1.97</f>
        <v>4408.1649721799995</v>
      </c>
      <c r="J29" s="9">
        <f>((((J20*0.00314)*((J20+545)/1000))*'Технический лист'!$K$9)+370+((J21*0.00314)*((J21+450)/1000))*'Технический лист'!$K$5)*1.97</f>
        <v>4652.1209237279991</v>
      </c>
      <c r="K29" s="9">
        <f>((((K20*0.00314)*((K20+545)/1000))*'Технический лист'!$K$9)+370+((K21*0.00314)*((K21+450)/1000))*'Технический лист'!$K$5)*1.97</f>
        <v>5156.2564481999998</v>
      </c>
      <c r="L29" s="9">
        <f>((((L20*0.00314)*((L20+545)/1000))*'Технический лист'!$K$9)+370+((L21*0.00314)*((L21+450)/1000))*'Технический лист'!$K$5)*1.97</f>
        <v>5682.0234678399993</v>
      </c>
      <c r="M29" s="9">
        <f>((((M20*0.00314)*((M20+545)/1000))*'Технический лист'!$K$9)+370+((M21*0.00314)*((M21+450)/1000))*'Технический лист'!$K$5)*1.97</f>
        <v>6229.4219826479994</v>
      </c>
      <c r="N29" s="9">
        <f>((((N20*0.00314)*((N20+545)/1000))*'Технический лист'!$K$9)+370+((N21*0.00314)*((N21+450)/1000))*'Технический лист'!$K$5)*1.97</f>
        <v>7091.0788083000007</v>
      </c>
      <c r="O29" s="9">
        <f>((((O20*0.00314)*((O20+545)/1000))*'Технический лист'!$K$9)+370+((O21*0.00314)*((O21+450)/1000))*'Технический лист'!$K$5)*1.97</f>
        <v>7389.1134977680003</v>
      </c>
      <c r="P29" s="9">
        <f>((((P20*0.00314)*((P20+545)/1000))*'Технический лист'!$K$9)+370+((P21*0.00314)*((P21+450)/1000))*'Технический лист'!$K$5)*1.97</f>
        <v>7692.556061027999</v>
      </c>
      <c r="Q29" s="9">
        <f>((((Q20*0.00314)*((Q20+545)/1000))*'Технический лист'!$K$9)+370+((Q21*0.00314)*((Q21+450)/1000))*'Технический лист'!$K$5)*1.97</f>
        <v>8001.4064980799994</v>
      </c>
      <c r="R29" s="9">
        <f>((((R20*0.00314)*((R20+545)/1000))*'Технический лист'!$K$9)+370+((R21*0.00314)*((R21+450)/1000))*'Технический лист'!$K$5)*1.97</f>
        <v>8315.6648089239989</v>
      </c>
      <c r="S29" s="9">
        <f>((((S20*0.00314)*((S20+545)/1000))*'Технический лист'!$K$9)+370+((S21*0.00314)*((S21+450)/1000))*'Технический лист'!$K$5)*1.97</f>
        <v>8635.3309935599991</v>
      </c>
    </row>
    <row r="30" spans="1:19" hidden="1">
      <c r="A30" s="4" t="s">
        <v>8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>
      <c r="A31" s="4" t="s">
        <v>119</v>
      </c>
      <c r="B31" s="16">
        <v>2100</v>
      </c>
      <c r="C31" s="16">
        <v>2100</v>
      </c>
      <c r="D31" s="16">
        <v>2100</v>
      </c>
      <c r="E31" s="16">
        <v>2100</v>
      </c>
      <c r="F31" s="16">
        <v>2100</v>
      </c>
      <c r="G31" s="16">
        <v>2100</v>
      </c>
      <c r="H31" s="16">
        <v>2100</v>
      </c>
      <c r="I31" s="16">
        <v>2100</v>
      </c>
      <c r="J31" s="16">
        <v>2100</v>
      </c>
      <c r="K31" s="16">
        <v>2100</v>
      </c>
      <c r="L31" s="16">
        <v>2100</v>
      </c>
      <c r="M31" s="16">
        <v>2100</v>
      </c>
      <c r="N31" s="16">
        <v>2100</v>
      </c>
      <c r="O31" s="16">
        <v>2100</v>
      </c>
      <c r="P31" s="16">
        <v>2100</v>
      </c>
      <c r="Q31" s="16">
        <v>2100</v>
      </c>
      <c r="R31" s="16">
        <v>2100</v>
      </c>
      <c r="S31" s="16">
        <v>2100</v>
      </c>
    </row>
  </sheetData>
  <mergeCells count="6">
    <mergeCell ref="A19:N19"/>
    <mergeCell ref="A1:C1"/>
    <mergeCell ref="D1:O1"/>
    <mergeCell ref="D2:O2"/>
    <mergeCell ref="D3:O3"/>
    <mergeCell ref="A5:O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S31"/>
  <sheetViews>
    <sheetView zoomScale="80" zoomScaleNormal="80" workbookViewId="0">
      <selection activeCell="B31" sqref="B31:S31"/>
    </sheetView>
  </sheetViews>
  <sheetFormatPr defaultRowHeight="14.4"/>
  <cols>
    <col min="1" max="1" width="26.6640625" customWidth="1"/>
    <col min="2" max="19" width="6.33203125" customWidth="1"/>
  </cols>
  <sheetData>
    <row r="1" spans="1:19" ht="45" customHeight="1">
      <c r="A1" s="32"/>
      <c r="B1" s="32"/>
      <c r="C1" s="32"/>
      <c r="D1" s="40" t="s">
        <v>94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1"/>
      <c r="Q1" s="1"/>
    </row>
    <row r="2" spans="1:19" ht="15" customHeight="1">
      <c r="D2" s="34" t="s">
        <v>95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1"/>
    </row>
    <row r="3" spans="1:19" ht="15" customHeight="1">
      <c r="D3" s="34" t="s">
        <v>112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9" ht="2.25" customHeight="1"/>
    <row r="5" spans="1:19">
      <c r="A5" s="41" t="s">
        <v>109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1:19">
      <c r="A6" s="3" t="s">
        <v>0</v>
      </c>
      <c r="B6" s="10">
        <v>100</v>
      </c>
      <c r="C6" s="10">
        <v>110</v>
      </c>
      <c r="D6" s="10">
        <v>115</v>
      </c>
      <c r="E6" s="10">
        <v>120</v>
      </c>
      <c r="F6" s="10">
        <v>125</v>
      </c>
      <c r="G6" s="10">
        <v>130</v>
      </c>
      <c r="H6" s="10">
        <v>140</v>
      </c>
      <c r="I6" s="10">
        <v>150</v>
      </c>
      <c r="J6" s="10">
        <v>160</v>
      </c>
      <c r="K6" s="10">
        <v>180</v>
      </c>
      <c r="L6" s="10">
        <v>200</v>
      </c>
      <c r="M6" s="10">
        <v>220</v>
      </c>
      <c r="N6" s="10">
        <v>250</v>
      </c>
      <c r="O6" s="10">
        <v>260</v>
      </c>
      <c r="P6" s="10">
        <v>270</v>
      </c>
      <c r="Q6" s="10">
        <v>280</v>
      </c>
      <c r="R6" s="10">
        <v>290</v>
      </c>
      <c r="S6" s="10">
        <v>300</v>
      </c>
    </row>
    <row r="7" spans="1:19">
      <c r="A7" s="3" t="s">
        <v>1</v>
      </c>
      <c r="B7" s="10">
        <f>B6+100</f>
        <v>200</v>
      </c>
      <c r="C7" s="10">
        <f t="shared" ref="C7:N7" si="0">C6+100</f>
        <v>210</v>
      </c>
      <c r="D7" s="10">
        <f t="shared" si="0"/>
        <v>215</v>
      </c>
      <c r="E7" s="10">
        <f t="shared" si="0"/>
        <v>220</v>
      </c>
      <c r="F7" s="10">
        <f t="shared" si="0"/>
        <v>225</v>
      </c>
      <c r="G7" s="10">
        <f t="shared" si="0"/>
        <v>230</v>
      </c>
      <c r="H7" s="10">
        <f t="shared" si="0"/>
        <v>240</v>
      </c>
      <c r="I7" s="10">
        <f t="shared" si="0"/>
        <v>250</v>
      </c>
      <c r="J7" s="10">
        <f t="shared" si="0"/>
        <v>260</v>
      </c>
      <c r="K7" s="10">
        <f t="shared" si="0"/>
        <v>280</v>
      </c>
      <c r="L7" s="10">
        <f t="shared" si="0"/>
        <v>300</v>
      </c>
      <c r="M7" s="10">
        <f t="shared" si="0"/>
        <v>320</v>
      </c>
      <c r="N7" s="10">
        <f t="shared" si="0"/>
        <v>350</v>
      </c>
      <c r="O7" s="10">
        <f t="shared" ref="O7:S7" si="1">O6+100</f>
        <v>360</v>
      </c>
      <c r="P7" s="10">
        <f t="shared" si="1"/>
        <v>370</v>
      </c>
      <c r="Q7" s="10">
        <f t="shared" si="1"/>
        <v>380</v>
      </c>
      <c r="R7" s="10">
        <f t="shared" si="1"/>
        <v>390</v>
      </c>
      <c r="S7" s="10">
        <f t="shared" si="1"/>
        <v>400</v>
      </c>
    </row>
    <row r="8" spans="1:19">
      <c r="A8" s="4" t="s">
        <v>4</v>
      </c>
      <c r="B8" s="16">
        <f>(((B6*0.00314)*'Технический лист'!$G$10)+365+((B7*0.00314)*'Технический лист'!$G$11))*1.95</f>
        <v>2545.5858493506494</v>
      </c>
      <c r="C8" s="16">
        <f>(((C6*0.00314)*'Технический лист'!$G$10)+365+((C7*0.00314)*'Технический лист'!$G$11))*1.95</f>
        <v>2707.3144242857138</v>
      </c>
      <c r="D8" s="16">
        <f>(((D6*0.00314)*'Технический лист'!$G$10)+365+((D7*0.00314)*'Технический лист'!$G$11))*1.95</f>
        <v>2788.1787117532463</v>
      </c>
      <c r="E8" s="16">
        <f>(((E6*0.00314)*'Технический лист'!$G$10)+365+((E7*0.00314)*'Технический лист'!$G$11))*1.95</f>
        <v>2869.0429992207792</v>
      </c>
      <c r="F8" s="16">
        <f>(((F6*0.00314)*'Технический лист'!$G$10)+365+((F7*0.00314)*'Технический лист'!$G$11))*1.95</f>
        <v>2949.9072866883116</v>
      </c>
      <c r="G8" s="16">
        <f>(((G6*0.00314)*'Технический лист'!$G$10)+365+((G7*0.00314)*'Технический лист'!$G$11))*1.95</f>
        <v>3030.7715741558436</v>
      </c>
      <c r="H8" s="16">
        <f>(((H6*0.00314)*'Технический лист'!$G$10)+365+((H7*0.00314)*'Технический лист'!$G$11))*1.95</f>
        <v>3192.500149090909</v>
      </c>
      <c r="I8" s="16">
        <f>(((I6*0.00314)*'Технический лист'!$G$10)+365+((I7*0.00314)*'Технический лист'!$G$11))*1.95</f>
        <v>3354.2287240259739</v>
      </c>
      <c r="J8" s="16">
        <f>(((J6*0.00314)*'Технический лист'!$G$10)+365+((J7*0.00314)*'Технический лист'!$G$11))*1.95</f>
        <v>3515.9572989610383</v>
      </c>
      <c r="K8" s="16">
        <f>(((K6*0.00314)*'Технический лист'!$G$10)+365+((K7*0.00314)*'Технический лист'!$G$11))*1.95</f>
        <v>3839.4144488311686</v>
      </c>
      <c r="L8" s="16">
        <f>(((L6*0.00314)*'Технический лист'!$G$10)+365+((L7*0.00314)*'Технический лист'!$G$11))*1.95</f>
        <v>4162.8715987012984</v>
      </c>
      <c r="M8" s="16">
        <f>(((M6*0.00314)*'Технический лист'!$G$10)+365+((M7*0.00314)*'Технический лист'!$G$11))*1.95</f>
        <v>4486.3287485714282</v>
      </c>
      <c r="N8" s="16">
        <f>(((N6*0.00314)*'Технический лист'!$G$10)+365+((N7*0.00314)*'Технический лист'!$G$11))*1.95</f>
        <v>4971.5144733766228</v>
      </c>
      <c r="O8" s="16">
        <f>(((O6*0.00314)*'Технический лист'!$G$10)+365+((O7*0.00314)*'Технический лист'!$G$11))*1.95</f>
        <v>5133.2430483116868</v>
      </c>
      <c r="P8" s="16">
        <f>(((P6*0.00314)*'Технический лист'!$G$10)+365+((P7*0.00314)*'Технический лист'!$G$11))*1.95</f>
        <v>5294.9716232467526</v>
      </c>
      <c r="Q8" s="16">
        <f>(((Q6*0.00314)*'Технический лист'!$G$10)+365+((Q7*0.00314)*'Технический лист'!$G$11))*1.95</f>
        <v>5456.7001981818166</v>
      </c>
      <c r="R8" s="16">
        <f>(((R6*0.00314)*'Технический лист'!$G$10)+365+((R7*0.00314)*'Технический лист'!$G$11))*1.95</f>
        <v>5618.4287731168824</v>
      </c>
      <c r="S8" s="16">
        <f>(((S6*0.00314)*'Технический лист'!$G$10)+365+((S7*0.00314)*'Технический лист'!$G$11))*1.95</f>
        <v>5780.1573480519473</v>
      </c>
    </row>
    <row r="9" spans="1:19">
      <c r="A9" s="4" t="s">
        <v>3</v>
      </c>
      <c r="B9" s="9">
        <f>((B8/2)*1.07)-10</f>
        <v>1351.8884294025975</v>
      </c>
      <c r="C9" s="9">
        <f t="shared" ref="C9:N9" si="2">((C8/2)*1.07)-10</f>
        <v>1438.4132169928571</v>
      </c>
      <c r="D9" s="9">
        <f t="shared" si="2"/>
        <v>1481.6756107879869</v>
      </c>
      <c r="E9" s="9">
        <f t="shared" si="2"/>
        <v>1524.9380045831169</v>
      </c>
      <c r="F9" s="9">
        <f t="shared" si="2"/>
        <v>1568.2003983782467</v>
      </c>
      <c r="G9" s="9">
        <f t="shared" si="2"/>
        <v>1611.4627921733763</v>
      </c>
      <c r="H9" s="9">
        <f t="shared" si="2"/>
        <v>1697.9875797636364</v>
      </c>
      <c r="I9" s="9">
        <f t="shared" si="2"/>
        <v>1784.512367353896</v>
      </c>
      <c r="J9" s="9">
        <f t="shared" si="2"/>
        <v>1871.0371549441556</v>
      </c>
      <c r="K9" s="9">
        <f t="shared" si="2"/>
        <v>2044.0867301246753</v>
      </c>
      <c r="L9" s="9">
        <f t="shared" si="2"/>
        <v>2217.1363053051946</v>
      </c>
      <c r="M9" s="9">
        <f t="shared" si="2"/>
        <v>2390.1858804857143</v>
      </c>
      <c r="N9" s="9">
        <f t="shared" si="2"/>
        <v>2649.7602432564936</v>
      </c>
      <c r="O9" s="9">
        <f t="shared" ref="O9:S9" si="3">((O8/2)*1.07)-10</f>
        <v>2736.2850308467528</v>
      </c>
      <c r="P9" s="9">
        <f t="shared" si="3"/>
        <v>2822.8098184370128</v>
      </c>
      <c r="Q9" s="9">
        <f t="shared" si="3"/>
        <v>2909.334606027272</v>
      </c>
      <c r="R9" s="9">
        <f t="shared" si="3"/>
        <v>2995.8593936175321</v>
      </c>
      <c r="S9" s="9">
        <f t="shared" si="3"/>
        <v>3082.3841812077922</v>
      </c>
    </row>
    <row r="10" spans="1:19">
      <c r="A10" s="4" t="s">
        <v>5</v>
      </c>
      <c r="B10" s="16">
        <f>((((B6*0.00314)*0.5)*'Технический лист'!$I$10)+310+(((B7*0.00314)*0.5)*'Технический лист'!$I$11))*1.96</f>
        <v>1996.9544678787877</v>
      </c>
      <c r="C10" s="16">
        <f>((((C6*0.00314)*0.5)*'Технический лист'!$I$10)+310+(((C7*0.00314)*0.5)*'Технический лист'!$I$11))*1.96</f>
        <v>2115.0059839999999</v>
      </c>
      <c r="D10" s="16">
        <f>((((D6*0.00314)*0.5)*'Технический лист'!$I$10)+310+(((D7*0.00314)*0.5)*'Технический лист'!$I$11))*1.96</f>
        <v>2174.0317420606061</v>
      </c>
      <c r="E10" s="16">
        <f>((((E6*0.00314)*0.5)*'Технический лист'!$I$10)+310+(((E7*0.00314)*0.5)*'Технический лист'!$I$11))*1.96</f>
        <v>2233.0575001212123</v>
      </c>
      <c r="F10" s="16">
        <f>((((F6*0.00314)*0.5)*'Технический лист'!$I$10)+310+(((F7*0.00314)*0.5)*'Технический лист'!$I$11))*1.96</f>
        <v>2292.0832581818181</v>
      </c>
      <c r="G10" s="16">
        <f>((((G6*0.00314)*0.5)*'Технический лист'!$I$10)+310+(((G7*0.00314)*0.5)*'Технический лист'!$I$11))*1.96</f>
        <v>2351.1090162424243</v>
      </c>
      <c r="H10" s="16">
        <f>((((H6*0.00314)*0.5)*'Технический лист'!$I$10)+310+(((H7*0.00314)*0.5)*'Технический лист'!$I$11))*1.96</f>
        <v>2469.1605323636363</v>
      </c>
      <c r="I10" s="16">
        <f>((((I6*0.00314)*0.5)*'Технический лист'!$I$10)+310+(((I7*0.00314)*0.5)*'Технический лист'!$I$11))*1.96</f>
        <v>2587.2120484848488</v>
      </c>
      <c r="J10" s="16">
        <f>((((J6*0.00314)*0.5)*'Технический лист'!$I$10)+310+(((J7*0.00314)*0.5)*'Технический лист'!$I$11))*1.96</f>
        <v>2705.2635646060603</v>
      </c>
      <c r="K10" s="16">
        <f>((((K6*0.00314)*0.5)*'Технический лист'!$I$10)+310+(((K7*0.00314)*0.5)*'Технический лист'!$I$11))*1.96</f>
        <v>2941.3665968484852</v>
      </c>
      <c r="L10" s="16">
        <f>((((L6*0.00314)*0.5)*'Технический лист'!$I$10)+310+(((L7*0.00314)*0.5)*'Технический лист'!$I$11))*1.96</f>
        <v>3177.4696290909092</v>
      </c>
      <c r="M10" s="16">
        <f>((((M6*0.00314)*0.5)*'Технический лист'!$I$10)+310+(((M7*0.00314)*0.5)*'Технический лист'!$I$11))*1.96</f>
        <v>3413.5726613333331</v>
      </c>
      <c r="N10" s="16">
        <f>((((N6*0.00314)*0.5)*'Технический лист'!$I$10)+310+(((N7*0.00314)*0.5)*'Технический лист'!$I$11))*1.96</f>
        <v>3767.7272096969696</v>
      </c>
      <c r="O10" s="16">
        <f>((((O6*0.00314)*0.5)*'Технический лист'!$I$10)+310+(((O7*0.00314)*0.5)*'Технический лист'!$I$11))*1.96</f>
        <v>3885.778725818182</v>
      </c>
      <c r="P10" s="16">
        <f>((((P6*0.00314)*0.5)*'Технический лист'!$I$10)+310+(((P7*0.00314)*0.5)*'Технический лист'!$I$11))*1.96</f>
        <v>4003.830241939394</v>
      </c>
      <c r="Q10" s="16">
        <f>((((Q6*0.00314)*0.5)*'Технический лист'!$I$10)+310+(((Q7*0.00314)*0.5)*'Технический лист'!$I$11))*1.96</f>
        <v>4121.8817580606055</v>
      </c>
      <c r="R10" s="16">
        <f>((((R6*0.00314)*0.5)*'Технический лист'!$I$10)+310+(((R7*0.00314)*0.5)*'Технический лист'!$I$11))*1.96</f>
        <v>4239.9332741818171</v>
      </c>
      <c r="S10" s="16">
        <f>((((S6*0.00314)*0.5)*'Технический лист'!$I$10)+310+(((S7*0.00314)*0.5)*'Технический лист'!$I$11))*1.96</f>
        <v>4357.9847903030295</v>
      </c>
    </row>
    <row r="11" spans="1:19">
      <c r="A11" s="4" t="s">
        <v>96</v>
      </c>
      <c r="B11" s="9">
        <f>((B10*2)/3)-6</f>
        <v>1325.3029785858585</v>
      </c>
      <c r="C11" s="9">
        <f t="shared" ref="C11:N11" si="4">((C10*2)/3)-6</f>
        <v>1404.0039893333333</v>
      </c>
      <c r="D11" s="9">
        <f t="shared" si="4"/>
        <v>1443.3544947070707</v>
      </c>
      <c r="E11" s="9">
        <f t="shared" si="4"/>
        <v>1482.7050000808083</v>
      </c>
      <c r="F11" s="9">
        <f t="shared" si="4"/>
        <v>1522.0555054545455</v>
      </c>
      <c r="G11" s="9">
        <f t="shared" si="4"/>
        <v>1561.4060108282829</v>
      </c>
      <c r="H11" s="9">
        <f t="shared" si="4"/>
        <v>1640.1070215757575</v>
      </c>
      <c r="I11" s="9">
        <f t="shared" si="4"/>
        <v>1718.8080323232325</v>
      </c>
      <c r="J11" s="9">
        <f t="shared" si="4"/>
        <v>1797.5090430707069</v>
      </c>
      <c r="K11" s="9">
        <f t="shared" si="4"/>
        <v>1954.9110645656567</v>
      </c>
      <c r="L11" s="9">
        <f t="shared" si="4"/>
        <v>2112.3130860606061</v>
      </c>
      <c r="M11" s="9">
        <f t="shared" si="4"/>
        <v>2269.7151075555553</v>
      </c>
      <c r="N11" s="9">
        <f t="shared" si="4"/>
        <v>2505.8181397979797</v>
      </c>
      <c r="O11" s="9">
        <f t="shared" ref="O11:S11" si="5">((O10*2)/3)-6</f>
        <v>2584.5191505454545</v>
      </c>
      <c r="P11" s="9">
        <f t="shared" si="5"/>
        <v>2663.2201612929293</v>
      </c>
      <c r="Q11" s="9">
        <f t="shared" si="5"/>
        <v>2741.9211720404037</v>
      </c>
      <c r="R11" s="9">
        <f t="shared" si="5"/>
        <v>2820.622182787878</v>
      </c>
      <c r="S11" s="9">
        <f t="shared" si="5"/>
        <v>2899.3231935353529</v>
      </c>
    </row>
    <row r="12" spans="1:19">
      <c r="A12" s="4" t="s">
        <v>6</v>
      </c>
      <c r="B12" s="16">
        <f>((((B6*0.00314)*0.22)*'Технический лист'!$M$10)+100+(((B7*0.00314)*0.21)*'Технический лист'!$O$11)+(((B6+30)*(B6+30)/1000000)*'Технический лист'!$E$20))*1.96</f>
        <v>1072.7634176000001</v>
      </c>
      <c r="C12" s="16">
        <f>((((C6*0.00314)*0.22)*'Технический лист'!$M$10)+100+(((C7*0.00314)*0.21)*'Технический лист'!$O$11)+(((C6+30)*(C6+30)/1000000)*'Технический лист'!$E$20))*1.96</f>
        <v>1154.41721248</v>
      </c>
      <c r="D12" s="16">
        <f>((((D6*0.00314)*0.22)*'Технический лист'!$M$10)+100+(((D7*0.00314)*0.21)*'Технический лист'!$O$11)+(((D6+30)*(D6+30)/1000000)*'Технический лист'!$E$20))*1.96</f>
        <v>1195.83210992</v>
      </c>
      <c r="E12" s="16">
        <f>((((E6*0.00314)*0.22)*'Технический лист'!$M$10)+100+(((E7*0.00314)*0.21)*'Технический лист'!$O$11)+(((E6+30)*(E6+30)/1000000)*'Технический лист'!$E$20))*1.96</f>
        <v>1237.6390073600001</v>
      </c>
      <c r="F12" s="16">
        <f>((((F6*0.00314)*0.22)*'Технический лист'!$M$10)+100+(((F7*0.00314)*0.21)*'Технический лист'!$O$11)+(((F6+30)*(F6+30)/1000000)*'Технический лист'!$E$20))*1.96</f>
        <v>1279.8379047999999</v>
      </c>
      <c r="G12" s="16">
        <f>((((G6*0.00314)*0.22)*'Технический лист'!$M$10)+100+(((G7*0.00314)*0.21)*'Технический лист'!$O$11)+(((G6+30)*(G6+30)/1000000)*'Технический лист'!$E$20))*1.96</f>
        <v>1322.4288022400001</v>
      </c>
      <c r="H12" s="16">
        <f>((((H6*0.00314)*0.22)*'Технический лист'!$M$10)+100+(((H7*0.00314)*0.21)*'Технический лист'!$O$11)+(((H6+30)*(H6+30)/1000000)*'Технический лист'!$E$20))*1.96</f>
        <v>1408.7865971200001</v>
      </c>
      <c r="I12" s="16">
        <f>((((I6*0.00314)*0.22)*'Технический лист'!$M$10)+100+(((I7*0.00314)*0.21)*'Технический лист'!$O$11)+(((I6+30)*(I6+30)/1000000)*'Технический лист'!$E$20))*1.96</f>
        <v>1496.7123919999999</v>
      </c>
      <c r="J12" s="16">
        <f>((((J6*0.00314)*0.22)*'Технический лист'!$M$10)+100+(((J7*0.00314)*0.21)*'Технический лист'!$O$11)+(((J6+30)*(J6+30)/1000000)*'Технический лист'!$E$20))*1.96</f>
        <v>1586.2061868799999</v>
      </c>
      <c r="K12" s="16">
        <f>((((K6*0.00314)*0.22)*'Технический лист'!$M$10)+100+(((K7*0.00314)*0.21)*'Технический лист'!$O$11)+(((K6+30)*(K6+30)/1000000)*'Технический лист'!$E$20))*1.96</f>
        <v>1769.8977766400001</v>
      </c>
      <c r="L12" s="16">
        <f>((((L6*0.00314)*0.22)*'Технический лист'!$M$10)+100+(((L7*0.00314)*0.21)*'Технический лист'!$O$11)+(((L6+30)*(L6+30)/1000000)*'Технический лист'!$E$20))*1.96</f>
        <v>1959.8613664</v>
      </c>
      <c r="M12" s="16">
        <f>((((M6*0.00314)*0.22)*'Технический лист'!$M$10)+100+(((M7*0.00314)*0.21)*'Технический лист'!$O$11)+(((M6+30)*(M6+30)/1000000)*'Технический лист'!$E$20))*1.96</f>
        <v>2156.09695616</v>
      </c>
      <c r="N12" s="16">
        <f>((((N6*0.00314)*0.22)*'Технический лист'!$M$10)+100+(((N7*0.00314)*0.21)*'Технический лист'!$O$11)+(((N6+30)*(N6+30)/1000000)*'Технический лист'!$E$20))*1.96</f>
        <v>2462.2103407999998</v>
      </c>
      <c r="O12" s="16">
        <f>((((O6*0.00314)*0.22)*'Технический лист'!$M$10)+100+(((O7*0.00314)*0.21)*'Технический лист'!$O$11)+(((O6+30)*(O6+30)/1000000)*'Технический лист'!$E$20))*1.96</f>
        <v>2567.3841356799999</v>
      </c>
      <c r="P12" s="16">
        <f>((((P6*0.00314)*0.22)*'Технический лист'!$M$10)+100+(((P7*0.00314)*0.21)*'Технический лист'!$O$11)+(((P6+30)*(P6+30)/1000000)*'Технический лист'!$E$20))*1.96</f>
        <v>2674.1259305599997</v>
      </c>
      <c r="Q12" s="16">
        <f>((((Q6*0.00314)*0.22)*'Технический лист'!$M$10)+100+(((Q7*0.00314)*0.21)*'Технический лист'!$O$11)+(((Q6+30)*(Q6+30)/1000000)*'Технический лист'!$E$20))*1.96</f>
        <v>2782.4357254399997</v>
      </c>
      <c r="R12" s="16">
        <f>((((R6*0.00314)*0.22)*'Технический лист'!$M$10)+100+(((R7*0.00314)*0.21)*'Технический лист'!$O$11)+(((R6+30)*(R6+30)/1000000)*'Технический лист'!$E$20))*1.96</f>
        <v>2892.31352032</v>
      </c>
      <c r="S12" s="16">
        <f>((((S6*0.00314)*0.22)*'Технический лист'!$M$10)+100+(((S7*0.00314)*0.21)*'Технический лист'!$O$11)+(((S6+30)*(S6+30)/1000000)*'Технический лист'!$E$20))*1.96</f>
        <v>3003.7593151999995</v>
      </c>
    </row>
    <row r="13" spans="1:19">
      <c r="A13" s="4" t="s">
        <v>7</v>
      </c>
      <c r="B13" s="9">
        <f>(B12*2.2)+24</f>
        <v>2384.0795187200006</v>
      </c>
      <c r="C13" s="9">
        <f t="shared" ref="C13:N13" si="6">(C12*2.2)+24</f>
        <v>2563.717867456</v>
      </c>
      <c r="D13" s="9">
        <f t="shared" si="6"/>
        <v>2654.8306418240004</v>
      </c>
      <c r="E13" s="9">
        <f t="shared" si="6"/>
        <v>2746.8058161920003</v>
      </c>
      <c r="F13" s="9">
        <f t="shared" si="6"/>
        <v>2839.6433905600002</v>
      </c>
      <c r="G13" s="9">
        <f t="shared" si="6"/>
        <v>2933.3433649280005</v>
      </c>
      <c r="H13" s="9">
        <f t="shared" si="6"/>
        <v>3123.3305136640006</v>
      </c>
      <c r="I13" s="9">
        <f t="shared" si="6"/>
        <v>3316.7672624000002</v>
      </c>
      <c r="J13" s="9">
        <f t="shared" si="6"/>
        <v>3513.6536111360001</v>
      </c>
      <c r="K13" s="9">
        <f t="shared" si="6"/>
        <v>3917.7751086080007</v>
      </c>
      <c r="L13" s="9">
        <f t="shared" si="6"/>
        <v>4335.69500608</v>
      </c>
      <c r="M13" s="9">
        <f t="shared" si="6"/>
        <v>4767.4133035520008</v>
      </c>
      <c r="N13" s="9">
        <f t="shared" si="6"/>
        <v>5440.86274976</v>
      </c>
      <c r="O13" s="9">
        <f t="shared" ref="O13:S13" si="7">(O12*2.2)+24</f>
        <v>5672.2450984960005</v>
      </c>
      <c r="P13" s="9">
        <f t="shared" si="7"/>
        <v>5907.077047232</v>
      </c>
      <c r="Q13" s="9">
        <f t="shared" si="7"/>
        <v>6145.3585959679995</v>
      </c>
      <c r="R13" s="9">
        <f t="shared" si="7"/>
        <v>6387.0897447040006</v>
      </c>
      <c r="S13" s="9">
        <f t="shared" si="7"/>
        <v>6632.270493439999</v>
      </c>
    </row>
    <row r="14" spans="1:19">
      <c r="A14" s="4" t="s">
        <v>8</v>
      </c>
      <c r="B14" s="16">
        <f>((((B6*0.00314)*0.2)*'Технический лист'!$M$10)+50+(((B7*0.00314)*0.22)*'Технический лист'!$O$11))*1.96</f>
        <v>813.23101168484857</v>
      </c>
      <c r="C14" s="16">
        <f>((((C6*0.00314)*0.2)*'Технический лист'!$M$10)+50+(((C7*0.00314)*0.22)*'Технический лист'!$O$11))*1.96</f>
        <v>870.14931136000007</v>
      </c>
      <c r="D14" s="16">
        <f>((((D6*0.00314)*0.2)*'Технический лист'!$M$10)+50+(((D7*0.00314)*0.22)*'Технический лист'!$O$11))*1.96</f>
        <v>898.60846119757571</v>
      </c>
      <c r="E14" s="16">
        <f>((((E6*0.00314)*0.2)*'Технический лист'!$M$10)+50+(((E7*0.00314)*0.22)*'Технический лист'!$O$11))*1.96</f>
        <v>927.06761103515146</v>
      </c>
      <c r="F14" s="16">
        <f>((((F6*0.00314)*0.2)*'Технический лист'!$M$10)+50+(((F7*0.00314)*0.22)*'Технический лист'!$O$11))*1.96</f>
        <v>955.52676087272744</v>
      </c>
      <c r="G14" s="16">
        <f>((((G6*0.00314)*0.2)*'Технический лист'!$M$10)+50+(((G7*0.00314)*0.22)*'Технический лист'!$O$11))*1.96</f>
        <v>983.98591071030307</v>
      </c>
      <c r="H14" s="16">
        <f>((((H6*0.00314)*0.2)*'Технический лист'!$M$10)+50+(((H7*0.00314)*0.22)*'Технический лист'!$O$11))*1.96</f>
        <v>1040.9042103854545</v>
      </c>
      <c r="I14" s="16">
        <f>((((I6*0.00314)*0.2)*'Технический лист'!$M$10)+50+(((I7*0.00314)*0.22)*'Технический лист'!$O$11))*1.96</f>
        <v>1097.8225100606062</v>
      </c>
      <c r="J14" s="16">
        <f>((((J6*0.00314)*0.2)*'Технический лист'!$M$10)+50+(((J7*0.00314)*0.22)*'Технический лист'!$O$11))*1.96</f>
        <v>1154.7408097357575</v>
      </c>
      <c r="K14" s="16">
        <f>((((K6*0.00314)*0.2)*'Технический лист'!$M$10)+50+(((K7*0.00314)*0.22)*'Технический лист'!$O$11))*1.96</f>
        <v>1268.5774090860607</v>
      </c>
      <c r="L14" s="16">
        <f>((((L6*0.00314)*0.2)*'Технический лист'!$M$10)+50+(((L7*0.00314)*0.22)*'Технический лист'!$O$11))*1.96</f>
        <v>1382.4140084363637</v>
      </c>
      <c r="M14" s="16">
        <f>((((M6*0.00314)*0.2)*'Технический лист'!$M$10)+50+(((M7*0.00314)*0.22)*'Технический лист'!$O$11))*1.96</f>
        <v>1496.2506077866665</v>
      </c>
      <c r="N14" s="16">
        <f>((((N6*0.00314)*0.2)*'Технический лист'!$M$10)+50+(((N7*0.00314)*0.22)*'Технический лист'!$O$11))*1.96</f>
        <v>1667.0055068121214</v>
      </c>
      <c r="O14" s="16">
        <f>((((O6*0.00314)*0.2)*'Технический лист'!$M$10)+50+(((O7*0.00314)*0.22)*'Технический лист'!$O$11))*1.96</f>
        <v>1723.9238064872729</v>
      </c>
      <c r="P14" s="16">
        <f>((((P6*0.00314)*0.2)*'Технический лист'!$M$10)+50+(((P7*0.00314)*0.22)*'Технический лист'!$O$11))*1.96</f>
        <v>1780.8421061624244</v>
      </c>
      <c r="Q14" s="16">
        <f>((((Q6*0.00314)*0.2)*'Технический лист'!$M$10)+50+(((Q7*0.00314)*0.22)*'Технический лист'!$O$11))*1.96</f>
        <v>1837.7604058375757</v>
      </c>
      <c r="R14" s="16">
        <f>((((R6*0.00314)*0.2)*'Технический лист'!$M$10)+50+(((R7*0.00314)*0.22)*'Технический лист'!$O$11))*1.96</f>
        <v>1894.6787055127272</v>
      </c>
      <c r="S14" s="16">
        <f>((((S6*0.00314)*0.2)*'Технический лист'!$M$10)+50+(((S7*0.00314)*0.22)*'Технический лист'!$O$11))*1.96</f>
        <v>1951.5970051878787</v>
      </c>
    </row>
    <row r="15" spans="1:19">
      <c r="A15" s="4" t="s">
        <v>9</v>
      </c>
      <c r="B15" s="9">
        <f>((((B6*0.00314)*((B6+545)/1000))*'Технический лист'!$K$10)+370+((B7*0.00314)*((B7+450)/1000))*'Технический лист'!$K$11)*1.97</f>
        <v>2554.4587855627706</v>
      </c>
      <c r="C15" s="9">
        <f>((((C6*0.00314)*((C6+545)/1000))*'Технический лист'!$K$10)+370+((C7*0.00314)*((C7+450)/1000))*'Технический лист'!$K$11)*1.97</f>
        <v>2740.3691940028571</v>
      </c>
      <c r="D15" s="9">
        <f>((((D6*0.00314)*((D6+545)/1000))*'Технический лист'!$K$10)+370+((D7*0.00314)*((D7+450)/1000))*'Технический лист'!$K$11)*1.97</f>
        <v>2835.1274022695234</v>
      </c>
      <c r="E15" s="9">
        <f>((((E6*0.00314)*((E6+545)/1000))*'Технический лист'!$K$10)+370+((E7*0.00314)*((E7+450)/1000))*'Технический лист'!$K$11)*1.97</f>
        <v>2931.0876132339395</v>
      </c>
      <c r="F15" s="9">
        <f>((((F6*0.00314)*((F6+545)/1000))*'Технический лист'!$K$10)+370+((F7*0.00314)*((F7+450)/1000))*'Технический лист'!$K$11)*1.97</f>
        <v>3028.2498268961035</v>
      </c>
      <c r="G15" s="9">
        <f>((((G6*0.00314)*((G6+545)/1000))*'Технический лист'!$K$10)+370+((G7*0.00314)*((G7+450)/1000))*'Технический лист'!$K$11)*1.97</f>
        <v>3126.6140432560173</v>
      </c>
      <c r="H15" s="9">
        <f>((((H6*0.00314)*((H6+545)/1000))*'Технический лист'!$K$10)+370+((H7*0.00314)*((H7+450)/1000))*'Технический лист'!$K$11)*1.97</f>
        <v>3326.9484840690907</v>
      </c>
      <c r="I15" s="9">
        <f>((((I6*0.00314)*((I6+545)/1000))*'Технический лист'!$K$10)+370+((I7*0.00314)*((I7+450)/1000))*'Технический лист'!$K$11)*1.97</f>
        <v>3532.0909356731595</v>
      </c>
      <c r="J15" s="9">
        <f>((((J6*0.00314)*((J6+545)/1000))*'Технический лист'!$K$10)+370+((J7*0.00314)*((J7+450)/1000))*'Технический лист'!$K$11)*1.97</f>
        <v>3742.0413980682242</v>
      </c>
      <c r="K15" s="9">
        <f>((((K6*0.00314)*((K6+545)/1000))*'Технический лист'!$K$10)+370+((K7*0.00314)*((K7+450)/1000))*'Технический лист'!$K$11)*1.97</f>
        <v>4176.3663552313419</v>
      </c>
      <c r="L15" s="9">
        <f>((((L6*0.00314)*((L6+545)/1000))*'Технический лист'!$K$10)+370+((L7*0.00314)*((L7+450)/1000))*'Технический лист'!$K$11)*1.97</f>
        <v>4629.9233555584415</v>
      </c>
      <c r="M15" s="9">
        <f>((((M6*0.00314)*((M6+545)/1000))*'Технический лист'!$K$10)+370+((M7*0.00314)*((M7+450)/1000))*'Технический лист'!$K$11)*1.97</f>
        <v>5102.7123990495229</v>
      </c>
      <c r="N15" s="9">
        <f>((((N6*0.00314)*((N6+545)/1000))*'Технический лист'!$K$10)+370+((N7*0.00314)*((N7+450)/1000))*'Технический лист'!$K$11)*1.97</f>
        <v>5847.9560452186151</v>
      </c>
      <c r="O15" s="9">
        <f>((((O6*0.00314)*((O6+545)/1000))*'Технический лист'!$K$10)+370+((O7*0.00314)*((O7+450)/1000))*'Технический лист'!$K$11)*1.97</f>
        <v>6105.9866155236359</v>
      </c>
      <c r="P15" s="9">
        <f>((((P6*0.00314)*((P6+545)/1000))*'Технический лист'!$K$10)+370+((P7*0.00314)*((P7+450)/1000))*'Технический лист'!$K$11)*1.97</f>
        <v>6368.8251966196522</v>
      </c>
      <c r="Q15" s="9">
        <f>((((Q6*0.00314)*((Q6+545)/1000))*'Технический лист'!$K$10)+370+((Q7*0.00314)*((Q7+450)/1000))*'Технический лист'!$K$11)*1.97</f>
        <v>6636.4717885066657</v>
      </c>
      <c r="R15" s="9">
        <f>((((R6*0.00314)*((R6+545)/1000))*'Технический лист'!$K$10)+370+((R7*0.00314)*((R7+450)/1000))*'Технический лист'!$K$11)*1.97</f>
        <v>6908.9263911846747</v>
      </c>
      <c r="S15" s="9">
        <f>((((S6*0.00314)*((S6+545)/1000))*'Технический лист'!$K$10)+370+((S7*0.00314)*((S7+450)/1000))*'Технический лист'!$K$11)*1.97</f>
        <v>7186.1890046536791</v>
      </c>
    </row>
    <row r="16" spans="1:19" ht="0.75" hidden="1" customHeight="1">
      <c r="A16" s="4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>
      <c r="A17" s="4" t="s">
        <v>118</v>
      </c>
      <c r="B17" s="16">
        <v>1800</v>
      </c>
      <c r="C17" s="16">
        <v>1800</v>
      </c>
      <c r="D17" s="16">
        <v>1800</v>
      </c>
      <c r="E17" s="16">
        <v>1800</v>
      </c>
      <c r="F17" s="16">
        <v>1800</v>
      </c>
      <c r="G17" s="16">
        <v>1800</v>
      </c>
      <c r="H17" s="16">
        <v>1800</v>
      </c>
      <c r="I17" s="16">
        <v>1800</v>
      </c>
      <c r="J17" s="16">
        <v>1800</v>
      </c>
      <c r="K17" s="16">
        <v>1800</v>
      </c>
      <c r="L17" s="16">
        <v>1800</v>
      </c>
      <c r="M17" s="16">
        <v>1800</v>
      </c>
      <c r="N17" s="16">
        <v>1800</v>
      </c>
      <c r="O17" s="16">
        <v>1800</v>
      </c>
      <c r="P17" s="16">
        <v>1800</v>
      </c>
      <c r="Q17" s="16">
        <v>1800</v>
      </c>
      <c r="R17" s="16">
        <v>1800</v>
      </c>
      <c r="S17" s="16">
        <v>1800</v>
      </c>
    </row>
    <row r="19" spans="1:19">
      <c r="A19" s="41" t="s">
        <v>64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19">
      <c r="A20" s="3" t="s">
        <v>0</v>
      </c>
      <c r="B20" s="10">
        <v>100</v>
      </c>
      <c r="C20" s="10">
        <v>110</v>
      </c>
      <c r="D20" s="10">
        <v>115</v>
      </c>
      <c r="E20" s="10">
        <v>120</v>
      </c>
      <c r="F20" s="10">
        <v>125</v>
      </c>
      <c r="G20" s="10">
        <v>130</v>
      </c>
      <c r="H20" s="10">
        <v>140</v>
      </c>
      <c r="I20" s="10">
        <v>150</v>
      </c>
      <c r="J20" s="10">
        <v>160</v>
      </c>
      <c r="K20" s="10">
        <v>180</v>
      </c>
      <c r="L20" s="10">
        <v>200</v>
      </c>
      <c r="M20" s="10">
        <v>220</v>
      </c>
      <c r="N20" s="10">
        <v>250</v>
      </c>
      <c r="O20" s="10">
        <v>260</v>
      </c>
      <c r="P20" s="10">
        <v>270</v>
      </c>
      <c r="Q20" s="10">
        <v>280</v>
      </c>
      <c r="R20" s="10">
        <v>290</v>
      </c>
      <c r="S20" s="10">
        <v>300</v>
      </c>
    </row>
    <row r="21" spans="1:19">
      <c r="A21" s="3" t="s">
        <v>1</v>
      </c>
      <c r="B21" s="10">
        <f>B20+100</f>
        <v>200</v>
      </c>
      <c r="C21" s="10">
        <f t="shared" ref="C21:N21" si="8">C20+100</f>
        <v>210</v>
      </c>
      <c r="D21" s="10">
        <f t="shared" si="8"/>
        <v>215</v>
      </c>
      <c r="E21" s="10">
        <f t="shared" si="8"/>
        <v>220</v>
      </c>
      <c r="F21" s="10">
        <f t="shared" si="8"/>
        <v>225</v>
      </c>
      <c r="G21" s="10">
        <f t="shared" si="8"/>
        <v>230</v>
      </c>
      <c r="H21" s="10">
        <f t="shared" si="8"/>
        <v>240</v>
      </c>
      <c r="I21" s="10">
        <f t="shared" si="8"/>
        <v>250</v>
      </c>
      <c r="J21" s="10">
        <f t="shared" si="8"/>
        <v>260</v>
      </c>
      <c r="K21" s="10">
        <f t="shared" si="8"/>
        <v>280</v>
      </c>
      <c r="L21" s="10">
        <f t="shared" si="8"/>
        <v>300</v>
      </c>
      <c r="M21" s="10">
        <f t="shared" si="8"/>
        <v>320</v>
      </c>
      <c r="N21" s="10">
        <f t="shared" si="8"/>
        <v>350</v>
      </c>
      <c r="O21" s="10">
        <f t="shared" ref="O21:S21" si="9">O20+100</f>
        <v>360</v>
      </c>
      <c r="P21" s="10">
        <f t="shared" si="9"/>
        <v>370</v>
      </c>
      <c r="Q21" s="10">
        <f t="shared" si="9"/>
        <v>380</v>
      </c>
      <c r="R21" s="10">
        <f t="shared" si="9"/>
        <v>390</v>
      </c>
      <c r="S21" s="10">
        <f t="shared" si="9"/>
        <v>400</v>
      </c>
    </row>
    <row r="22" spans="1:19">
      <c r="A22" s="4" t="s">
        <v>4</v>
      </c>
      <c r="B22" s="16">
        <f>(((B20*0.00314)*'Технический лист'!$G$10)+365+((B21*0.00314)*'Технический лист'!$G$5))*1.95</f>
        <v>3503.6312493506493</v>
      </c>
      <c r="C22" s="16">
        <f>(((C20*0.00314)*'Технический лист'!$G$10)+365+((C21*0.00314)*'Технический лист'!$G$5))*1.95</f>
        <v>3713.2620942857143</v>
      </c>
      <c r="D22" s="16">
        <f>(((D20*0.00314)*'Технический лист'!$G$10)+365+((D21*0.00314)*'Технический лист'!$G$5))*1.95</f>
        <v>3818.0775167532461</v>
      </c>
      <c r="E22" s="16">
        <f>(((E20*0.00314)*'Технический лист'!$G$10)+365+((E21*0.00314)*'Технический лист'!$G$5))*1.95</f>
        <v>3922.8929392207792</v>
      </c>
      <c r="F22" s="16">
        <f>(((F20*0.00314)*'Технический лист'!$G$10)+365+((F21*0.00314)*'Технический лист'!$G$5))*1.95</f>
        <v>4027.7083616883119</v>
      </c>
      <c r="G22" s="16">
        <f>(((G20*0.00314)*'Технический лист'!$G$10)+365+((G21*0.00314)*'Технический лист'!$G$5))*1.95</f>
        <v>4132.5237841558437</v>
      </c>
      <c r="H22" s="16">
        <f>(((H20*0.00314)*'Технический лист'!$G$10)+365+((H21*0.00314)*'Технический лист'!$G$5))*1.95</f>
        <v>4342.1546290909091</v>
      </c>
      <c r="I22" s="16">
        <f>(((I20*0.00314)*'Технический лист'!$G$10)+365+((I21*0.00314)*'Технический лист'!$G$5))*1.95</f>
        <v>4551.7854740259745</v>
      </c>
      <c r="J22" s="16">
        <f>(((J20*0.00314)*'Технический лист'!$G$10)+365+((J21*0.00314)*'Технический лист'!$G$5))*1.95</f>
        <v>4761.4163189610381</v>
      </c>
      <c r="K22" s="16">
        <f>(((K20*0.00314)*'Технический лист'!$G$10)+365+((K21*0.00314)*'Технический лист'!$G$5))*1.95</f>
        <v>5180.678008831168</v>
      </c>
      <c r="L22" s="16">
        <f>(((L20*0.00314)*'Технический лист'!$G$10)+365+((L21*0.00314)*'Технический лист'!$G$5))*1.95</f>
        <v>5599.9396987012979</v>
      </c>
      <c r="M22" s="16">
        <f>(((M20*0.00314)*'Технический лист'!$G$10)+365+((M21*0.00314)*'Технический лист'!$G$5))*1.95</f>
        <v>6019.2013885714268</v>
      </c>
      <c r="N22" s="16">
        <f>(((N20*0.00314)*'Технический лист'!$G$10)+365+((N21*0.00314)*'Технический лист'!$G$5))*1.95</f>
        <v>6648.093923376623</v>
      </c>
      <c r="O22" s="16">
        <f>(((O20*0.00314)*'Технический лист'!$G$10)+365+((O21*0.00314)*'Технический лист'!$G$5))*1.95</f>
        <v>6857.7247683116875</v>
      </c>
      <c r="P22" s="16">
        <f>(((P20*0.00314)*'Технический лист'!$G$10)+365+((P21*0.00314)*'Технический лист'!$G$5))*1.95</f>
        <v>7067.355613246752</v>
      </c>
      <c r="Q22" s="16">
        <f>(((Q20*0.00314)*'Технический лист'!$G$10)+365+((Q21*0.00314)*'Технический лист'!$G$5))*1.95</f>
        <v>7276.9864581818174</v>
      </c>
      <c r="R22" s="16">
        <f>(((R20*0.00314)*'Технический лист'!$G$10)+365+((R21*0.00314)*'Технический лист'!$G$5))*1.95</f>
        <v>7486.6173031168819</v>
      </c>
      <c r="S22" s="16">
        <f>(((S20*0.00314)*'Технический лист'!$G$10)+365+((S21*0.00314)*'Технический лист'!$G$5))*1.95</f>
        <v>7696.2481480519473</v>
      </c>
    </row>
    <row r="23" spans="1:19">
      <c r="A23" s="4" t="s">
        <v>3</v>
      </c>
      <c r="B23" s="9">
        <f>((B22/2)*1.07)-10</f>
        <v>1864.4427184025974</v>
      </c>
      <c r="C23" s="9">
        <f t="shared" ref="C23:N23" si="10">((C22/2)*1.07)-10</f>
        <v>1976.5952204428572</v>
      </c>
      <c r="D23" s="9">
        <f t="shared" si="10"/>
        <v>2032.6714714629868</v>
      </c>
      <c r="E23" s="9">
        <f t="shared" si="10"/>
        <v>2088.7477224831168</v>
      </c>
      <c r="F23" s="9">
        <f t="shared" si="10"/>
        <v>2144.8239735032471</v>
      </c>
      <c r="G23" s="9">
        <f t="shared" si="10"/>
        <v>2200.9002245233764</v>
      </c>
      <c r="H23" s="9">
        <f t="shared" si="10"/>
        <v>2313.0527265636365</v>
      </c>
      <c r="I23" s="9">
        <f t="shared" si="10"/>
        <v>2425.2052286038966</v>
      </c>
      <c r="J23" s="9">
        <f t="shared" si="10"/>
        <v>2537.3577306441557</v>
      </c>
      <c r="K23" s="9">
        <f t="shared" si="10"/>
        <v>2761.6627347246749</v>
      </c>
      <c r="L23" s="9">
        <f t="shared" si="10"/>
        <v>2985.9677388051946</v>
      </c>
      <c r="M23" s="9">
        <f t="shared" si="10"/>
        <v>3210.2727428857133</v>
      </c>
      <c r="N23" s="9">
        <f t="shared" si="10"/>
        <v>3546.7302490064935</v>
      </c>
      <c r="O23" s="9">
        <f t="shared" ref="O23:S23" si="11">((O22/2)*1.07)-10</f>
        <v>3658.8827510467531</v>
      </c>
      <c r="P23" s="9">
        <f t="shared" si="11"/>
        <v>3771.0352530870127</v>
      </c>
      <c r="Q23" s="9">
        <f t="shared" si="11"/>
        <v>3883.1877551272723</v>
      </c>
      <c r="R23" s="9">
        <f t="shared" si="11"/>
        <v>3995.3402571675319</v>
      </c>
      <c r="S23" s="9">
        <f t="shared" si="11"/>
        <v>4107.492759207792</v>
      </c>
    </row>
    <row r="24" spans="1:19">
      <c r="A24" s="4" t="s">
        <v>5</v>
      </c>
      <c r="B24" s="16">
        <f>((((B20*0.00314)*0.5)*'Технический лист'!$I$10)+310+(((B21*0.00314)*0.5)*'Технический лист'!$I$5))*1.96</f>
        <v>2678.4516945454548</v>
      </c>
      <c r="C24" s="16">
        <f>((((C20*0.00314)*0.5)*'Технический лист'!$I$10)+310+(((C21*0.00314)*0.5)*'Технический лист'!$I$5))*1.96</f>
        <v>2830.5780720000002</v>
      </c>
      <c r="D24" s="16">
        <f>((((D20*0.00314)*0.5)*'Технический лист'!$I$10)+310+(((D21*0.00314)*0.5)*'Технический лист'!$I$5))*1.96</f>
        <v>2906.6412607272728</v>
      </c>
      <c r="E24" s="16">
        <f>((((E20*0.00314)*0.5)*'Технический лист'!$I$10)+310+(((E21*0.00314)*0.5)*'Технический лист'!$I$5))*1.96</f>
        <v>2982.7044494545457</v>
      </c>
      <c r="F24" s="16">
        <f>((((F20*0.00314)*0.5)*'Технический лист'!$I$10)+310+(((F21*0.00314)*0.5)*'Технический лист'!$I$5))*1.96</f>
        <v>3058.7676381818178</v>
      </c>
      <c r="G24" s="16">
        <f>((((G20*0.00314)*0.5)*'Технический лист'!$I$10)+310+(((G21*0.00314)*0.5)*'Технический лист'!$I$5))*1.96</f>
        <v>3134.8308269090908</v>
      </c>
      <c r="H24" s="16">
        <f>((((H20*0.00314)*0.5)*'Технический лист'!$I$10)+310+(((H21*0.00314)*0.5)*'Технический лист'!$I$5))*1.96</f>
        <v>3286.9572043636363</v>
      </c>
      <c r="I24" s="16">
        <f>((((I20*0.00314)*0.5)*'Технический лист'!$I$10)+310+(((I21*0.00314)*0.5)*'Технический лист'!$I$5))*1.96</f>
        <v>3439.0835818181813</v>
      </c>
      <c r="J24" s="16">
        <f>((((J20*0.00314)*0.5)*'Технический лист'!$I$10)+310+(((J21*0.00314)*0.5)*'Технический лист'!$I$5))*1.96</f>
        <v>3591.2099592727268</v>
      </c>
      <c r="K24" s="16">
        <f>((((K20*0.00314)*0.5)*'Технический лист'!$I$10)+310+(((K21*0.00314)*0.5)*'Технический лист'!$I$5))*1.96</f>
        <v>3895.4627141818182</v>
      </c>
      <c r="L24" s="16">
        <f>((((L20*0.00314)*0.5)*'Технический лист'!$I$10)+310+(((L21*0.00314)*0.5)*'Технический лист'!$I$5))*1.96</f>
        <v>4199.7154690909092</v>
      </c>
      <c r="M24" s="16">
        <f>((((M20*0.00314)*0.5)*'Технический лист'!$I$10)+310+(((M21*0.00314)*0.5)*'Технический лист'!$I$5))*1.96</f>
        <v>4503.9682240000002</v>
      </c>
      <c r="N24" s="16">
        <f>((((N20*0.00314)*0.5)*'Технический лист'!$I$10)+310+(((N21*0.00314)*0.5)*'Технический лист'!$I$5))*1.96</f>
        <v>4960.3473563636362</v>
      </c>
      <c r="O24" s="16">
        <f>((((O20*0.00314)*0.5)*'Технический лист'!$I$10)+310+(((O21*0.00314)*0.5)*'Технический лист'!$I$5))*1.96</f>
        <v>5112.4737338181822</v>
      </c>
      <c r="P24" s="16">
        <f>((((P20*0.00314)*0.5)*'Технический лист'!$I$10)+310+(((P21*0.00314)*0.5)*'Технический лист'!$I$5))*1.96</f>
        <v>5264.6001112727272</v>
      </c>
      <c r="Q24" s="16">
        <f>((((Q20*0.00314)*0.5)*'Технический лист'!$I$10)+310+(((Q21*0.00314)*0.5)*'Технический лист'!$I$5))*1.96</f>
        <v>5416.7264887272722</v>
      </c>
      <c r="R24" s="16">
        <f>((((R20*0.00314)*0.5)*'Технический лист'!$I$10)+310+(((R21*0.00314)*0.5)*'Технический лист'!$I$5))*1.96</f>
        <v>5568.8528661818173</v>
      </c>
      <c r="S24" s="16">
        <f>((((S20*0.00314)*0.5)*'Технический лист'!$I$10)+310+(((S21*0.00314)*0.5)*'Технический лист'!$I$5))*1.96</f>
        <v>5720.9792436363632</v>
      </c>
    </row>
    <row r="25" spans="1:19">
      <c r="A25" s="4" t="s">
        <v>96</v>
      </c>
      <c r="B25" s="9">
        <f>((B24*2)/3)-6</f>
        <v>1779.6344630303031</v>
      </c>
      <c r="C25" s="9">
        <f t="shared" ref="C25:N25" si="12">((C24*2)/3)-6</f>
        <v>1881.0520480000002</v>
      </c>
      <c r="D25" s="9">
        <f t="shared" si="12"/>
        <v>1931.7608404848486</v>
      </c>
      <c r="E25" s="9">
        <f t="shared" si="12"/>
        <v>1982.4696329696972</v>
      </c>
      <c r="F25" s="9">
        <f t="shared" si="12"/>
        <v>2033.1784254545453</v>
      </c>
      <c r="G25" s="9">
        <f t="shared" si="12"/>
        <v>2083.8872179393938</v>
      </c>
      <c r="H25" s="9">
        <f t="shared" si="12"/>
        <v>2185.304802909091</v>
      </c>
      <c r="I25" s="9">
        <f t="shared" si="12"/>
        <v>2286.7223878787877</v>
      </c>
      <c r="J25" s="9">
        <f t="shared" si="12"/>
        <v>2388.1399728484844</v>
      </c>
      <c r="K25" s="9">
        <f t="shared" si="12"/>
        <v>2590.9751427878787</v>
      </c>
      <c r="L25" s="9">
        <f t="shared" si="12"/>
        <v>2793.810312727273</v>
      </c>
      <c r="M25" s="9">
        <f t="shared" si="12"/>
        <v>2996.6454826666668</v>
      </c>
      <c r="N25" s="9">
        <f t="shared" si="12"/>
        <v>3300.8982375757573</v>
      </c>
      <c r="O25" s="9">
        <f t="shared" ref="O25:S25" si="13">((O24*2)/3)-6</f>
        <v>3402.3158225454549</v>
      </c>
      <c r="P25" s="9">
        <f t="shared" si="13"/>
        <v>3503.7334075151516</v>
      </c>
      <c r="Q25" s="9">
        <f t="shared" si="13"/>
        <v>3605.1509924848483</v>
      </c>
      <c r="R25" s="9">
        <f t="shared" si="13"/>
        <v>3706.568577454545</v>
      </c>
      <c r="S25" s="9">
        <f t="shared" si="13"/>
        <v>3807.9861624242421</v>
      </c>
    </row>
    <row r="26" spans="1:19">
      <c r="A26" s="4" t="s">
        <v>6</v>
      </c>
      <c r="B26" s="16">
        <f>((((B20*0.00314)*0.22)*'Технический лист'!$M$10)+100+(((B21*0.00314)*0.21)*'Технический лист'!$O$5)+(((B20+30)*(B20+30)/1000000)*'Технический лист'!$E$20))*1.96</f>
        <v>1315.0498367999999</v>
      </c>
      <c r="C26" s="16">
        <f>((((C20*0.00314)*0.22)*'Технический лист'!$M$10)+100+(((C21*0.00314)*0.21)*'Технический лист'!$O$5)+(((C20+30)*(C20+30)/1000000)*'Технический лист'!$E$20))*1.96</f>
        <v>1408.8179526399999</v>
      </c>
      <c r="D26" s="16">
        <f>((((D20*0.00314)*0.22)*'Технический лист'!$M$10)+100+(((D21*0.00314)*0.21)*'Технический лист'!$O$5)+(((D20+30)*(D20+30)/1000000)*'Технический лист'!$E$20))*1.96</f>
        <v>1456.2900105600002</v>
      </c>
      <c r="E26" s="16">
        <f>((((E20*0.00314)*0.22)*'Технический лист'!$M$10)+100+(((E21*0.00314)*0.21)*'Технический лист'!$O$5)+(((E20+30)*(E20+30)/1000000)*'Технический лист'!$E$20))*1.96</f>
        <v>1504.15406848</v>
      </c>
      <c r="F26" s="16">
        <f>((((F20*0.00314)*0.22)*'Технический лист'!$M$10)+100+(((F21*0.00314)*0.21)*'Технический лист'!$O$5)+(((F20+30)*(F20+30)/1000000)*'Технический лист'!$E$20))*1.96</f>
        <v>1552.4101263999999</v>
      </c>
      <c r="G26" s="16">
        <f>((((G20*0.00314)*0.22)*'Технический лист'!$M$10)+100+(((G21*0.00314)*0.21)*'Технический лист'!$O$5)+(((G20+30)*(G20+30)/1000000)*'Технический лист'!$E$20))*1.96</f>
        <v>1601.05818432</v>
      </c>
      <c r="H26" s="16">
        <f>((((H20*0.00314)*0.22)*'Технический лист'!$M$10)+100+(((H21*0.00314)*0.21)*'Технический лист'!$O$5)+(((H20+30)*(H20+30)/1000000)*'Технический лист'!$E$20))*1.96</f>
        <v>1699.53030016</v>
      </c>
      <c r="I26" s="16">
        <f>((((I20*0.00314)*0.22)*'Технический лист'!$M$10)+100+(((I21*0.00314)*0.21)*'Технический лист'!$O$5)+(((I20+30)*(I20+30)/1000000)*'Технический лист'!$E$20))*1.96</f>
        <v>1799.5704159999998</v>
      </c>
      <c r="J26" s="16">
        <f>((((J20*0.00314)*0.22)*'Технический лист'!$M$10)+100+(((J21*0.00314)*0.21)*'Технический лист'!$O$5)+(((J20+30)*(J20+30)/1000000)*'Технический лист'!$E$20))*1.96</f>
        <v>1901.1785318399998</v>
      </c>
      <c r="K26" s="16">
        <f>((((K20*0.00314)*0.22)*'Технический лист'!$M$10)+100+(((K21*0.00314)*0.21)*'Технический лист'!$O$5)+(((K20+30)*(K20+30)/1000000)*'Технический лист'!$E$20))*1.96</f>
        <v>2109.0987635200004</v>
      </c>
      <c r="L26" s="16">
        <f>((((L20*0.00314)*0.22)*'Технический лист'!$M$10)+100+(((L21*0.00314)*0.21)*'Технический лист'!$O$5)+(((L20+30)*(L20+30)/1000000)*'Технический лист'!$E$20))*1.96</f>
        <v>2323.2909952</v>
      </c>
      <c r="M26" s="16">
        <f>((((M20*0.00314)*0.22)*'Технический лист'!$M$10)+100+(((M21*0.00314)*0.21)*'Технический лист'!$O$5)+(((M20+30)*(M20+30)/1000000)*'Технический лист'!$E$20))*1.96</f>
        <v>2543.7552268799996</v>
      </c>
      <c r="N26" s="16">
        <f>((((N20*0.00314)*0.22)*'Технический лист'!$M$10)+100+(((N21*0.00314)*0.21)*'Технический лист'!$O$5)+(((N20+30)*(N20+30)/1000000)*'Технический лист'!$E$20))*1.96</f>
        <v>2886.2115743999998</v>
      </c>
      <c r="O26" s="16">
        <f>((((O20*0.00314)*0.22)*'Технический лист'!$M$10)+100+(((O21*0.00314)*0.21)*'Технический лист'!$O$5)+(((O20+30)*(O20+30)/1000000)*'Технический лист'!$E$20))*1.96</f>
        <v>3003.4996902399998</v>
      </c>
      <c r="P26" s="16">
        <f>((((P20*0.00314)*0.22)*'Технический лист'!$M$10)+100+(((P21*0.00314)*0.21)*'Технический лист'!$O$5)+(((P20+30)*(P20+30)/1000000)*'Технический лист'!$E$20))*1.96</f>
        <v>3122.3558060799996</v>
      </c>
      <c r="Q26" s="16">
        <f>((((Q20*0.00314)*0.22)*'Технический лист'!$M$10)+100+(((Q21*0.00314)*0.21)*'Технический лист'!$O$5)+(((Q20+30)*(Q20+30)/1000000)*'Технический лист'!$E$20))*1.96</f>
        <v>3242.7799219200001</v>
      </c>
      <c r="R26" s="16">
        <f>((((R20*0.00314)*0.22)*'Технический лист'!$M$10)+100+(((R21*0.00314)*0.21)*'Технический лист'!$O$5)+(((R20+30)*(R20+30)/1000000)*'Технический лист'!$E$20))*1.96</f>
        <v>3364.772037759999</v>
      </c>
      <c r="S26" s="16">
        <f>((((S20*0.00314)*0.22)*'Технический лист'!$M$10)+100+(((S21*0.00314)*0.21)*'Технический лист'!$O$5)+(((S20+30)*(S20+30)/1000000)*'Технический лист'!$E$20))*1.96</f>
        <v>3488.3321535999999</v>
      </c>
    </row>
    <row r="27" spans="1:19">
      <c r="A27" s="4" t="s">
        <v>7</v>
      </c>
      <c r="B27" s="9">
        <f>(B26*2.2)+24</f>
        <v>2917.10964096</v>
      </c>
      <c r="C27" s="9">
        <f t="shared" ref="C27:N27" si="14">(C26*2.2)+24</f>
        <v>3123.3994958080002</v>
      </c>
      <c r="D27" s="9">
        <f t="shared" si="14"/>
        <v>3227.8380232320005</v>
      </c>
      <c r="E27" s="9">
        <f t="shared" si="14"/>
        <v>3333.1389506560004</v>
      </c>
      <c r="F27" s="9">
        <f t="shared" si="14"/>
        <v>3439.3022780800002</v>
      </c>
      <c r="G27" s="9">
        <f t="shared" si="14"/>
        <v>3546.3280055040004</v>
      </c>
      <c r="H27" s="9">
        <f t="shared" si="14"/>
        <v>3762.9666603520004</v>
      </c>
      <c r="I27" s="9">
        <f t="shared" si="14"/>
        <v>3983.0549151999999</v>
      </c>
      <c r="J27" s="9">
        <f t="shared" si="14"/>
        <v>4206.5927700479997</v>
      </c>
      <c r="K27" s="9">
        <f t="shared" si="14"/>
        <v>4664.0172797440009</v>
      </c>
      <c r="L27" s="9">
        <f t="shared" si="14"/>
        <v>5135.24018944</v>
      </c>
      <c r="M27" s="9">
        <f t="shared" si="14"/>
        <v>5620.2614991359997</v>
      </c>
      <c r="N27" s="9">
        <f t="shared" si="14"/>
        <v>6373.6654636800004</v>
      </c>
      <c r="O27" s="9">
        <f t="shared" ref="O27:S27" si="15">(O26*2.2)+24</f>
        <v>6631.6993185279998</v>
      </c>
      <c r="P27" s="9">
        <f t="shared" si="15"/>
        <v>6893.1827733760001</v>
      </c>
      <c r="Q27" s="9">
        <f t="shared" si="15"/>
        <v>7158.1158282240012</v>
      </c>
      <c r="R27" s="9">
        <f t="shared" si="15"/>
        <v>7426.4984830719986</v>
      </c>
      <c r="S27" s="9">
        <f t="shared" si="15"/>
        <v>7698.3307379200005</v>
      </c>
    </row>
    <row r="28" spans="1:19">
      <c r="A28" s="4" t="s">
        <v>8</v>
      </c>
      <c r="B28" s="16">
        <f>((((B20*0.00314)*0.2)*'Технический лист'!$M$10)+50+(((B21*0.00314)*0.22)*'Технический лист'!$O$5))*1.96</f>
        <v>1067.0548794181818</v>
      </c>
      <c r="C28" s="16">
        <f>((((C20*0.00314)*0.2)*'Технический лист'!$M$10)+50+(((C21*0.00314)*0.22)*'Технический лист'!$O$5))*1.96</f>
        <v>1136.6643724799999</v>
      </c>
      <c r="D28" s="16">
        <f>((((D20*0.00314)*0.2)*'Технический лист'!$M$10)+50+(((D21*0.00314)*0.22)*'Технический лист'!$O$5))*1.96</f>
        <v>1171.469119010909</v>
      </c>
      <c r="E28" s="16">
        <f>((((E20*0.00314)*0.2)*'Технический лист'!$M$10)+50+(((E21*0.00314)*0.22)*'Технический лист'!$O$5))*1.96</f>
        <v>1206.2738655418182</v>
      </c>
      <c r="F28" s="16">
        <f>((((F20*0.00314)*0.2)*'Технический лист'!$M$10)+50+(((F21*0.00314)*0.22)*'Технический лист'!$O$5))*1.96</f>
        <v>1241.0786120727273</v>
      </c>
      <c r="G28" s="16">
        <f>((((G20*0.00314)*0.2)*'Технический лист'!$M$10)+50+(((G21*0.00314)*0.22)*'Технический лист'!$O$5))*1.96</f>
        <v>1275.8833586036362</v>
      </c>
      <c r="H28" s="16">
        <f>((((H20*0.00314)*0.2)*'Технический лист'!$M$10)+50+(((H21*0.00314)*0.22)*'Технический лист'!$O$5))*1.96</f>
        <v>1345.4928516654545</v>
      </c>
      <c r="I28" s="16">
        <f>((((I20*0.00314)*0.2)*'Технический лист'!$M$10)+50+(((I21*0.00314)*0.22)*'Технический лист'!$O$5))*1.96</f>
        <v>1415.1023447272728</v>
      </c>
      <c r="J28" s="16">
        <f>((((J20*0.00314)*0.2)*'Технический лист'!$M$10)+50+(((J21*0.00314)*0.22)*'Технический лист'!$O$5))*1.96</f>
        <v>1484.7118377890909</v>
      </c>
      <c r="K28" s="16">
        <f>((((K20*0.00314)*0.2)*'Технический лист'!$M$10)+50+(((K21*0.00314)*0.22)*'Технический лист'!$O$5))*1.96</f>
        <v>1623.9308239127272</v>
      </c>
      <c r="L28" s="16">
        <f>((((L20*0.00314)*0.2)*'Технический лист'!$M$10)+50+(((L21*0.00314)*0.22)*'Технический лист'!$O$5))*1.96</f>
        <v>1763.1498100363638</v>
      </c>
      <c r="M28" s="16">
        <f>((((M20*0.00314)*0.2)*'Технический лист'!$M$10)+50+(((M21*0.00314)*0.22)*'Технический лист'!$O$5))*1.96</f>
        <v>1902.3687961599996</v>
      </c>
      <c r="N28" s="16">
        <f>((((N20*0.00314)*0.2)*'Технический лист'!$M$10)+50+(((N21*0.00314)*0.22)*'Технический лист'!$O$5))*1.96</f>
        <v>2111.1972753454547</v>
      </c>
      <c r="O28" s="16">
        <f>((((O20*0.00314)*0.2)*'Технический лист'!$M$10)+50+(((O21*0.00314)*0.22)*'Технический лист'!$O$5))*1.96</f>
        <v>2180.806768407273</v>
      </c>
      <c r="P28" s="16">
        <f>((((P20*0.00314)*0.2)*'Технический лист'!$M$10)+50+(((P21*0.00314)*0.22)*'Технический лист'!$O$5))*1.96</f>
        <v>2250.4162614690908</v>
      </c>
      <c r="Q28" s="16">
        <f>((((Q20*0.00314)*0.2)*'Технический лист'!$M$10)+50+(((Q21*0.00314)*0.22)*'Технический лист'!$O$5))*1.96</f>
        <v>2320.0257545309087</v>
      </c>
      <c r="R28" s="16">
        <f>((((R20*0.00314)*0.2)*'Технический лист'!$M$10)+50+(((R21*0.00314)*0.22)*'Технический лист'!$O$5))*1.96</f>
        <v>2389.635247592727</v>
      </c>
      <c r="S28" s="16">
        <f>((((S20*0.00314)*0.2)*'Технический лист'!$M$10)+50+(((S21*0.00314)*0.22)*'Технический лист'!$O$5))*1.96</f>
        <v>2459.2447406545457</v>
      </c>
    </row>
    <row r="29" spans="1:19">
      <c r="A29" s="4" t="s">
        <v>9</v>
      </c>
      <c r="B29" s="9">
        <f>((((B20*0.00314)*((B20+545)/1000))*'Технический лист'!$K$10)+370+((B21*0.00314)*((B21+450)/1000))*'Технический лист'!$K$5)*1.97</f>
        <v>3589.6730348961037</v>
      </c>
      <c r="C29" s="9">
        <f>((((C20*0.00314)*((C20+545)/1000))*'Технический лист'!$K$10)+370+((C21*0.00314)*((C21+450)/1000))*'Технический лист'!$K$5)*1.97</f>
        <v>3844.0668475228576</v>
      </c>
      <c r="D29" s="9">
        <f>((((D20*0.00314)*((D20+545)/1000))*'Технический лист'!$K$10)+370+((D21*0.00314)*((D21+450)/1000))*'Технический лист'!$K$5)*1.97</f>
        <v>3973.6639968728568</v>
      </c>
      <c r="E29" s="9">
        <f>((((E20*0.00314)*((E20+545)/1000))*'Технический лист'!$K$10)+370+((E21*0.00314)*((E21+450)/1000))*'Технический лист'!$K$5)*1.97</f>
        <v>4104.861308247273</v>
      </c>
      <c r="F29" s="9">
        <f>((((F20*0.00314)*((F20+545)/1000))*'Технический лист'!$K$10)+370+((F21*0.00314)*((F21+450)/1000))*'Технический лист'!$K$5)*1.97</f>
        <v>4237.6587816461033</v>
      </c>
      <c r="G29" s="9">
        <f>((((G20*0.00314)*((G20+545)/1000))*'Технический лист'!$K$10)+370+((G21*0.00314)*((G21+450)/1000))*'Технический лист'!$K$5)*1.97</f>
        <v>4372.0564170693506</v>
      </c>
      <c r="H29" s="9">
        <f>((((H20*0.00314)*((H20+545)/1000))*'Технический лист'!$K$10)+370+((H21*0.00314)*((H21+450)/1000))*'Технический лист'!$K$5)*1.97</f>
        <v>4645.6521739890914</v>
      </c>
      <c r="I29" s="9">
        <f>((((I20*0.00314)*((I20+545)/1000))*'Технический лист'!$K$10)+370+((I21*0.00314)*((I21+450)/1000))*'Технический лист'!$K$5)*1.97</f>
        <v>4925.6485790064935</v>
      </c>
      <c r="J29" s="9">
        <f>((((J20*0.00314)*((J20+545)/1000))*'Технический лист'!$K$10)+370+((J21*0.00314)*((J21+450)/1000))*'Технический лист'!$K$5)*1.97</f>
        <v>5212.0456321215579</v>
      </c>
      <c r="K29" s="9">
        <f>((((K20*0.00314)*((K20+545)/1000))*'Технический лист'!$K$10)+370+((K21*0.00314)*((K21+450)/1000))*'Технический лист'!$K$5)*1.97</f>
        <v>5804.0416826446763</v>
      </c>
      <c r="L29" s="9">
        <f>((((L20*0.00314)*((L20+545)/1000))*'Технический лист'!$K$10)+370+((L21*0.00314)*((L21+450)/1000))*'Технический лист'!$K$5)*1.97</f>
        <v>6421.6403255584419</v>
      </c>
      <c r="M29" s="9">
        <f>((((M20*0.00314)*((M20+545)/1000))*'Технический лист'!$K$10)+370+((M21*0.00314)*((M21+450)/1000))*'Технический лист'!$K$5)*1.97</f>
        <v>7064.8415608628566</v>
      </c>
      <c r="N29" s="9">
        <f>((((N20*0.00314)*((N20+545)/1000))*'Технический лист'!$K$10)+370+((N21*0.00314)*((N21+450)/1000))*'Технический лист'!$K$5)*1.97</f>
        <v>8077.6482745519479</v>
      </c>
      <c r="O29" s="9">
        <f>((((O20*0.00314)*((O20+545)/1000))*'Технический лист'!$K$10)+370+((O21*0.00314)*((O21+450)/1000))*'Технический лист'!$K$5)*1.97</f>
        <v>8428.0518086436368</v>
      </c>
      <c r="P29" s="9">
        <f>((((P20*0.00314)*((P20+545)/1000))*'Технический лист'!$K$10)+370+((P21*0.00314)*((P21+450)/1000))*'Технический лист'!$K$5)*1.97</f>
        <v>8784.8559908329844</v>
      </c>
      <c r="Q29" s="9">
        <f>((((Q20*0.00314)*((Q20+545)/1000))*'Технический лист'!$K$10)+370+((Q21*0.00314)*((Q21+450)/1000))*'Технический лист'!$K$5)*1.97</f>
        <v>9148.0608211199997</v>
      </c>
      <c r="R29" s="9">
        <f>((((R20*0.00314)*((R20+545)/1000))*'Технический лист'!$K$10)+370+((R21*0.00314)*((R21+450)/1000))*'Технический лист'!$K$5)*1.97</f>
        <v>9517.6662995046736</v>
      </c>
      <c r="S29" s="9">
        <f>((((S20*0.00314)*((S20+545)/1000))*'Технический лист'!$K$10)+370+((S21*0.00314)*((S21+450)/1000))*'Технический лист'!$K$5)*1.97</f>
        <v>9893.6724259870134</v>
      </c>
    </row>
    <row r="30" spans="1:19" hidden="1">
      <c r="A30" s="4" t="s">
        <v>8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>
      <c r="A31" s="4" t="s">
        <v>119</v>
      </c>
      <c r="B31" s="16">
        <v>2100</v>
      </c>
      <c r="C31" s="16">
        <v>2100</v>
      </c>
      <c r="D31" s="16">
        <v>2100</v>
      </c>
      <c r="E31" s="16">
        <v>2100</v>
      </c>
      <c r="F31" s="16">
        <v>2100</v>
      </c>
      <c r="G31" s="16">
        <v>2100</v>
      </c>
      <c r="H31" s="16">
        <v>2100</v>
      </c>
      <c r="I31" s="16">
        <v>2100</v>
      </c>
      <c r="J31" s="16">
        <v>2100</v>
      </c>
      <c r="K31" s="16">
        <v>2100</v>
      </c>
      <c r="L31" s="16">
        <v>2100</v>
      </c>
      <c r="M31" s="16">
        <v>2100</v>
      </c>
      <c r="N31" s="16">
        <v>2100</v>
      </c>
      <c r="O31" s="16">
        <v>2100</v>
      </c>
      <c r="P31" s="16">
        <v>2100</v>
      </c>
      <c r="Q31" s="16">
        <v>2100</v>
      </c>
      <c r="R31" s="16">
        <v>2100</v>
      </c>
      <c r="S31" s="16">
        <v>2100</v>
      </c>
    </row>
  </sheetData>
  <mergeCells count="6">
    <mergeCell ref="A19:N19"/>
    <mergeCell ref="A1:C1"/>
    <mergeCell ref="D1:O1"/>
    <mergeCell ref="D2:O2"/>
    <mergeCell ref="D3:O3"/>
    <mergeCell ref="A5:O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S31"/>
  <sheetViews>
    <sheetView zoomScale="80" zoomScaleNormal="80" workbookViewId="0">
      <selection activeCell="B31" sqref="B31:S31"/>
    </sheetView>
  </sheetViews>
  <sheetFormatPr defaultRowHeight="14.4"/>
  <cols>
    <col min="1" max="1" width="26.6640625" customWidth="1"/>
    <col min="2" max="19" width="6.33203125" customWidth="1"/>
  </cols>
  <sheetData>
    <row r="1" spans="1:19" ht="45" customHeight="1">
      <c r="A1" s="32"/>
      <c r="B1" s="32"/>
      <c r="C1" s="32"/>
      <c r="D1" s="40" t="s">
        <v>94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1"/>
      <c r="Q1" s="1"/>
    </row>
    <row r="2" spans="1:19" ht="15" customHeight="1">
      <c r="D2" s="34" t="s">
        <v>95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1"/>
    </row>
    <row r="3" spans="1:19" ht="15" customHeight="1">
      <c r="D3" s="34" t="s">
        <v>112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9" ht="2.25" customHeight="1"/>
    <row r="5" spans="1:19">
      <c r="A5" s="41" t="s">
        <v>103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1:19">
      <c r="A6" s="3" t="s">
        <v>0</v>
      </c>
      <c r="B6" s="10">
        <v>100</v>
      </c>
      <c r="C6" s="10">
        <v>110</v>
      </c>
      <c r="D6" s="10">
        <v>115</v>
      </c>
      <c r="E6" s="10">
        <v>120</v>
      </c>
      <c r="F6" s="10">
        <v>125</v>
      </c>
      <c r="G6" s="10">
        <v>130</v>
      </c>
      <c r="H6" s="10">
        <v>140</v>
      </c>
      <c r="I6" s="10">
        <v>150</v>
      </c>
      <c r="J6" s="10">
        <v>160</v>
      </c>
      <c r="K6" s="10">
        <v>180</v>
      </c>
      <c r="L6" s="10">
        <v>200</v>
      </c>
      <c r="M6" s="10">
        <v>220</v>
      </c>
      <c r="N6" s="10">
        <v>250</v>
      </c>
      <c r="O6" s="10">
        <v>260</v>
      </c>
      <c r="P6" s="10">
        <v>270</v>
      </c>
      <c r="Q6" s="10">
        <v>280</v>
      </c>
      <c r="R6" s="10">
        <v>290</v>
      </c>
      <c r="S6" s="10">
        <v>300</v>
      </c>
    </row>
    <row r="7" spans="1:19">
      <c r="A7" s="3" t="s">
        <v>1</v>
      </c>
      <c r="B7" s="10">
        <f>B6+70</f>
        <v>170</v>
      </c>
      <c r="C7" s="10">
        <f t="shared" ref="C7:N7" si="0">C6+70</f>
        <v>180</v>
      </c>
      <c r="D7" s="10">
        <f t="shared" si="0"/>
        <v>185</v>
      </c>
      <c r="E7" s="10">
        <f t="shared" si="0"/>
        <v>190</v>
      </c>
      <c r="F7" s="10">
        <f t="shared" si="0"/>
        <v>195</v>
      </c>
      <c r="G7" s="10">
        <f t="shared" si="0"/>
        <v>200</v>
      </c>
      <c r="H7" s="10">
        <f t="shared" si="0"/>
        <v>210</v>
      </c>
      <c r="I7" s="10">
        <f t="shared" si="0"/>
        <v>220</v>
      </c>
      <c r="J7" s="10">
        <f t="shared" si="0"/>
        <v>230</v>
      </c>
      <c r="K7" s="10">
        <f t="shared" si="0"/>
        <v>250</v>
      </c>
      <c r="L7" s="10">
        <f t="shared" si="0"/>
        <v>270</v>
      </c>
      <c r="M7" s="10">
        <f t="shared" si="0"/>
        <v>290</v>
      </c>
      <c r="N7" s="10">
        <f t="shared" si="0"/>
        <v>320</v>
      </c>
      <c r="O7" s="10">
        <f t="shared" ref="O7:S7" si="1">O6+70</f>
        <v>330</v>
      </c>
      <c r="P7" s="10">
        <f t="shared" si="1"/>
        <v>340</v>
      </c>
      <c r="Q7" s="10">
        <f t="shared" si="1"/>
        <v>350</v>
      </c>
      <c r="R7" s="10">
        <f t="shared" si="1"/>
        <v>360</v>
      </c>
      <c r="S7" s="10">
        <f t="shared" si="1"/>
        <v>370</v>
      </c>
    </row>
    <row r="8" spans="1:19">
      <c r="A8" s="4" t="s">
        <v>4</v>
      </c>
      <c r="B8" s="16">
        <f>((B6*0.00314)*'Технический лист'!$G$11)+310+((B7*0.00314)*'Технический лист'!$G$11)*4.7</f>
        <v>1308.3514866666667</v>
      </c>
      <c r="C8" s="16">
        <f>((C6*0.00314)*'Технический лист'!$G$11)+310+((C7*0.00314)*'Технический лист'!$G$11)*4.7</f>
        <v>1371.6507466666665</v>
      </c>
      <c r="D8" s="16">
        <f>((D6*0.00314)*'Технический лист'!$G$11)+310+((D7*0.00314)*'Технический лист'!$G$11)*4.7</f>
        <v>1403.3003766666666</v>
      </c>
      <c r="E8" s="16">
        <f>((E6*0.00314)*'Технический лист'!$G$11)+310+((E7*0.00314)*'Технический лист'!$G$11)*4.7</f>
        <v>1434.9500066666665</v>
      </c>
      <c r="F8" s="16">
        <f>((F6*0.00314)*'Технический лист'!$G$11)+310+((F7*0.00314)*'Технический лист'!$G$11)*4.7</f>
        <v>1466.5996366666664</v>
      </c>
      <c r="G8" s="16">
        <f>((G6*0.00314)*'Технический лист'!$G$11)+310+((G7*0.00314)*'Технический лист'!$G$11)*4.7</f>
        <v>1498.2492666666665</v>
      </c>
      <c r="H8" s="16">
        <f>((H6*0.00314)*'Технический лист'!$G$11)+310+((H7*0.00314)*'Технический лист'!$G$11)*4.7</f>
        <v>1561.5485266666665</v>
      </c>
      <c r="I8" s="16">
        <f>((I6*0.00314)*'Технический лист'!$G$11)+310+((I7*0.00314)*'Технический лист'!$G$11)*4.7</f>
        <v>1624.8477866666665</v>
      </c>
      <c r="J8" s="16">
        <f>((J6*0.00314)*'Технический лист'!$G$11)+310+((J7*0.00314)*'Технический лист'!$G$11)*4.7</f>
        <v>1688.1470466666665</v>
      </c>
      <c r="K8" s="16">
        <f>((K6*0.00314)*'Технический лист'!$G$11)+310+((K7*0.00314)*'Технический лист'!$G$11)*4.7</f>
        <v>1814.7455666666667</v>
      </c>
      <c r="L8" s="16">
        <f>((L6*0.00314)*'Технический лист'!$G$11)+310+((L7*0.00314)*'Технический лист'!$G$11)*4.7</f>
        <v>1941.3440866666667</v>
      </c>
      <c r="M8" s="16">
        <f>((M6*0.00314)*'Технический лист'!$G$11)+310+((M7*0.00314)*'Технический лист'!$G$11)*4.7</f>
        <v>2067.9426066666665</v>
      </c>
      <c r="N8" s="16">
        <f>((N6*0.00314)*'Технический лист'!$G$11)+310+((N7*0.00314)*'Технический лист'!$G$11)*4.7</f>
        <v>2257.8403866666663</v>
      </c>
      <c r="O8" s="16">
        <f>((O6*0.00314)*'Технический лист'!$G$11)+310+((O7*0.00314)*'Технический лист'!$G$11)*4.7</f>
        <v>2321.1396466666665</v>
      </c>
      <c r="P8" s="16">
        <f>((P6*0.00314)*'Технический лист'!$G$11)+310+((P7*0.00314)*'Технический лист'!$G$11)*4.7</f>
        <v>2384.4389066666668</v>
      </c>
      <c r="Q8" s="16">
        <f>((Q6*0.00314)*'Технический лист'!$G$11)+310+((Q7*0.00314)*'Технический лист'!$G$11)*4.7</f>
        <v>2447.7381666666661</v>
      </c>
      <c r="R8" s="16">
        <f>((R6*0.00314)*'Технический лист'!$G$11)+310+((R7*0.00314)*'Технический лист'!$G$11)*4.7</f>
        <v>2511.0374266666663</v>
      </c>
      <c r="S8" s="16">
        <f>((S6*0.00314)*'Технический лист'!$G$11)+310+((S7*0.00314)*'Технический лист'!$G$11)*4.7</f>
        <v>2574.3366866666665</v>
      </c>
    </row>
    <row r="9" spans="1:19">
      <c r="A9" s="4" t="s">
        <v>3</v>
      </c>
      <c r="B9" s="9">
        <f>(B8/2)*1.07</f>
        <v>699.96804536666673</v>
      </c>
      <c r="C9" s="9">
        <f t="shared" ref="C9:N9" si="2">(C8/2)*1.07</f>
        <v>733.83314946666655</v>
      </c>
      <c r="D9" s="9">
        <f t="shared" si="2"/>
        <v>750.7657015166667</v>
      </c>
      <c r="E9" s="9">
        <f t="shared" si="2"/>
        <v>767.69825356666661</v>
      </c>
      <c r="F9" s="9">
        <f t="shared" si="2"/>
        <v>784.63080561666652</v>
      </c>
      <c r="G9" s="9">
        <f t="shared" si="2"/>
        <v>801.56335766666666</v>
      </c>
      <c r="H9" s="9">
        <f t="shared" si="2"/>
        <v>835.4284617666666</v>
      </c>
      <c r="I9" s="9">
        <f t="shared" si="2"/>
        <v>869.29356586666665</v>
      </c>
      <c r="J9" s="9">
        <f t="shared" si="2"/>
        <v>903.15866996666659</v>
      </c>
      <c r="K9" s="9">
        <f t="shared" si="2"/>
        <v>970.8888781666667</v>
      </c>
      <c r="L9" s="9">
        <f t="shared" si="2"/>
        <v>1038.6190863666668</v>
      </c>
      <c r="M9" s="9">
        <f t="shared" si="2"/>
        <v>1106.3492945666667</v>
      </c>
      <c r="N9" s="9">
        <f t="shared" si="2"/>
        <v>1207.9446068666666</v>
      </c>
      <c r="O9" s="9">
        <f t="shared" ref="O9:S9" si="3">(O8/2)*1.07</f>
        <v>1241.8097109666667</v>
      </c>
      <c r="P9" s="9">
        <f t="shared" si="3"/>
        <v>1275.6748150666667</v>
      </c>
      <c r="Q9" s="9">
        <f t="shared" si="3"/>
        <v>1309.5399191666663</v>
      </c>
      <c r="R9" s="9">
        <f t="shared" si="3"/>
        <v>1343.4050232666666</v>
      </c>
      <c r="S9" s="9">
        <f t="shared" si="3"/>
        <v>1377.2701273666667</v>
      </c>
    </row>
    <row r="10" spans="1:19">
      <c r="A10" s="4" t="s">
        <v>5</v>
      </c>
      <c r="B10" s="16">
        <f>(((B6*0.00314)*0.5)*'Технический лист'!$I$11)+310+(((B7*0.00314)*0.5)*'Технический лист'!$I$11)*4.7</f>
        <v>1267.8904933333333</v>
      </c>
      <c r="C10" s="16">
        <f>(((C6*0.00314)*0.5)*'Технический лист'!$I$11)+310+(((C7*0.00314)*0.5)*'Технический лист'!$I$11)*4.7</f>
        <v>1328.6243733333336</v>
      </c>
      <c r="D10" s="16">
        <f>(((D6*0.00314)*0.5)*'Технический лист'!$I$11)+310+(((D7*0.00314)*0.5)*'Технический лист'!$I$11)*4.7</f>
        <v>1358.9913133333332</v>
      </c>
      <c r="E10" s="16">
        <f>(((E6*0.00314)*0.5)*'Технический лист'!$I$11)+310+(((E7*0.00314)*0.5)*'Технический лист'!$I$11)*4.7</f>
        <v>1389.3582533333333</v>
      </c>
      <c r="F10" s="16">
        <f>(((F6*0.00314)*0.5)*'Технический лист'!$I$11)+310+(((F7*0.00314)*0.5)*'Технический лист'!$I$11)*4.7</f>
        <v>1419.7251933333332</v>
      </c>
      <c r="G10" s="16">
        <f>(((G6*0.00314)*0.5)*'Технический лист'!$I$11)+310+(((G7*0.00314)*0.5)*'Технический лист'!$I$11)*4.7</f>
        <v>1450.0921333333331</v>
      </c>
      <c r="H10" s="16">
        <f>(((H6*0.00314)*0.5)*'Технический лист'!$I$11)+310+(((H7*0.00314)*0.5)*'Технический лист'!$I$11)*4.7</f>
        <v>1510.8260133333333</v>
      </c>
      <c r="I10" s="16">
        <f>(((I6*0.00314)*0.5)*'Технический лист'!$I$11)+310+(((I7*0.00314)*0.5)*'Технический лист'!$I$11)*4.7</f>
        <v>1571.5598933333333</v>
      </c>
      <c r="J10" s="16">
        <f>(((J6*0.00314)*0.5)*'Технический лист'!$I$11)+310+(((J7*0.00314)*0.5)*'Технический лист'!$I$11)*4.7</f>
        <v>1632.2937733333333</v>
      </c>
      <c r="K10" s="16">
        <f>(((K6*0.00314)*0.5)*'Технический лист'!$I$11)+310+(((K7*0.00314)*0.5)*'Технический лист'!$I$11)*4.7</f>
        <v>1753.7615333333333</v>
      </c>
      <c r="L10" s="16">
        <f>(((L6*0.00314)*0.5)*'Технический лист'!$I$11)+310+(((L7*0.00314)*0.5)*'Технический лист'!$I$11)*4.7</f>
        <v>1875.2292933333333</v>
      </c>
      <c r="M10" s="16">
        <f>(((M6*0.00314)*0.5)*'Технический лист'!$I$11)+310+(((M7*0.00314)*0.5)*'Технический лист'!$I$11)*4.7</f>
        <v>1996.6970533333331</v>
      </c>
      <c r="N10" s="16">
        <f>(((N6*0.00314)*0.5)*'Технический лист'!$I$11)+310+(((N7*0.00314)*0.5)*'Технический лист'!$I$11)*4.7</f>
        <v>2178.8986933333331</v>
      </c>
      <c r="O10" s="16">
        <f>(((O6*0.00314)*0.5)*'Технический лист'!$I$11)+310+(((O7*0.00314)*0.5)*'Технический лист'!$I$11)*4.7</f>
        <v>2239.6325733333333</v>
      </c>
      <c r="P10" s="16">
        <f>(((P6*0.00314)*0.5)*'Технический лист'!$I$11)+310+(((P7*0.00314)*0.5)*'Технический лист'!$I$11)*4.7</f>
        <v>2300.3664533333331</v>
      </c>
      <c r="Q10" s="16">
        <f>(((Q6*0.00314)*0.5)*'Технический лист'!$I$11)+310+(((Q7*0.00314)*0.5)*'Технический лист'!$I$11)*4.7</f>
        <v>2361.1003333333333</v>
      </c>
      <c r="R10" s="16">
        <f>(((R6*0.00314)*0.5)*'Технический лист'!$I$11)+310+(((R7*0.00314)*0.5)*'Технический лист'!$I$11)*4.7</f>
        <v>2421.8342133333335</v>
      </c>
      <c r="S10" s="16">
        <f>(((S6*0.00314)*0.5)*'Технический лист'!$I$11)+310+(((S7*0.00314)*0.5)*'Технический лист'!$I$11)*4.7</f>
        <v>2482.5680933333333</v>
      </c>
    </row>
    <row r="11" spans="1:19">
      <c r="A11" s="4" t="s">
        <v>96</v>
      </c>
      <c r="B11" s="9">
        <f>(B10*2)/3</f>
        <v>845.26032888888892</v>
      </c>
      <c r="C11" s="9">
        <f t="shared" ref="C11:N11" si="4">(C10*2)/3</f>
        <v>885.74958222222233</v>
      </c>
      <c r="D11" s="9">
        <f t="shared" si="4"/>
        <v>905.99420888888881</v>
      </c>
      <c r="E11" s="9">
        <f t="shared" si="4"/>
        <v>926.23883555555551</v>
      </c>
      <c r="F11" s="9">
        <f t="shared" si="4"/>
        <v>946.4834622222221</v>
      </c>
      <c r="G11" s="9">
        <f t="shared" si="4"/>
        <v>966.72808888888869</v>
      </c>
      <c r="H11" s="9">
        <f t="shared" si="4"/>
        <v>1007.2173422222222</v>
      </c>
      <c r="I11" s="9">
        <f t="shared" si="4"/>
        <v>1047.7065955555556</v>
      </c>
      <c r="J11" s="9">
        <f t="shared" si="4"/>
        <v>1088.1958488888888</v>
      </c>
      <c r="K11" s="9">
        <f t="shared" si="4"/>
        <v>1169.1743555555556</v>
      </c>
      <c r="L11" s="9">
        <f t="shared" si="4"/>
        <v>1250.1528622222222</v>
      </c>
      <c r="M11" s="9">
        <f t="shared" si="4"/>
        <v>1331.1313688888888</v>
      </c>
      <c r="N11" s="9">
        <f t="shared" si="4"/>
        <v>1452.5991288888888</v>
      </c>
      <c r="O11" s="9">
        <f t="shared" ref="O11:S11" si="5">(O10*2)/3</f>
        <v>1493.0883822222222</v>
      </c>
      <c r="P11" s="9">
        <f t="shared" si="5"/>
        <v>1533.5776355555554</v>
      </c>
      <c r="Q11" s="9">
        <f t="shared" si="5"/>
        <v>1574.0668888888888</v>
      </c>
      <c r="R11" s="9">
        <f t="shared" si="5"/>
        <v>1614.5561422222224</v>
      </c>
      <c r="S11" s="9">
        <f t="shared" si="5"/>
        <v>1655.0453955555556</v>
      </c>
    </row>
    <row r="12" spans="1:19">
      <c r="A12" s="4" t="s">
        <v>6</v>
      </c>
      <c r="B12" s="16">
        <f>(((B6*0.00314)*0.22)*'Технический лист'!$M$11)+100+(((B7*0.00314)*0.21)*'Технический лист'!$O$11)+(((B6+30)*(B6+30)/1000000)*'Технический лист'!$E$19)*7.5</f>
        <v>653.75366933333339</v>
      </c>
      <c r="C12" s="16">
        <f>(((C6*0.00314)*0.22)*'Технический лист'!$M$11)+100+(((C7*0.00314)*0.21)*'Технический лист'!$O$11)+(((C6+30)*(C6+30)/1000000)*'Технический лист'!$E$19)*7.5</f>
        <v>723.08762666666667</v>
      </c>
      <c r="D12" s="16">
        <f>(((D6*0.00314)*0.22)*'Технический лист'!$M$11)+100+(((D7*0.00314)*0.21)*'Технический лист'!$O$11)+(((D6+30)*(D6+30)/1000000)*'Технический лист'!$E$19)*7.5</f>
        <v>759.1608553333333</v>
      </c>
      <c r="E12" s="16">
        <f>(((E6*0.00314)*0.22)*'Технический лист'!$M$11)+100+(((E7*0.00314)*0.21)*'Технический лист'!$O$11)+(((E6+30)*(E6+30)/1000000)*'Технический лист'!$E$19)*7.5</f>
        <v>796.17158400000005</v>
      </c>
      <c r="F12" s="16">
        <f>(((F6*0.00314)*0.22)*'Технический лист'!$M$11)+100+(((F7*0.00314)*0.21)*'Технический лист'!$O$11)+(((F6+30)*(F6+30)/1000000)*'Технический лист'!$E$19)*7.5</f>
        <v>834.11981266666669</v>
      </c>
      <c r="G12" s="16">
        <f>(((G6*0.00314)*0.22)*'Технический лист'!$M$11)+100+(((G7*0.00314)*0.21)*'Технический лист'!$O$11)+(((G6+30)*(G6+30)/1000000)*'Технический лист'!$E$19)*7.5</f>
        <v>873.00554133333333</v>
      </c>
      <c r="H12" s="16">
        <f>(((H6*0.00314)*0.22)*'Технический лист'!$M$11)+100+(((H7*0.00314)*0.21)*'Технический лист'!$O$11)+(((H6+30)*(H6+30)/1000000)*'Технический лист'!$E$19)*7.5</f>
        <v>953.58949866666671</v>
      </c>
      <c r="I12" s="16">
        <f>(((I6*0.00314)*0.22)*'Технический лист'!$M$11)+100+(((I7*0.00314)*0.21)*'Технический лист'!$O$11)+(((I6+30)*(I6+30)/1000000)*'Технический лист'!$E$19)*7.5</f>
        <v>1037.923456</v>
      </c>
      <c r="J12" s="16">
        <f>(((J6*0.00314)*0.22)*'Технический лист'!$M$11)+100+(((J7*0.00314)*0.21)*'Технический лист'!$O$11)+(((J6+30)*(J6+30)/1000000)*'Технический лист'!$E$19)*7.5</f>
        <v>1126.0074133333333</v>
      </c>
      <c r="K12" s="16">
        <f>(((K6*0.00314)*0.22)*'Технический лист'!$M$11)+100+(((K7*0.00314)*0.21)*'Технический лист'!$O$11)+(((K6+30)*(K6+30)/1000000)*'Технический лист'!$E$19)*7.5</f>
        <v>1313.425328</v>
      </c>
      <c r="L12" s="16">
        <f>(((L6*0.00314)*0.22)*'Технический лист'!$M$11)+100+(((L7*0.00314)*0.21)*'Технический лист'!$O$11)+(((L6+30)*(L6+30)/1000000)*'Технический лист'!$E$19)*7.5</f>
        <v>1515.8432426666668</v>
      </c>
      <c r="M12" s="16">
        <f>(((M6*0.00314)*0.22)*'Технический лист'!$M$11)+100+(((M7*0.00314)*0.21)*'Технический лист'!$O$11)+(((M6+30)*(M6+30)/1000000)*'Технический лист'!$E$19)*7.5</f>
        <v>1733.2611573333334</v>
      </c>
      <c r="N12" s="16">
        <f>(((N6*0.00314)*0.22)*'Технический лист'!$M$11)+100+(((N7*0.00314)*0.21)*'Технический лист'!$O$11)+(((N6+30)*(N6+30)/1000000)*'Технический лист'!$E$19)*7.5</f>
        <v>2087.5130293333332</v>
      </c>
      <c r="O12" s="16">
        <f>(((O6*0.00314)*0.22)*'Технический лист'!$M$11)+100+(((O7*0.00314)*0.21)*'Технический лист'!$O$11)+(((O6+30)*(O6+30)/1000000)*'Технический лист'!$E$19)*7.5</f>
        <v>2213.0969866666665</v>
      </c>
      <c r="P12" s="16">
        <f>(((P6*0.00314)*0.22)*'Технический лист'!$M$11)+100+(((P7*0.00314)*0.21)*'Технический лист'!$O$11)+(((P6+30)*(P6+30)/1000000)*'Технический лист'!$E$19)*7.5</f>
        <v>2342.4309439999997</v>
      </c>
      <c r="Q12" s="16">
        <f>(((Q6*0.00314)*0.22)*'Технический лист'!$M$11)+100+(((Q7*0.00314)*0.21)*'Технический лист'!$O$11)+(((Q6+30)*(Q6+30)/1000000)*'Технический лист'!$E$19)*7.5</f>
        <v>2475.5149013333335</v>
      </c>
      <c r="R12" s="16">
        <f>(((R6*0.00314)*0.22)*'Технический лист'!$M$11)+100+(((R7*0.00314)*0.21)*'Технический лист'!$O$11)+(((R6+30)*(R6+30)/1000000)*'Технический лист'!$E$19)*7.5</f>
        <v>2612.3488586666667</v>
      </c>
      <c r="S12" s="16">
        <f>(((S6*0.00314)*0.22)*'Технический лист'!$M$11)+100+(((S7*0.00314)*0.21)*'Технический лист'!$O$11)+(((S6+30)*(S6+30)/1000000)*'Технический лист'!$E$19)*7.5</f>
        <v>2752.932816</v>
      </c>
    </row>
    <row r="13" spans="1:19">
      <c r="A13" s="4" t="s">
        <v>7</v>
      </c>
      <c r="B13" s="9">
        <f>B12*1.8</f>
        <v>1176.7566048000001</v>
      </c>
      <c r="C13" s="9">
        <f t="shared" ref="C13:N13" si="6">C12*1.8</f>
        <v>1301.557728</v>
      </c>
      <c r="D13" s="9">
        <f t="shared" si="6"/>
        <v>1366.4895395999999</v>
      </c>
      <c r="E13" s="9">
        <f t="shared" si="6"/>
        <v>1433.1088512000001</v>
      </c>
      <c r="F13" s="9">
        <f t="shared" si="6"/>
        <v>1501.4156628000001</v>
      </c>
      <c r="G13" s="9">
        <f t="shared" si="6"/>
        <v>1571.4099744</v>
      </c>
      <c r="H13" s="9">
        <f t="shared" si="6"/>
        <v>1716.4610976000001</v>
      </c>
      <c r="I13" s="9">
        <f t="shared" si="6"/>
        <v>1868.2622208</v>
      </c>
      <c r="J13" s="9">
        <f t="shared" si="6"/>
        <v>2026.8133439999999</v>
      </c>
      <c r="K13" s="9">
        <f t="shared" si="6"/>
        <v>2364.1655903999999</v>
      </c>
      <c r="L13" s="9">
        <f t="shared" si="6"/>
        <v>2728.5178368000002</v>
      </c>
      <c r="M13" s="9">
        <f t="shared" si="6"/>
        <v>3119.8700832</v>
      </c>
      <c r="N13" s="9">
        <f t="shared" si="6"/>
        <v>3757.5234527999996</v>
      </c>
      <c r="O13" s="9">
        <f t="shared" ref="O13:S13" si="7">O12*1.8</f>
        <v>3983.5745759999995</v>
      </c>
      <c r="P13" s="9">
        <f t="shared" si="7"/>
        <v>4216.3756991999999</v>
      </c>
      <c r="Q13" s="9">
        <f t="shared" si="7"/>
        <v>4455.9268224000007</v>
      </c>
      <c r="R13" s="9">
        <f t="shared" si="7"/>
        <v>4702.2279456000006</v>
      </c>
      <c r="S13" s="9">
        <f t="shared" si="7"/>
        <v>4955.2790688000005</v>
      </c>
    </row>
    <row r="14" spans="1:19">
      <c r="A14" s="4" t="s">
        <v>8</v>
      </c>
      <c r="B14" s="16">
        <f>(((B6*0.00314)*0.2)*'Технический лист'!$M$11)+50+(((B7*0.00314)*0.22)*'Технический лист'!$O$11)*4.2</f>
        <v>687.45232106666685</v>
      </c>
      <c r="C14" s="16">
        <f>(((C6*0.00314)*0.2)*'Технический лист'!$M$11)+50+(((C7*0.00314)*0.22)*'Технический лист'!$O$11)*4.2</f>
        <v>729.29035093333346</v>
      </c>
      <c r="D14" s="16">
        <f>(((D6*0.00314)*0.2)*'Технический лист'!$M$11)+50+(((D7*0.00314)*0.22)*'Технический лист'!$O$11)*4.2</f>
        <v>750.20936586666676</v>
      </c>
      <c r="E14" s="16">
        <f>(((E6*0.00314)*0.2)*'Технический лист'!$M$11)+50+(((E7*0.00314)*0.22)*'Технический лист'!$O$11)*4.2</f>
        <v>771.12838080000017</v>
      </c>
      <c r="F14" s="16">
        <f>(((F6*0.00314)*0.2)*'Технический лист'!$M$11)+50+(((F7*0.00314)*0.22)*'Технический лист'!$O$11)*4.2</f>
        <v>792.04739573333347</v>
      </c>
      <c r="G14" s="16">
        <f>(((G6*0.00314)*0.2)*'Технический лист'!$M$11)+50+(((G7*0.00314)*0.22)*'Технический лист'!$O$11)*4.2</f>
        <v>812.96641066666689</v>
      </c>
      <c r="H14" s="16">
        <f>(((H6*0.00314)*0.2)*'Технический лист'!$M$11)+50+(((H7*0.00314)*0.22)*'Технический лист'!$O$11)*4.2</f>
        <v>854.80444053333338</v>
      </c>
      <c r="I14" s="16">
        <f>(((I6*0.00314)*0.2)*'Технический лист'!$M$11)+50+(((I7*0.00314)*0.22)*'Технический лист'!$O$11)*4.2</f>
        <v>896.64247040000009</v>
      </c>
      <c r="J14" s="16">
        <f>(((J6*0.00314)*0.2)*'Технический лист'!$M$11)+50+(((J7*0.00314)*0.22)*'Технический лист'!$O$11)*4.2</f>
        <v>938.4805002666667</v>
      </c>
      <c r="K14" s="16">
        <f>(((K6*0.00314)*0.2)*'Технический лист'!$M$11)+50+(((K7*0.00314)*0.22)*'Технический лист'!$O$11)*4.2</f>
        <v>1022.1565600000001</v>
      </c>
      <c r="L14" s="16">
        <f>(((L6*0.00314)*0.2)*'Технический лист'!$M$11)+50+(((L7*0.00314)*0.22)*'Технический лист'!$O$11)*4.2</f>
        <v>1105.8326197333336</v>
      </c>
      <c r="M14" s="16">
        <f>(((M6*0.00314)*0.2)*'Технический лист'!$M$11)+50+(((M7*0.00314)*0.22)*'Технический лист'!$O$11)*4.2</f>
        <v>1189.5086794666668</v>
      </c>
      <c r="N14" s="16">
        <f>(((N6*0.00314)*0.2)*'Технический лист'!$M$11)+50+(((N7*0.00314)*0.22)*'Технический лист'!$O$11)*4.2</f>
        <v>1315.0227690666666</v>
      </c>
      <c r="O14" s="16">
        <f>(((O6*0.00314)*0.2)*'Технический лист'!$M$11)+50+(((O7*0.00314)*0.22)*'Технический лист'!$O$11)*4.2</f>
        <v>1356.8607989333336</v>
      </c>
      <c r="P14" s="16">
        <f>(((P6*0.00314)*0.2)*'Технический лист'!$M$11)+50+(((P7*0.00314)*0.22)*'Технический лист'!$O$11)*4.2</f>
        <v>1398.6988288000002</v>
      </c>
      <c r="Q14" s="16">
        <f>(((Q6*0.00314)*0.2)*'Технический лист'!$M$11)+50+(((Q7*0.00314)*0.22)*'Технический лист'!$O$11)*4.2</f>
        <v>1440.5368586666668</v>
      </c>
      <c r="R14" s="16">
        <f>(((R6*0.00314)*0.2)*'Технический лист'!$M$11)+50+(((R7*0.00314)*0.22)*'Технический лист'!$O$11)*4.2</f>
        <v>1482.3748885333334</v>
      </c>
      <c r="S14" s="16">
        <f>(((S6*0.00314)*0.2)*'Технический лист'!$M$11)+50+(((S7*0.00314)*0.22)*'Технический лист'!$O$11)*4.2</f>
        <v>1524.2129184000003</v>
      </c>
    </row>
    <row r="15" spans="1:19">
      <c r="A15" s="4" t="s">
        <v>9</v>
      </c>
      <c r="B15" s="9">
        <f>(((B6*0.00314)*((B6+545)/1000))*'Технический лист'!$K$11)+370+((B7*0.00314)*((B7+450)/1000))*'Технический лист'!$K$11*5.5</f>
        <v>1742.7987893333334</v>
      </c>
      <c r="C15" s="9">
        <f>(((C6*0.00314)*((C6+545)/1000))*'Технический лист'!$K$11)+370+((C7*0.00314)*((C7+450)/1000))*'Технический лист'!$K$11*5.5</f>
        <v>1852.6525266666663</v>
      </c>
      <c r="D15" s="9">
        <f>(((D6*0.00314)*((D6+545)/1000))*'Технический лист'!$K$11)+370+((D7*0.00314)*((D7+450)/1000))*'Технический лист'!$K$11*5.5</f>
        <v>1908.6182643333332</v>
      </c>
      <c r="E15" s="9">
        <f>(((E6*0.00314)*((E6+545)/1000))*'Технический лист'!$K$11)+370+((E7*0.00314)*((E7+450)/1000))*'Технический лист'!$K$11*5.5</f>
        <v>1965.2765813333333</v>
      </c>
      <c r="F15" s="9">
        <f>(((F6*0.00314)*((F6+545)/1000))*'Технический лист'!$K$11)+370+((F7*0.00314)*((F7+450)/1000))*'Технический лист'!$K$11*5.5</f>
        <v>2022.6274776666664</v>
      </c>
      <c r="G15" s="9">
        <f>(((G6*0.00314)*((G6+545)/1000))*'Технический лист'!$K$11)+370+((G7*0.00314)*((G7+450)/1000))*'Технический лист'!$K$11*5.5</f>
        <v>2080.6709533333333</v>
      </c>
      <c r="H15" s="9">
        <f>(((H6*0.00314)*((H6+545)/1000))*'Технический лист'!$K$11)+370+((H7*0.00314)*((H7+450)/1000))*'Технический лист'!$K$11*5.5</f>
        <v>2198.8356426666669</v>
      </c>
      <c r="I15" s="9">
        <f>(((I6*0.00314)*((I6+545)/1000))*'Технический лист'!$K$11)+370+((I7*0.00314)*((I7+450)/1000))*'Технический лист'!$K$11*5.5</f>
        <v>2319.7706493333335</v>
      </c>
      <c r="J15" s="9">
        <f>(((J6*0.00314)*((J6+545)/1000))*'Технический лист'!$K$11)+370+((J7*0.00314)*((J7+450)/1000))*'Технический лист'!$K$11*5.5</f>
        <v>2443.4759733333331</v>
      </c>
      <c r="K15" s="9">
        <f>(((K6*0.00314)*((K6+545)/1000))*'Технический лист'!$K$11)+370+((K7*0.00314)*((K7+450)/1000))*'Технический лист'!$K$11*5.5</f>
        <v>2699.1975733333334</v>
      </c>
      <c r="L15" s="9">
        <f>(((L6*0.00314)*((L6+545)/1000))*'Технический лист'!$K$11)+370+((L7*0.00314)*((L7+450)/1000))*'Технический лист'!$K$11*5.5</f>
        <v>2966.0004426666665</v>
      </c>
      <c r="M15" s="9">
        <f>(((M6*0.00314)*((M6+545)/1000))*'Технический лист'!$K$11)+370+((M7*0.00314)*((M7+450)/1000))*'Технический лист'!$K$11*5.5</f>
        <v>3243.8845813333332</v>
      </c>
      <c r="N15" s="9">
        <f>(((N6*0.00314)*((N6+545)/1000))*'Технический лист'!$K$11)+370+((N7*0.00314)*((N7+450)/1000))*'Технический лист'!$K$11*5.5</f>
        <v>3681.4881693333327</v>
      </c>
      <c r="O15" s="9">
        <f>(((O6*0.00314)*((O6+545)/1000))*'Технический лист'!$K$11)+370+((O7*0.00314)*((O7+450)/1000))*'Технический лист'!$K$11*5.5</f>
        <v>3832.8966666666665</v>
      </c>
      <c r="P15" s="9">
        <f>(((P6*0.00314)*((P6+545)/1000))*'Технический лист'!$K$11)+370+((P7*0.00314)*((P7+450)/1000))*'Технический лист'!$K$11*5.5</f>
        <v>3987.0754813333342</v>
      </c>
      <c r="Q15" s="9">
        <f>(((Q6*0.00314)*((Q6+545)/1000))*'Технический лист'!$K$11)+370+((Q7*0.00314)*((Q7+450)/1000))*'Технический лист'!$K$11*5.5</f>
        <v>4144.024613333333</v>
      </c>
      <c r="R15" s="9">
        <f>(((R6*0.00314)*((R6+545)/1000))*'Технический лист'!$K$11)+370+((R7*0.00314)*((R7+450)/1000))*'Технический лист'!$K$11*5.5</f>
        <v>4303.7440626666667</v>
      </c>
      <c r="S15" s="9">
        <f>(((S6*0.00314)*((S6+545)/1000))*'Технический лист'!$K$11)+370+((S7*0.00314)*((S7+450)/1000))*'Технический лист'!$K$11*5.5</f>
        <v>4466.2338293333323</v>
      </c>
    </row>
    <row r="16" spans="1:19" ht="0.75" hidden="1" customHeight="1">
      <c r="A16" s="4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>
      <c r="A17" s="4" t="s">
        <v>118</v>
      </c>
      <c r="B17" s="16">
        <v>1800</v>
      </c>
      <c r="C17" s="16">
        <v>1800</v>
      </c>
      <c r="D17" s="16">
        <v>1800</v>
      </c>
      <c r="E17" s="16">
        <v>1800</v>
      </c>
      <c r="F17" s="16">
        <v>1800</v>
      </c>
      <c r="G17" s="16">
        <v>1800</v>
      </c>
      <c r="H17" s="16">
        <v>1800</v>
      </c>
      <c r="I17" s="16">
        <v>1800</v>
      </c>
      <c r="J17" s="16">
        <v>1800</v>
      </c>
      <c r="K17" s="16">
        <v>1800</v>
      </c>
      <c r="L17" s="16">
        <v>1800</v>
      </c>
      <c r="M17" s="16">
        <v>1800</v>
      </c>
      <c r="N17" s="16">
        <v>1800</v>
      </c>
      <c r="O17" s="16">
        <v>1800</v>
      </c>
      <c r="P17" s="16">
        <v>1800</v>
      </c>
      <c r="Q17" s="16">
        <v>1800</v>
      </c>
      <c r="R17" s="16">
        <v>1800</v>
      </c>
      <c r="S17" s="16">
        <v>1800</v>
      </c>
    </row>
    <row r="19" spans="1:19">
      <c r="A19" s="41" t="s">
        <v>87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19">
      <c r="A20" s="3" t="s">
        <v>0</v>
      </c>
      <c r="B20" s="10">
        <v>100</v>
      </c>
      <c r="C20" s="10">
        <v>110</v>
      </c>
      <c r="D20" s="10">
        <v>115</v>
      </c>
      <c r="E20" s="10">
        <v>120</v>
      </c>
      <c r="F20" s="10">
        <v>125</v>
      </c>
      <c r="G20" s="10">
        <v>130</v>
      </c>
      <c r="H20" s="10">
        <v>140</v>
      </c>
      <c r="I20" s="10">
        <v>150</v>
      </c>
      <c r="J20" s="10">
        <v>160</v>
      </c>
      <c r="K20" s="10">
        <v>180</v>
      </c>
      <c r="L20" s="10">
        <v>200</v>
      </c>
      <c r="M20" s="10">
        <v>220</v>
      </c>
      <c r="N20" s="10">
        <v>250</v>
      </c>
      <c r="O20" s="10">
        <v>260</v>
      </c>
      <c r="P20" s="10">
        <v>270</v>
      </c>
      <c r="Q20" s="10">
        <v>280</v>
      </c>
      <c r="R20" s="10">
        <v>290</v>
      </c>
      <c r="S20" s="10">
        <v>300</v>
      </c>
    </row>
    <row r="21" spans="1:19">
      <c r="A21" s="3" t="s">
        <v>1</v>
      </c>
      <c r="B21" s="10">
        <f>B20+70</f>
        <v>170</v>
      </c>
      <c r="C21" s="10">
        <f t="shared" ref="C21:N21" si="8">C20+70</f>
        <v>180</v>
      </c>
      <c r="D21" s="10">
        <f t="shared" si="8"/>
        <v>185</v>
      </c>
      <c r="E21" s="10">
        <f t="shared" si="8"/>
        <v>190</v>
      </c>
      <c r="F21" s="10">
        <f t="shared" si="8"/>
        <v>195</v>
      </c>
      <c r="G21" s="10">
        <f t="shared" si="8"/>
        <v>200</v>
      </c>
      <c r="H21" s="10">
        <f t="shared" si="8"/>
        <v>210</v>
      </c>
      <c r="I21" s="10">
        <f t="shared" si="8"/>
        <v>220</v>
      </c>
      <c r="J21" s="10">
        <f t="shared" si="8"/>
        <v>230</v>
      </c>
      <c r="K21" s="10">
        <f t="shared" si="8"/>
        <v>250</v>
      </c>
      <c r="L21" s="10">
        <f t="shared" si="8"/>
        <v>270</v>
      </c>
      <c r="M21" s="10">
        <f t="shared" si="8"/>
        <v>290</v>
      </c>
      <c r="N21" s="10">
        <f t="shared" si="8"/>
        <v>320</v>
      </c>
      <c r="O21" s="10">
        <f t="shared" ref="O21:S21" si="9">O20+70</f>
        <v>330</v>
      </c>
      <c r="P21" s="10">
        <f t="shared" si="9"/>
        <v>340</v>
      </c>
      <c r="Q21" s="10">
        <f t="shared" si="9"/>
        <v>350</v>
      </c>
      <c r="R21" s="10">
        <f t="shared" si="9"/>
        <v>360</v>
      </c>
      <c r="S21" s="10">
        <f t="shared" si="9"/>
        <v>370</v>
      </c>
    </row>
    <row r="22" spans="1:19">
      <c r="A22" s="4" t="s">
        <v>4</v>
      </c>
      <c r="B22" s="16">
        <f>((B20*0.00314)*'Технический лист'!$G$11)+310+((B21*0.00314)*'Технический лист'!$G$5)*3.3</f>
        <v>2422.1607733333335</v>
      </c>
      <c r="C22" s="16">
        <f>((C20*0.00314)*'Технический лист'!$G$11)+310+((C21*0.00314)*'Технический лист'!$G$5)*3.3</f>
        <v>2550.9782266666671</v>
      </c>
      <c r="D22" s="16">
        <f>((D20*0.00314)*'Технический лист'!$G$11)+310+((D21*0.00314)*'Технический лист'!$G$5)*3.3</f>
        <v>2615.3869533333327</v>
      </c>
      <c r="E22" s="16">
        <f>((E20*0.00314)*'Технический лист'!$G$11)+310+((E21*0.00314)*'Технический лист'!$G$5)*3.3</f>
        <v>2679.7956799999997</v>
      </c>
      <c r="F22" s="16">
        <f>((F20*0.00314)*'Технический лист'!$G$11)+310+((F21*0.00314)*'Технический лист'!$G$5)*3.3</f>
        <v>2744.2044066666663</v>
      </c>
      <c r="G22" s="16">
        <f>((G20*0.00314)*'Технический лист'!$G$11)+310+((G21*0.00314)*'Технический лист'!$G$5)*3.3</f>
        <v>2808.6131333333333</v>
      </c>
      <c r="H22" s="16">
        <f>((H20*0.00314)*'Технический лист'!$G$11)+310+((H21*0.00314)*'Технический лист'!$G$5)*3.3</f>
        <v>2937.4305866666664</v>
      </c>
      <c r="I22" s="16">
        <f>((I20*0.00314)*'Технический лист'!$G$11)+310+((I21*0.00314)*'Технический лист'!$G$5)*3.3</f>
        <v>3066.2480399999995</v>
      </c>
      <c r="J22" s="16">
        <f>((J20*0.00314)*'Технический лист'!$G$11)+310+((J21*0.00314)*'Технический лист'!$G$5)*3.3</f>
        <v>3195.0654933333331</v>
      </c>
      <c r="K22" s="16">
        <f>((K20*0.00314)*'Технический лист'!$G$11)+310+((K21*0.00314)*'Технический лист'!$G$5)*3.3</f>
        <v>3452.7003999999997</v>
      </c>
      <c r="L22" s="16">
        <f>((L20*0.00314)*'Технический лист'!$G$11)+310+((L21*0.00314)*'Технический лист'!$G$5)*3.3</f>
        <v>3710.3353066666668</v>
      </c>
      <c r="M22" s="16">
        <f>((M20*0.00314)*'Технический лист'!$G$11)+310+((M21*0.00314)*'Технический лист'!$G$5)*3.3</f>
        <v>3967.9702133333326</v>
      </c>
      <c r="N22" s="16">
        <f>((N20*0.00314)*'Технический лист'!$G$11)+310+((N21*0.00314)*'Технический лист'!$G$5)*3.3</f>
        <v>4354.4225733333324</v>
      </c>
      <c r="O22" s="16">
        <f>((O20*0.00314)*'Технический лист'!$G$11)+310+((O21*0.00314)*'Технический лист'!$G$5)*3.3</f>
        <v>4483.2400266666664</v>
      </c>
      <c r="P22" s="16">
        <f>((P20*0.00314)*'Технический лист'!$G$11)+310+((P21*0.00314)*'Технический лист'!$G$5)*3.3</f>
        <v>4612.0574800000004</v>
      </c>
      <c r="Q22" s="16">
        <f>((Q20*0.00314)*'Технический лист'!$G$11)+310+((Q21*0.00314)*'Технический лист'!$G$5)*3.3</f>
        <v>4740.8749333333335</v>
      </c>
      <c r="R22" s="16">
        <f>((R20*0.00314)*'Технический лист'!$G$11)+310+((R21*0.00314)*'Технический лист'!$G$5)*3.3</f>
        <v>4869.6923866666675</v>
      </c>
      <c r="S22" s="16">
        <f>((S20*0.00314)*'Технический лист'!$G$11)+310+((S21*0.00314)*'Технический лист'!$G$5)*3.3</f>
        <v>4998.5098399999988</v>
      </c>
    </row>
    <row r="23" spans="1:19">
      <c r="A23" s="4" t="s">
        <v>3</v>
      </c>
      <c r="B23" s="9">
        <f>(B22/2)*1.07</f>
        <v>1295.8560137333336</v>
      </c>
      <c r="C23" s="9">
        <f t="shared" ref="C23:N23" si="10">(C22/2)*1.07</f>
        <v>1364.7733512666669</v>
      </c>
      <c r="D23" s="9">
        <f t="shared" si="10"/>
        <v>1399.2320200333331</v>
      </c>
      <c r="E23" s="9">
        <f t="shared" si="10"/>
        <v>1433.6906887999999</v>
      </c>
      <c r="F23" s="9">
        <f t="shared" si="10"/>
        <v>1468.1493575666666</v>
      </c>
      <c r="G23" s="9">
        <f t="shared" si="10"/>
        <v>1502.6080263333333</v>
      </c>
      <c r="H23" s="9">
        <f t="shared" si="10"/>
        <v>1571.5253638666666</v>
      </c>
      <c r="I23" s="9">
        <f t="shared" si="10"/>
        <v>1640.4427013999998</v>
      </c>
      <c r="J23" s="9">
        <f t="shared" si="10"/>
        <v>1709.3600389333333</v>
      </c>
      <c r="K23" s="9">
        <f t="shared" si="10"/>
        <v>1847.194714</v>
      </c>
      <c r="L23" s="9">
        <f t="shared" si="10"/>
        <v>1985.0293890666669</v>
      </c>
      <c r="M23" s="9">
        <f t="shared" si="10"/>
        <v>2122.8640641333332</v>
      </c>
      <c r="N23" s="9">
        <f t="shared" si="10"/>
        <v>2329.6160767333331</v>
      </c>
      <c r="O23" s="9">
        <f t="shared" ref="O23:S23" si="11">(O22/2)*1.07</f>
        <v>2398.5334142666666</v>
      </c>
      <c r="P23" s="9">
        <f t="shared" si="11"/>
        <v>2467.4507518000005</v>
      </c>
      <c r="Q23" s="9">
        <f t="shared" si="11"/>
        <v>2536.3680893333335</v>
      </c>
      <c r="R23" s="9">
        <f t="shared" si="11"/>
        <v>2605.2854268666674</v>
      </c>
      <c r="S23" s="9">
        <f t="shared" si="11"/>
        <v>2674.2027643999995</v>
      </c>
    </row>
    <row r="24" spans="1:19">
      <c r="A24" s="4" t="s">
        <v>5</v>
      </c>
      <c r="B24" s="16">
        <f>(((B20*0.00314)*0.5)*'Технический лист'!$I$11)+310+(((B21*0.00314)*0.5)*'Технический лист'!$I$5)*3.9</f>
        <v>2275.6159266666668</v>
      </c>
      <c r="C24" s="16">
        <f>(((C20*0.00314)*0.5)*'Технический лист'!$I$11)+310+(((C21*0.00314)*0.5)*'Технический лист'!$I$5)*3.9</f>
        <v>2395.6277733333336</v>
      </c>
      <c r="D24" s="16">
        <f>(((D20*0.00314)*0.5)*'Технический лист'!$I$11)+310+(((D21*0.00314)*0.5)*'Технический лист'!$I$5)*3.9</f>
        <v>2455.6336966666668</v>
      </c>
      <c r="E24" s="16">
        <f>(((E20*0.00314)*0.5)*'Технический лист'!$I$11)+310+(((E21*0.00314)*0.5)*'Технический лист'!$I$5)*3.9</f>
        <v>2515.6396199999999</v>
      </c>
      <c r="F24" s="16">
        <f>(((F20*0.00314)*0.5)*'Технический лист'!$I$11)+310+(((F21*0.00314)*0.5)*'Технический лист'!$I$5)*3.9</f>
        <v>2575.6455433333335</v>
      </c>
      <c r="G24" s="16">
        <f>(((G20*0.00314)*0.5)*'Технический лист'!$I$11)+310+(((G21*0.00314)*0.5)*'Технический лист'!$I$5)*3.9</f>
        <v>2635.6514666666667</v>
      </c>
      <c r="H24" s="16">
        <f>(((H20*0.00314)*0.5)*'Технический лист'!$I$11)+310+(((H21*0.00314)*0.5)*'Технический лист'!$I$5)*3.9</f>
        <v>2755.6633133333335</v>
      </c>
      <c r="I24" s="16">
        <f>(((I20*0.00314)*0.5)*'Технический лист'!$I$11)+310+(((I21*0.00314)*0.5)*'Технический лист'!$I$5)*3.9</f>
        <v>2875.6751600000002</v>
      </c>
      <c r="J24" s="16">
        <f>(((J20*0.00314)*0.5)*'Технический лист'!$I$11)+310+(((J21*0.00314)*0.5)*'Технический лист'!$I$5)*3.9</f>
        <v>2995.6870066666665</v>
      </c>
      <c r="K24" s="16">
        <f>(((K20*0.00314)*0.5)*'Технический лист'!$I$11)+310+(((K21*0.00314)*0.5)*'Технический лист'!$I$5)*3.9</f>
        <v>3235.7107000000001</v>
      </c>
      <c r="L24" s="16">
        <f>(((L20*0.00314)*0.5)*'Технический лист'!$I$11)+310+(((L21*0.00314)*0.5)*'Технический лист'!$I$5)*3.9</f>
        <v>3475.7343933333332</v>
      </c>
      <c r="M24" s="16">
        <f>(((M20*0.00314)*0.5)*'Технический лист'!$I$11)+310+(((M21*0.00314)*0.5)*'Технический лист'!$I$5)*3.9</f>
        <v>3715.7580866666667</v>
      </c>
      <c r="N24" s="16">
        <f>(((N20*0.00314)*0.5)*'Технический лист'!$I$11)+310+(((N21*0.00314)*0.5)*'Технический лист'!$I$5)*3.9</f>
        <v>4075.7936266666661</v>
      </c>
      <c r="O24" s="16">
        <f>(((O20*0.00314)*0.5)*'Технический лист'!$I$11)+310+(((O21*0.00314)*0.5)*'Технический лист'!$I$5)*3.9</f>
        <v>4195.8054733333329</v>
      </c>
      <c r="P24" s="16">
        <f>(((P20*0.00314)*0.5)*'Технический лист'!$I$11)+310+(((P21*0.00314)*0.5)*'Технический лист'!$I$5)*3.9</f>
        <v>4315.8173200000001</v>
      </c>
      <c r="Q24" s="16">
        <f>(((Q20*0.00314)*0.5)*'Технический лист'!$I$11)+310+(((Q21*0.00314)*0.5)*'Технический лист'!$I$5)*3.9</f>
        <v>4435.8291666666664</v>
      </c>
      <c r="R24" s="16">
        <f>(((R20*0.00314)*0.5)*'Технический лист'!$I$11)+310+(((R21*0.00314)*0.5)*'Технический лист'!$I$5)*3.9</f>
        <v>4555.8410133333336</v>
      </c>
      <c r="S24" s="16">
        <f>(((S20*0.00314)*0.5)*'Технический лист'!$I$11)+310+(((S21*0.00314)*0.5)*'Технический лист'!$I$5)*3.9</f>
        <v>4675.85286</v>
      </c>
    </row>
    <row r="25" spans="1:19">
      <c r="A25" s="4" t="s">
        <v>96</v>
      </c>
      <c r="B25" s="9">
        <f>(B24*2)/3</f>
        <v>1517.0772844444446</v>
      </c>
      <c r="C25" s="9">
        <f t="shared" ref="C25:N25" si="12">(C24*2)/3</f>
        <v>1597.0851822222223</v>
      </c>
      <c r="D25" s="9">
        <f t="shared" si="12"/>
        <v>1637.0891311111111</v>
      </c>
      <c r="E25" s="9">
        <f t="shared" si="12"/>
        <v>1677.0930799999999</v>
      </c>
      <c r="F25" s="9">
        <f t="shared" si="12"/>
        <v>1717.0970288888891</v>
      </c>
      <c r="G25" s="9">
        <f t="shared" si="12"/>
        <v>1757.1009777777779</v>
      </c>
      <c r="H25" s="9">
        <f t="shared" si="12"/>
        <v>1837.1088755555556</v>
      </c>
      <c r="I25" s="9">
        <f t="shared" si="12"/>
        <v>1917.1167733333334</v>
      </c>
      <c r="J25" s="9">
        <f t="shared" si="12"/>
        <v>1997.124671111111</v>
      </c>
      <c r="K25" s="9">
        <f t="shared" si="12"/>
        <v>2157.1404666666667</v>
      </c>
      <c r="L25" s="9">
        <f t="shared" si="12"/>
        <v>2317.1562622222223</v>
      </c>
      <c r="M25" s="9">
        <f t="shared" si="12"/>
        <v>2477.1720577777778</v>
      </c>
      <c r="N25" s="9">
        <f t="shared" si="12"/>
        <v>2717.1957511111109</v>
      </c>
      <c r="O25" s="9">
        <f t="shared" ref="O25:S25" si="13">(O24*2)/3</f>
        <v>2797.2036488888884</v>
      </c>
      <c r="P25" s="9">
        <f t="shared" si="13"/>
        <v>2877.2115466666669</v>
      </c>
      <c r="Q25" s="9">
        <f t="shared" si="13"/>
        <v>2957.2194444444444</v>
      </c>
      <c r="R25" s="9">
        <f t="shared" si="13"/>
        <v>3037.2273422222224</v>
      </c>
      <c r="S25" s="9">
        <f t="shared" si="13"/>
        <v>3117.23524</v>
      </c>
    </row>
    <row r="26" spans="1:19">
      <c r="A26" s="4" t="s">
        <v>6</v>
      </c>
      <c r="B26" s="16">
        <f>(((B20*0.00314)*0.22)*'Технический лист'!$M$11)+100+(((B21*0.00314)*0.21)*'Технический лист'!$O$5)+(((B20+30)*(B20+30)/1000000)*'Технический лист'!$E$19)*9.4</f>
        <v>839.10186133333332</v>
      </c>
      <c r="C26" s="16">
        <f>(((C20*0.00314)*0.22)*'Технический лист'!$M$11)+100+(((C21*0.00314)*0.21)*'Технический лист'!$O$5)+(((C20+30)*(C20+30)/1000000)*'Технический лист'!$E$19)*9.4</f>
        <v>927.44159466666667</v>
      </c>
      <c r="D26" s="16">
        <f>(((D20*0.00314)*0.22)*'Технический лист'!$M$11)+100+(((D21*0.00314)*0.21)*'Технический лист'!$O$5)+(((D20+30)*(D20+30)/1000000)*'Технический лист'!$E$19)*9.4</f>
        <v>973.37396133333323</v>
      </c>
      <c r="E26" s="16">
        <f>(((E20*0.00314)*0.22)*'Технический лист'!$M$11)+100+(((E21*0.00314)*0.21)*'Технический лист'!$O$5)+(((E20+30)*(E20+30)/1000000)*'Технический лист'!$E$19)*9.4</f>
        <v>1020.4813280000001</v>
      </c>
      <c r="F26" s="16">
        <f>(((F20*0.00314)*0.22)*'Технический лист'!$M$11)+100+(((F21*0.00314)*0.21)*'Технический лист'!$O$5)+(((F20+30)*(F20+30)/1000000)*'Технический лист'!$E$19)*9.4</f>
        <v>1068.7636946666667</v>
      </c>
      <c r="G26" s="16">
        <f>(((G20*0.00314)*0.22)*'Технический лист'!$M$11)+100+(((G21*0.00314)*0.21)*'Технический лист'!$O$5)+(((G20+30)*(G20+30)/1000000)*'Технический лист'!$E$19)*9.4</f>
        <v>1118.2210613333332</v>
      </c>
      <c r="H26" s="16">
        <f>(((H20*0.00314)*0.22)*'Технический лист'!$M$11)+100+(((H21*0.00314)*0.21)*'Технический лист'!$O$5)+(((H20+30)*(H20+30)/1000000)*'Технический лист'!$E$19)*9.4</f>
        <v>1220.6607946666668</v>
      </c>
      <c r="I26" s="16">
        <f>(((I20*0.00314)*0.22)*'Технический лист'!$M$11)+100+(((I21*0.00314)*0.21)*'Технический лист'!$O$5)+(((I20+30)*(I20+30)/1000000)*'Технический лист'!$E$19)*9.4</f>
        <v>1327.8005279999998</v>
      </c>
      <c r="J26" s="16">
        <f>(((J20*0.00314)*0.22)*'Технический лист'!$M$11)+100+(((J21*0.00314)*0.21)*'Технический лист'!$O$5)+(((J20+30)*(J20+30)/1000000)*'Технический лист'!$E$19)*9.4</f>
        <v>1439.6402613333335</v>
      </c>
      <c r="K26" s="16">
        <f>(((K20*0.00314)*0.22)*'Технический лист'!$M$11)+100+(((K21*0.00314)*0.21)*'Технический лист'!$O$5)+(((K20+30)*(K20+30)/1000000)*'Технический лист'!$E$19)*9.4</f>
        <v>1677.4197280000001</v>
      </c>
      <c r="L26" s="16">
        <f>(((L20*0.00314)*0.22)*'Технический лист'!$M$11)+100+(((L21*0.00314)*0.21)*'Технический лист'!$O$5)+(((L20+30)*(L20+30)/1000000)*'Технический лист'!$E$19)*9.4</f>
        <v>1933.9991946666669</v>
      </c>
      <c r="M26" s="16">
        <f>(((M20*0.00314)*0.22)*'Технический лист'!$M$11)+100+(((M21*0.00314)*0.21)*'Технический лист'!$O$5)+(((M20+30)*(M20+30)/1000000)*'Технический лист'!$E$19)*9.4</f>
        <v>2209.3786613333332</v>
      </c>
      <c r="N26" s="16">
        <f>(((N20*0.00314)*0.22)*'Технический лист'!$M$11)+100+(((N21*0.00314)*0.21)*'Технический лист'!$O$5)+(((N20+30)*(N20+30)/1000000)*'Технический лист'!$E$19)*9.4</f>
        <v>2657.6978613333335</v>
      </c>
      <c r="O26" s="16">
        <f>(((O20*0.00314)*0.22)*'Технический лист'!$M$11)+100+(((O21*0.00314)*0.21)*'Технический лист'!$O$5)+(((O20+30)*(O20+30)/1000000)*'Технический лист'!$E$19)*9.4</f>
        <v>2816.5375946666663</v>
      </c>
      <c r="P26" s="16">
        <f>(((P20*0.00314)*0.22)*'Технический лист'!$M$11)+100+(((P21*0.00314)*0.21)*'Технический лист'!$O$5)+(((P20+30)*(P20+30)/1000000)*'Технический лист'!$E$19)*9.4</f>
        <v>2980.0773280000003</v>
      </c>
      <c r="Q26" s="16">
        <f>(((Q20*0.00314)*0.22)*'Технический лист'!$M$11)+100+(((Q21*0.00314)*0.21)*'Технический лист'!$O$5)+(((Q20+30)*(Q20+30)/1000000)*'Технический лист'!$E$19)*9.4</f>
        <v>3148.3170613333332</v>
      </c>
      <c r="R26" s="16">
        <f>(((R20*0.00314)*0.22)*'Технический лист'!$M$11)+100+(((R21*0.00314)*0.21)*'Технический лист'!$O$5)+(((R20+30)*(R20+30)/1000000)*'Технический лист'!$E$19)*9.4</f>
        <v>3321.2567946666668</v>
      </c>
      <c r="S26" s="16">
        <f>(((S20*0.00314)*0.22)*'Технический лист'!$M$11)+100+(((S21*0.00314)*0.21)*'Технический лист'!$O$5)+(((S20+30)*(S20+30)/1000000)*'Технический лист'!$E$19)*9.4</f>
        <v>3498.8965280000002</v>
      </c>
    </row>
    <row r="27" spans="1:19">
      <c r="A27" s="4" t="s">
        <v>7</v>
      </c>
      <c r="B27" s="9">
        <f>B26*1.8</f>
        <v>1510.3833503999999</v>
      </c>
      <c r="C27" s="9">
        <f t="shared" ref="C27:N27" si="14">C26*1.8</f>
        <v>1669.3948703999999</v>
      </c>
      <c r="D27" s="9">
        <f t="shared" si="14"/>
        <v>1752.0731303999999</v>
      </c>
      <c r="E27" s="9">
        <f t="shared" si="14"/>
        <v>1836.8663904000002</v>
      </c>
      <c r="F27" s="9">
        <f t="shared" si="14"/>
        <v>1923.7746503999999</v>
      </c>
      <c r="G27" s="9">
        <f t="shared" si="14"/>
        <v>2012.7979103999999</v>
      </c>
      <c r="H27" s="9">
        <f t="shared" si="14"/>
        <v>2197.1894304000002</v>
      </c>
      <c r="I27" s="9">
        <f t="shared" si="14"/>
        <v>2390.0409503999995</v>
      </c>
      <c r="J27" s="9">
        <f t="shared" si="14"/>
        <v>2591.3524704000001</v>
      </c>
      <c r="K27" s="9">
        <f t="shared" si="14"/>
        <v>3019.3555104000002</v>
      </c>
      <c r="L27" s="9">
        <f t="shared" si="14"/>
        <v>3481.1985504000004</v>
      </c>
      <c r="M27" s="9">
        <f t="shared" si="14"/>
        <v>3976.8815903999998</v>
      </c>
      <c r="N27" s="9">
        <f t="shared" si="14"/>
        <v>4783.8561504000008</v>
      </c>
      <c r="O27" s="9">
        <f t="shared" ref="O27:S27" si="15">O26*1.8</f>
        <v>5069.7676703999996</v>
      </c>
      <c r="P27" s="9">
        <f t="shared" si="15"/>
        <v>5364.1391904000011</v>
      </c>
      <c r="Q27" s="9">
        <f t="shared" si="15"/>
        <v>5666.9707103999999</v>
      </c>
      <c r="R27" s="9">
        <f t="shared" si="15"/>
        <v>5978.2622304000006</v>
      </c>
      <c r="S27" s="9">
        <f t="shared" si="15"/>
        <v>6298.0137504000004</v>
      </c>
    </row>
    <row r="28" spans="1:19">
      <c r="A28" s="4" t="s">
        <v>8</v>
      </c>
      <c r="B28" s="16">
        <f>(((B20*0.00314)*0.2)*'Технический лист'!$M$11)+50+(((B21*0.00314)*0.22)*'Технический лист'!$O$5)*3</f>
        <v>865.67319466666686</v>
      </c>
      <c r="C28" s="16">
        <f>(((C20*0.00314)*0.2)*'Технический лист'!$M$11)+50+(((C21*0.00314)*0.22)*'Технический лист'!$O$5)*3</f>
        <v>917.99480533333349</v>
      </c>
      <c r="D28" s="16">
        <f>(((D20*0.00314)*0.2)*'Технический лист'!$M$11)+50+(((D21*0.00314)*0.22)*'Технический лист'!$O$5)*3</f>
        <v>944.15561066666658</v>
      </c>
      <c r="E28" s="16">
        <f>(((E20*0.00314)*0.2)*'Технический лист'!$M$11)+50+(((E21*0.00314)*0.22)*'Технический лист'!$O$5)*3</f>
        <v>970.31641600000012</v>
      </c>
      <c r="F28" s="16">
        <f>(((F20*0.00314)*0.2)*'Технический лист'!$M$11)+50+(((F21*0.00314)*0.22)*'Технический лист'!$O$5)*3</f>
        <v>996.47722133333343</v>
      </c>
      <c r="G28" s="16">
        <f>(((G20*0.00314)*0.2)*'Технический лист'!$M$11)+50+(((G21*0.00314)*0.22)*'Технический лист'!$O$5)*3</f>
        <v>1022.6380266666667</v>
      </c>
      <c r="H28" s="16">
        <f>(((H20*0.00314)*0.2)*'Технический лист'!$M$11)+50+(((H21*0.00314)*0.22)*'Технический лист'!$O$5)*3</f>
        <v>1074.9596373333334</v>
      </c>
      <c r="I28" s="16">
        <f>(((I20*0.00314)*0.2)*'Технический лист'!$M$11)+50+(((I21*0.00314)*0.22)*'Технический лист'!$O$5)*3</f>
        <v>1127.281248</v>
      </c>
      <c r="J28" s="16">
        <f>(((J20*0.00314)*0.2)*'Технический лист'!$M$11)+50+(((J21*0.00314)*0.22)*'Технический лист'!$O$5)*3</f>
        <v>1179.6028586666666</v>
      </c>
      <c r="K28" s="16">
        <f>(((K20*0.00314)*0.2)*'Технический лист'!$M$11)+50+(((K21*0.00314)*0.22)*'Технический лист'!$O$5)*3</f>
        <v>1284.2460800000001</v>
      </c>
      <c r="L28" s="16">
        <f>(((L20*0.00314)*0.2)*'Технический лист'!$M$11)+50+(((L21*0.00314)*0.22)*'Технический лист'!$O$5)*3</f>
        <v>1388.8893013333336</v>
      </c>
      <c r="M28" s="16">
        <f>(((M20*0.00314)*0.2)*'Технический лист'!$M$11)+50+(((M21*0.00314)*0.22)*'Технический лист'!$O$5)*3</f>
        <v>1493.5325226666666</v>
      </c>
      <c r="N28" s="16">
        <f>(((N20*0.00314)*0.2)*'Технический лист'!$M$11)+50+(((N21*0.00314)*0.22)*'Технический лист'!$O$5)*3</f>
        <v>1650.4973546666665</v>
      </c>
      <c r="O28" s="16">
        <f>(((O20*0.00314)*0.2)*'Технический лист'!$M$11)+50+(((O21*0.00314)*0.22)*'Технический лист'!$O$5)*3</f>
        <v>1702.8189653333334</v>
      </c>
      <c r="P28" s="16">
        <f>(((P20*0.00314)*0.2)*'Технический лист'!$M$11)+50+(((P21*0.00314)*0.22)*'Технический лист'!$O$5)*3</f>
        <v>1755.1405760000002</v>
      </c>
      <c r="Q28" s="16">
        <f>(((Q20*0.00314)*0.2)*'Технический лист'!$M$11)+50+(((Q21*0.00314)*0.22)*'Технический лист'!$O$5)*3</f>
        <v>1807.4621866666666</v>
      </c>
      <c r="R28" s="16">
        <f>(((R20*0.00314)*0.2)*'Технический лист'!$M$11)+50+(((R21*0.00314)*0.22)*'Технический лист'!$O$5)*3</f>
        <v>1859.7837973333335</v>
      </c>
      <c r="S28" s="16">
        <f>(((S20*0.00314)*0.2)*'Технический лист'!$M$11)+50+(((S21*0.00314)*0.22)*'Технический лист'!$O$5)*3</f>
        <v>1912.1054079999999</v>
      </c>
    </row>
    <row r="29" spans="1:19">
      <c r="A29" s="4" t="s">
        <v>9</v>
      </c>
      <c r="B29" s="9">
        <f>(((B20*0.00314)*((B20+545)/1000))*'Технический лист'!$K$11)+370+((B21*0.00314)*((B21+450)/1000))*'Технический лист'!$K$5*3.7</f>
        <v>2914.8904952000003</v>
      </c>
      <c r="C29" s="9">
        <f>(((C20*0.00314)*((C20+545)/1000))*'Технический лист'!$K$11)+370+((C21*0.00314)*((C21+450)/1000))*'Технический лист'!$K$5*3.7</f>
        <v>3113.7075498666668</v>
      </c>
      <c r="D29" s="9">
        <f>(((D20*0.00314)*((D20+545)/1000))*'Технический лист'!$K$11)+370+((D21*0.00314)*((D21+450)/1000))*'Технический лист'!$K$5*3.7</f>
        <v>3214.9889772999995</v>
      </c>
      <c r="E29" s="9">
        <f>(((E20*0.00314)*((E20+545)/1000))*'Технический лист'!$K$11)+370+((E21*0.00314)*((E21+450)/1000))*'Технический лист'!$K$5*3.7</f>
        <v>3317.5190048000004</v>
      </c>
      <c r="F29" s="9">
        <f>(((F20*0.00314)*((F20+545)/1000))*'Технический лист'!$K$11)+370+((F21*0.00314)*((F21+450)/1000))*'Технический лист'!$K$5*3.7</f>
        <v>3421.2976323666671</v>
      </c>
      <c r="G29" s="9">
        <f>(((G20*0.00314)*((G20+545)/1000))*'Технический лист'!$K$11)+370+((G21*0.00314)*((G21+450)/1000))*'Технический лист'!$K$5*3.7</f>
        <v>3526.3248600000002</v>
      </c>
      <c r="H29" s="9">
        <f>(((H20*0.00314)*((H20+545)/1000))*'Технический лист'!$K$11)+370+((H21*0.00314)*((H21+450)/1000))*'Технический лист'!$K$5*3.7</f>
        <v>3740.125115466667</v>
      </c>
      <c r="I29" s="9">
        <f>(((I20*0.00314)*((I20+545)/1000))*'Технический лист'!$K$11)+370+((I21*0.00314)*((I21+450)/1000))*'Технический лист'!$K$5*3.7</f>
        <v>3958.9197712000005</v>
      </c>
      <c r="J29" s="9">
        <f>(((J20*0.00314)*((J20+545)/1000))*'Технический лист'!$K$11)+370+((J21*0.00314)*((J21+450)/1000))*'Технический лист'!$K$5*3.7</f>
        <v>4182.7088272000001</v>
      </c>
      <c r="K29" s="9">
        <f>(((K20*0.00314)*((K20+545)/1000))*'Технический лист'!$K$11)+370+((K21*0.00314)*((K21+450)/1000))*'Технический лист'!$K$5*3.7</f>
        <v>4645.2701400000005</v>
      </c>
      <c r="L29" s="9">
        <f>(((L20*0.00314)*((L20+545)/1000))*'Технический лист'!$K$11)+370+((L21*0.00314)*((L21+450)/1000))*'Технический лист'!$K$5*3.7</f>
        <v>5127.8090538666665</v>
      </c>
      <c r="M29" s="9">
        <f>(((M20*0.00314)*((M20+545)/1000))*'Технический лист'!$K$11)+370+((M21*0.00314)*((M21+450)/1000))*'Технический лист'!$K$5*3.7</f>
        <v>5630.3255687999999</v>
      </c>
      <c r="N29" s="9">
        <f>(((N20*0.00314)*((N20+545)/1000))*'Технический лист'!$K$11)+370+((N21*0.00314)*((N21+450)/1000))*'Технический лист'!$K$5*3.7</f>
        <v>6421.5583432000003</v>
      </c>
      <c r="O29" s="9">
        <f>(((O20*0.00314)*((O20+545)/1000))*'Технический лист'!$K$11)+370+((O21*0.00314)*((O21+450)/1000))*'Технический лист'!$K$5*3.7</f>
        <v>6695.291401866667</v>
      </c>
      <c r="P29" s="9">
        <f>(((P20*0.00314)*((P20+545)/1000))*'Технический лист'!$K$11)+370+((P21*0.00314)*((P21+450)/1000))*'Технический лист'!$K$5*3.7</f>
        <v>6974.0188608000017</v>
      </c>
      <c r="Q29" s="9">
        <f>(((Q20*0.00314)*((Q20+545)/1000))*'Технический лист'!$K$11)+370+((Q21*0.00314)*((Q21+450)/1000))*'Технический лист'!$K$5*3.7</f>
        <v>7257.7407200000007</v>
      </c>
      <c r="R29" s="9">
        <f>(((R20*0.00314)*((R20+545)/1000))*'Технический лист'!$K$11)+370+((R21*0.00314)*((R21+450)/1000))*'Технический лист'!$K$5*3.7</f>
        <v>7546.4569794666677</v>
      </c>
      <c r="S29" s="9">
        <f>(((S20*0.00314)*((S20+545)/1000))*'Технический лист'!$K$11)+370+((S21*0.00314)*((S21+450)/1000))*'Технический лист'!$K$5*3.7</f>
        <v>7840.167639199999</v>
      </c>
    </row>
    <row r="30" spans="1:19" hidden="1">
      <c r="A30" s="4" t="s">
        <v>8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>
      <c r="A31" s="4" t="s">
        <v>119</v>
      </c>
      <c r="B31" s="16">
        <v>2100</v>
      </c>
      <c r="C31" s="16">
        <v>2100</v>
      </c>
      <c r="D31" s="16">
        <v>2100</v>
      </c>
      <c r="E31" s="16">
        <v>2100</v>
      </c>
      <c r="F31" s="16">
        <v>2100</v>
      </c>
      <c r="G31" s="16">
        <v>2100</v>
      </c>
      <c r="H31" s="16">
        <v>2100</v>
      </c>
      <c r="I31" s="16">
        <v>2100</v>
      </c>
      <c r="J31" s="16">
        <v>2100</v>
      </c>
      <c r="K31" s="16">
        <v>2100</v>
      </c>
      <c r="L31" s="16">
        <v>2100</v>
      </c>
      <c r="M31" s="16">
        <v>2100</v>
      </c>
      <c r="N31" s="16">
        <v>2100</v>
      </c>
      <c r="O31" s="16">
        <v>2100</v>
      </c>
      <c r="P31" s="16">
        <v>2100</v>
      </c>
      <c r="Q31" s="16">
        <v>2100</v>
      </c>
      <c r="R31" s="16">
        <v>2100</v>
      </c>
      <c r="S31" s="16">
        <v>2100</v>
      </c>
    </row>
  </sheetData>
  <mergeCells count="6">
    <mergeCell ref="A19:N19"/>
    <mergeCell ref="A1:C1"/>
    <mergeCell ref="D1:O1"/>
    <mergeCell ref="D2:O2"/>
    <mergeCell ref="D3:O3"/>
    <mergeCell ref="A5:O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D37"/>
  <sheetViews>
    <sheetView zoomScale="80" zoomScaleNormal="80" workbookViewId="0">
      <selection sqref="A1:C1"/>
    </sheetView>
  </sheetViews>
  <sheetFormatPr defaultRowHeight="14.4"/>
  <cols>
    <col min="1" max="1" width="20.6640625" customWidth="1"/>
    <col min="2" max="2" width="6.33203125" style="1" customWidth="1"/>
    <col min="3" max="24" width="6.33203125" customWidth="1"/>
  </cols>
  <sheetData>
    <row r="1" spans="1:30" ht="45" customHeight="1">
      <c r="A1" s="32"/>
      <c r="B1" s="32"/>
      <c r="C1" s="32"/>
      <c r="D1" s="40" t="s">
        <v>94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1"/>
      <c r="Q1" s="1"/>
    </row>
    <row r="2" spans="1:30" ht="15" customHeight="1">
      <c r="D2" s="34" t="s">
        <v>95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1"/>
    </row>
    <row r="3" spans="1:30" ht="15" customHeight="1">
      <c r="D3" s="34" t="s">
        <v>112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30" ht="2.25" customHeight="1"/>
    <row r="5" spans="1:30">
      <c r="A5" s="41" t="s">
        <v>67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 t="s">
        <v>67</v>
      </c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</row>
    <row r="6" spans="1:30">
      <c r="A6" s="3" t="s">
        <v>78</v>
      </c>
      <c r="B6" s="22">
        <v>100</v>
      </c>
      <c r="C6" s="10">
        <v>110</v>
      </c>
      <c r="D6" s="10">
        <v>115</v>
      </c>
      <c r="E6" s="10">
        <v>120</v>
      </c>
      <c r="F6" s="10">
        <v>125</v>
      </c>
      <c r="G6" s="10">
        <v>130</v>
      </c>
      <c r="H6" s="10">
        <v>140</v>
      </c>
      <c r="I6" s="10">
        <v>150</v>
      </c>
      <c r="J6" s="10">
        <v>160</v>
      </c>
      <c r="K6" s="10">
        <v>180</v>
      </c>
      <c r="L6" s="10">
        <v>200</v>
      </c>
      <c r="M6" s="10">
        <v>220</v>
      </c>
      <c r="N6" s="10">
        <v>250</v>
      </c>
      <c r="O6" s="10">
        <v>260</v>
      </c>
      <c r="P6" s="10">
        <v>270</v>
      </c>
      <c r="Q6" s="10">
        <v>280</v>
      </c>
      <c r="R6" s="10">
        <v>290</v>
      </c>
      <c r="S6" s="10">
        <v>300</v>
      </c>
      <c r="T6" s="10">
        <v>310</v>
      </c>
      <c r="U6" s="10">
        <v>320</v>
      </c>
      <c r="V6" s="10">
        <v>330</v>
      </c>
      <c r="W6" s="10">
        <v>340</v>
      </c>
      <c r="X6" s="10">
        <v>350</v>
      </c>
    </row>
    <row r="7" spans="1:30" hidden="1">
      <c r="A7" s="3" t="s">
        <v>1</v>
      </c>
      <c r="B7" s="22">
        <f>B6+70</f>
        <v>170</v>
      </c>
      <c r="C7" s="10">
        <f t="shared" ref="C7:N7" si="0">C6+70</f>
        <v>180</v>
      </c>
      <c r="D7" s="10">
        <f t="shared" si="0"/>
        <v>185</v>
      </c>
      <c r="E7" s="10">
        <f t="shared" si="0"/>
        <v>190</v>
      </c>
      <c r="F7" s="10">
        <f t="shared" si="0"/>
        <v>195</v>
      </c>
      <c r="G7" s="10">
        <f t="shared" si="0"/>
        <v>200</v>
      </c>
      <c r="H7" s="10">
        <f t="shared" si="0"/>
        <v>210</v>
      </c>
      <c r="I7" s="10">
        <f t="shared" si="0"/>
        <v>220</v>
      </c>
      <c r="J7" s="10">
        <f t="shared" si="0"/>
        <v>230</v>
      </c>
      <c r="K7" s="10">
        <f t="shared" si="0"/>
        <v>250</v>
      </c>
      <c r="L7" s="10">
        <f t="shared" si="0"/>
        <v>270</v>
      </c>
      <c r="M7" s="10">
        <f t="shared" si="0"/>
        <v>290</v>
      </c>
      <c r="N7" s="10">
        <f t="shared" si="0"/>
        <v>320</v>
      </c>
      <c r="O7" s="10">
        <f t="shared" ref="O7:P7" si="1">O6+70</f>
        <v>330</v>
      </c>
      <c r="P7" s="10">
        <f t="shared" si="1"/>
        <v>340</v>
      </c>
      <c r="Q7" s="10">
        <f t="shared" ref="Q7" si="2">Q6+70</f>
        <v>350</v>
      </c>
      <c r="R7" s="10">
        <v>290</v>
      </c>
      <c r="S7" s="10">
        <v>290</v>
      </c>
      <c r="T7" s="10">
        <v>290</v>
      </c>
      <c r="U7" s="10">
        <v>290</v>
      </c>
      <c r="V7" s="10">
        <v>290</v>
      </c>
      <c r="W7" s="10">
        <v>290</v>
      </c>
      <c r="X7" s="10">
        <v>290</v>
      </c>
    </row>
    <row r="8" spans="1:30">
      <c r="A8" s="4" t="s">
        <v>69</v>
      </c>
      <c r="B8" s="23">
        <f>(((B6*0.00314)*'Технический лист'!$G$3))*2</f>
        <v>635.53600000000006</v>
      </c>
      <c r="C8" s="23">
        <f>(((C6*0.00314)*'Технический лист'!$G$3))*2</f>
        <v>699.08960000000002</v>
      </c>
      <c r="D8" s="23">
        <f>(((D6*0.00314)*'Технический лист'!$G$3))*2</f>
        <v>730.8664</v>
      </c>
      <c r="E8" s="23">
        <f>(((E6*0.00314)*'Технический лист'!$G$3))*2</f>
        <v>762.64320000000009</v>
      </c>
      <c r="F8" s="23">
        <f>(((F6*0.00314)*'Технический лист'!$G$3))*2</f>
        <v>794.42000000000007</v>
      </c>
      <c r="G8" s="23">
        <f>(((G6*0.00314)*'Технический лист'!$G$3))*2</f>
        <v>826.19680000000005</v>
      </c>
      <c r="H8" s="23">
        <f>(((H6*0.00314)*'Технический лист'!$G$3))*2</f>
        <v>889.75040000000001</v>
      </c>
      <c r="I8" s="23">
        <f>(((I6*0.00314)*'Технический лист'!$G$3))*2</f>
        <v>953.30399999999997</v>
      </c>
      <c r="J8" s="23">
        <f>(((J6*0.00314)*'Технический лист'!$G$3))*2</f>
        <v>1016.8575999999999</v>
      </c>
      <c r="K8" s="23">
        <f>(((K6*0.00314)*'Технический лист'!$G$3))*2</f>
        <v>1143.9648</v>
      </c>
      <c r="L8" s="23">
        <f>(((L6*0.00314)*'Технический лист'!$G$3))*2</f>
        <v>1271.0720000000001</v>
      </c>
      <c r="M8" s="23">
        <f>(((M6*0.00314)*'Технический лист'!$G$3))*2</f>
        <v>1398.1792</v>
      </c>
      <c r="N8" s="23">
        <f>(((N6*0.00314)*'Технический лист'!$G$3))*2</f>
        <v>1588.8400000000001</v>
      </c>
      <c r="O8" s="23">
        <f>(((O6*0.00314)*'Технический лист'!$G$3))*2</f>
        <v>1652.3936000000001</v>
      </c>
      <c r="P8" s="23">
        <f>(((P6*0.00314)*'Технический лист'!$G$3))*2</f>
        <v>1715.9472000000001</v>
      </c>
      <c r="Q8" s="23">
        <f>(((Q6*0.00314)*'Технический лист'!$G$3))*2</f>
        <v>1779.5008</v>
      </c>
      <c r="R8" s="23">
        <f>(((R6*0.00314)*'Технический лист'!$G$3))*2</f>
        <v>1843.0544</v>
      </c>
      <c r="S8" s="23">
        <f>(((S6*0.00314)*'Технический лист'!$G$3))*2</f>
        <v>1906.6079999999999</v>
      </c>
      <c r="T8" s="23">
        <f>(((T6*0.00314)*'Технический лист'!$G$3))*2</f>
        <v>1970.1616000000001</v>
      </c>
      <c r="U8" s="23">
        <f>(((U6*0.00314)*'Технический лист'!$G$3))*2</f>
        <v>2033.7151999999999</v>
      </c>
      <c r="V8" s="23">
        <f>(((V6*0.00314)*'Технический лист'!$G$3))*2</f>
        <v>2097.2687999999998</v>
      </c>
      <c r="W8" s="23">
        <f>(((W6*0.00314)*'Технический лист'!$G$3))*2</f>
        <v>2160.8224</v>
      </c>
      <c r="X8" s="23">
        <f>(((X6*0.00314)*'Технический лист'!$G$3))*2</f>
        <v>2224.3759999999997</v>
      </c>
    </row>
    <row r="9" spans="1:30">
      <c r="A9" s="4" t="s">
        <v>70</v>
      </c>
      <c r="B9" s="24">
        <f>((B8/2)*1.07)-10</f>
        <v>330.01176000000004</v>
      </c>
      <c r="C9" s="9">
        <f t="shared" ref="C9:N9" si="3">((C8/2)*1.07)-10</f>
        <v>364.01293600000002</v>
      </c>
      <c r="D9" s="9">
        <f t="shared" si="3"/>
        <v>381.01352400000002</v>
      </c>
      <c r="E9" s="9">
        <f t="shared" si="3"/>
        <v>398.01411200000007</v>
      </c>
      <c r="F9" s="9">
        <f t="shared" si="3"/>
        <v>415.01470000000006</v>
      </c>
      <c r="G9" s="9">
        <f t="shared" si="3"/>
        <v>432.01528800000006</v>
      </c>
      <c r="H9" s="9">
        <f t="shared" si="3"/>
        <v>466.01646400000004</v>
      </c>
      <c r="I9" s="9">
        <f t="shared" si="3"/>
        <v>500.01764000000003</v>
      </c>
      <c r="J9" s="9">
        <f t="shared" si="3"/>
        <v>534.01881600000002</v>
      </c>
      <c r="K9" s="9">
        <f t="shared" si="3"/>
        <v>602.02116799999999</v>
      </c>
      <c r="L9" s="9">
        <f t="shared" si="3"/>
        <v>670.02352000000008</v>
      </c>
      <c r="M9" s="9">
        <f t="shared" si="3"/>
        <v>738.02587200000005</v>
      </c>
      <c r="N9" s="9">
        <f t="shared" si="3"/>
        <v>840.02940000000012</v>
      </c>
      <c r="O9" s="9">
        <f t="shared" ref="O9:P9" si="4">((O8/2)*1.07)-10</f>
        <v>874.03057600000011</v>
      </c>
      <c r="P9" s="9">
        <f t="shared" si="4"/>
        <v>908.0317520000001</v>
      </c>
      <c r="Q9" s="9">
        <f t="shared" ref="Q9:R9" si="5">((Q8/2)*1.07)-10</f>
        <v>942.03292800000008</v>
      </c>
      <c r="R9" s="9">
        <f t="shared" si="5"/>
        <v>976.03410400000007</v>
      </c>
      <c r="S9" s="9">
        <f t="shared" ref="S9:X9" si="6">((S8/2)*1.07)-10</f>
        <v>1010.0352800000001</v>
      </c>
      <c r="T9" s="9">
        <f t="shared" si="6"/>
        <v>1044.036456</v>
      </c>
      <c r="U9" s="9">
        <f t="shared" si="6"/>
        <v>1078.037632</v>
      </c>
      <c r="V9" s="9">
        <f t="shared" si="6"/>
        <v>1112.038808</v>
      </c>
      <c r="W9" s="9">
        <f t="shared" si="6"/>
        <v>1146.039984</v>
      </c>
      <c r="X9" s="9">
        <f t="shared" si="6"/>
        <v>1180.04116</v>
      </c>
    </row>
    <row r="10" spans="1:30">
      <c r="A10" s="4" t="s">
        <v>71</v>
      </c>
      <c r="B10" s="23">
        <f>(((B6*0.00314)*0.55)*'Технический лист'!$I$3)*2.1</f>
        <v>610.01094000000001</v>
      </c>
      <c r="C10" s="23">
        <f>(((C6*0.00314)*0.55)*'Технический лист'!$I$3)*2.1</f>
        <v>671.01203399999997</v>
      </c>
      <c r="D10" s="23">
        <f>(((D6*0.00314)*0.55)*'Технический лист'!$I$3)*2.1</f>
        <v>701.51258100000007</v>
      </c>
      <c r="E10" s="23">
        <f>(((E6*0.00314)*0.55)*'Технический лист'!$I$3)*2.1</f>
        <v>732.01312800000017</v>
      </c>
      <c r="F10" s="23">
        <f>(((F6*0.00314)*0.55)*'Технический лист'!$I$3)*2.1</f>
        <v>762.51367500000015</v>
      </c>
      <c r="G10" s="23">
        <f>(((G6*0.00314)*0.55)*'Технический лист'!$I$3)*2.1</f>
        <v>793.01422200000013</v>
      </c>
      <c r="H10" s="23">
        <f>(((H6*0.00314)*0.55)*'Технический лист'!$I$3)*2.1</f>
        <v>854.0153160000001</v>
      </c>
      <c r="I10" s="23">
        <f>(((I6*0.00314)*0.55)*'Технический лист'!$I$3)*2.1</f>
        <v>915.01641000000006</v>
      </c>
      <c r="J10" s="23">
        <f>(((J6*0.00314)*0.55)*'Технический лист'!$I$3)*2.1</f>
        <v>976.01750400000003</v>
      </c>
      <c r="K10" s="23">
        <f>(((K6*0.00314)*0.55)*'Технический лист'!$I$3)*2.1</f>
        <v>1098.0196920000001</v>
      </c>
      <c r="L10" s="23">
        <f>(((L6*0.00314)*0.55)*'Технический лист'!$I$3)*2.1</f>
        <v>1220.02188</v>
      </c>
      <c r="M10" s="23">
        <f>(((M6*0.00314)*0.55)*'Технический лист'!$I$3)*2.1</f>
        <v>1342.0240679999999</v>
      </c>
      <c r="N10" s="23">
        <f>(((N6*0.00314)*0.55)*'Технический лист'!$I$3)*2.1</f>
        <v>1525.0273500000003</v>
      </c>
      <c r="O10" s="23">
        <f>(((O6*0.00314)*0.55)*'Технический лист'!$I$3)*2.1</f>
        <v>1586.0284440000003</v>
      </c>
      <c r="P10" s="23">
        <f>(((P6*0.00314)*0.55)*'Технический лист'!$I$3)*2.1</f>
        <v>1647.0295380000002</v>
      </c>
      <c r="Q10" s="23">
        <f>(((Q6*0.00314)*0.55)*'Технический лист'!$I$3)*2.1</f>
        <v>1708.0306320000002</v>
      </c>
      <c r="R10" s="23">
        <f>(((R6*0.00314)*0.55)*'Технический лист'!$I$3)*2.1</f>
        <v>1769.0317260000002</v>
      </c>
      <c r="S10" s="23">
        <f>(((S6*0.00314)*0.55)*'Технический лист'!$I$3)*2.1</f>
        <v>1830.0328200000001</v>
      </c>
      <c r="T10" s="23">
        <f>(((T6*0.00314)*0.55)*'Технический лист'!$I$3)*2.1</f>
        <v>1891.0339140000001</v>
      </c>
      <c r="U10" s="23">
        <f>(((U6*0.00314)*0.55)*'Технический лист'!$I$3)*2.1</f>
        <v>1952.0350080000001</v>
      </c>
      <c r="V10" s="23">
        <f>(((V6*0.00314)*0.55)*'Технический лист'!$I$3)*2.1</f>
        <v>2013.036102</v>
      </c>
      <c r="W10" s="23">
        <f>(((W6*0.00314)*0.55)*'Технический лист'!$I$3)*2.1</f>
        <v>2074.0371960000007</v>
      </c>
      <c r="X10" s="23">
        <f>(((X6*0.00314)*0.55)*'Технический лист'!$I$3)*2.1</f>
        <v>2135.0382900000004</v>
      </c>
    </row>
    <row r="11" spans="1:30">
      <c r="A11" s="4" t="s">
        <v>72</v>
      </c>
      <c r="B11" s="24">
        <f>((B10*2)/3)-6</f>
        <v>400.67396000000002</v>
      </c>
      <c r="C11" s="9">
        <f t="shared" ref="C11:N11" si="7">((C10*2)/3)-6</f>
        <v>441.34135599999996</v>
      </c>
      <c r="D11" s="9">
        <f t="shared" si="7"/>
        <v>461.67505400000005</v>
      </c>
      <c r="E11" s="9">
        <f t="shared" si="7"/>
        <v>482.00875200000013</v>
      </c>
      <c r="F11" s="9">
        <f t="shared" si="7"/>
        <v>502.3424500000001</v>
      </c>
      <c r="G11" s="9">
        <f t="shared" si="7"/>
        <v>522.67614800000013</v>
      </c>
      <c r="H11" s="9">
        <f t="shared" si="7"/>
        <v>563.34354400000007</v>
      </c>
      <c r="I11" s="9">
        <f t="shared" si="7"/>
        <v>604.01094000000001</v>
      </c>
      <c r="J11" s="9">
        <f t="shared" si="7"/>
        <v>644.67833600000006</v>
      </c>
      <c r="K11" s="9">
        <f t="shared" si="7"/>
        <v>726.01312800000005</v>
      </c>
      <c r="L11" s="9">
        <f t="shared" si="7"/>
        <v>807.34792000000004</v>
      </c>
      <c r="M11" s="9">
        <f t="shared" si="7"/>
        <v>888.68271199999992</v>
      </c>
      <c r="N11" s="9">
        <f t="shared" si="7"/>
        <v>1010.6849000000002</v>
      </c>
      <c r="O11" s="9">
        <f t="shared" ref="O11:P11" si="8">((O10*2)/3)-6</f>
        <v>1051.3522960000003</v>
      </c>
      <c r="P11" s="9">
        <f t="shared" si="8"/>
        <v>1092.0196920000001</v>
      </c>
      <c r="Q11" s="9">
        <f t="shared" ref="Q11:R11" si="9">((Q10*2)/3)-6</f>
        <v>1132.6870880000001</v>
      </c>
      <c r="R11" s="9">
        <f t="shared" si="9"/>
        <v>1173.3544840000002</v>
      </c>
      <c r="S11" s="9">
        <f t="shared" ref="S11:X11" si="10">((S10*2)/3)-6</f>
        <v>1214.02188</v>
      </c>
      <c r="T11" s="9">
        <f t="shared" si="10"/>
        <v>1254.6892760000001</v>
      </c>
      <c r="U11" s="9">
        <f t="shared" si="10"/>
        <v>1295.3566720000001</v>
      </c>
      <c r="V11" s="9">
        <f t="shared" si="10"/>
        <v>1336.0240679999999</v>
      </c>
      <c r="W11" s="9">
        <f t="shared" si="10"/>
        <v>1376.6914640000005</v>
      </c>
      <c r="X11" s="9">
        <f t="shared" si="10"/>
        <v>1417.3588600000003</v>
      </c>
    </row>
    <row r="12" spans="1:30">
      <c r="A12" s="4" t="s">
        <v>73</v>
      </c>
      <c r="B12" s="23">
        <f>(((((B6+30)*(B6+30))/1000000)*'Технический лист'!$E$18)+(B6*0.000628)*'Технический лист'!$M$3)*2.1</f>
        <v>392.09855999999996</v>
      </c>
      <c r="C12" s="23">
        <f>(((((C6+30)*(C6+30))/1000000)*'Технический лист'!$E$18)+(C6*0.000628)*'Технический лист'!$M$3)*2.1</f>
        <v>438.09561600000001</v>
      </c>
      <c r="D12" s="23">
        <f>(((((D6+30)*(D6+30))/1000000)*'Технический лист'!$E$18)+(D6*0.000628)*'Технический лист'!$M$3)*2.1</f>
        <v>461.59814399999999</v>
      </c>
      <c r="E12" s="23">
        <f>(((((E6+30)*(E6+30))/1000000)*'Технический лист'!$E$18)+(E6*0.000628)*'Технический лист'!$M$3)*2.1</f>
        <v>485.43667199999999</v>
      </c>
      <c r="F12" s="23">
        <f>(((((F6+30)*(F6+30))/1000000)*'Технический лист'!$E$18)+(F6*0.000628)*'Технический лист'!$M$3)*2.1</f>
        <v>509.61120000000005</v>
      </c>
      <c r="G12" s="23">
        <f>(((((G6+30)*(G6+30))/1000000)*'Технический лист'!$E$18)+(G6*0.000628)*'Технический лист'!$M$3)*2.1</f>
        <v>534.12172800000008</v>
      </c>
      <c r="H12" s="23">
        <f>(((((H6+30)*(H6+30))/1000000)*'Технический лист'!$E$18)+(H6*0.000628)*'Технический лист'!$M$3)*2.1</f>
        <v>584.15078400000004</v>
      </c>
      <c r="I12" s="23">
        <f>(((((I6+30)*(I6+30))/1000000)*'Технический лист'!$E$18)+(I6*0.000628)*'Технический лист'!$M$3)*2.1</f>
        <v>635.52383999999995</v>
      </c>
      <c r="J12" s="23">
        <f>(((((J6+30)*(J6+30))/1000000)*'Технический лист'!$E$18)+(J6*0.000628)*'Технический лист'!$M$3)*2.1</f>
        <v>688.24089600000002</v>
      </c>
      <c r="K12" s="23">
        <f>(((((K6+30)*(K6+30))/1000000)*'Технический лист'!$E$18)+(K6*0.000628)*'Технический лист'!$M$3)*2.1</f>
        <v>797.70700799999997</v>
      </c>
      <c r="L12" s="23">
        <f>(((((L6+30)*(L6+30))/1000000)*'Технический лист'!$E$18)+(L6*0.000628)*'Технический лист'!$M$3)*2.1</f>
        <v>912.54912000000002</v>
      </c>
      <c r="M12" s="23">
        <f>(((((M6+30)*(M6+30))/1000000)*'Технический лист'!$E$18)+(M6*0.000628)*'Технический лист'!$M$3)*2.1</f>
        <v>1032.7672320000001</v>
      </c>
      <c r="N12" s="23">
        <f>(((((N6+30)*(N6+30))/1000000)*'Технический лист'!$E$18)+(N6*0.000628)*'Технический лист'!$M$3)*2.1</f>
        <v>1223.1743999999999</v>
      </c>
      <c r="O12" s="23">
        <f>(((((O6+30)*(O6+30))/1000000)*'Технический лист'!$E$18)+(O6*0.000628)*'Технический лист'!$M$3)*2.1</f>
        <v>1289.3314560000001</v>
      </c>
      <c r="P12" s="23">
        <f>(((((P6+30)*(P6+30))/1000000)*'Технический лист'!$E$18)+(P6*0.000628)*'Технический лист'!$M$3)*2.1</f>
        <v>1356.832512</v>
      </c>
      <c r="Q12" s="23">
        <f>(((((Q6+30)*(Q6+30))/1000000)*'Технический лист'!$E$18)+(Q6*0.000628)*'Технический лист'!$M$3)*2.1</f>
        <v>1425.6775680000001</v>
      </c>
      <c r="R12" s="23">
        <f>(((((R6+30)*(R6+30))/1000000)*'Технический лист'!$E$18)+(R6*0.000628)*'Технический лист'!$M$3)*2.1</f>
        <v>1495.8666240000002</v>
      </c>
      <c r="S12" s="23">
        <f>(((((S6+30)*(S6+30))/1000000)*'Технический лист'!$E$18)+(S6*0.000628)*'Технический лист'!$M$3)*2.1</f>
        <v>1567.3996799999998</v>
      </c>
      <c r="T12" s="23">
        <f>(((((T6+30)*(T6+30))/1000000)*'Технический лист'!$E$18)+(T6*0.000628)*'Технический лист'!$M$3)*2.1</f>
        <v>1640.2767359999998</v>
      </c>
      <c r="U12" s="23">
        <f>(((((U6+30)*(U6+30))/1000000)*'Технический лист'!$E$18)+(U6*0.000628)*'Технический лист'!$M$3)*2.1</f>
        <v>1714.4977919999999</v>
      </c>
      <c r="V12" s="23">
        <f>(((((V6+30)*(V6+30))/1000000)*'Технический лист'!$E$18)+(V6*0.000628)*'Технический лист'!$M$3)*2.1</f>
        <v>1790.0628479999998</v>
      </c>
      <c r="W12" s="23">
        <f>(((((W6+30)*(W6+30))/1000000)*'Технический лист'!$E$18)+(W6*0.000628)*'Технический лист'!$M$3)*2.1</f>
        <v>1866.971904</v>
      </c>
      <c r="X12" s="23">
        <f>(((((X6+30)*(X6+30))/1000000)*'Технический лист'!$E$18)+(X6*0.000628)*'Технический лист'!$M$3)*2.1</f>
        <v>1945.22496</v>
      </c>
    </row>
    <row r="13" spans="1:30">
      <c r="A13" s="4" t="s">
        <v>74</v>
      </c>
      <c r="B13" s="24">
        <f>(((B6*0.00314)*0.35)*'Технический лист'!$O$4)+B12</f>
        <v>652.14765090909088</v>
      </c>
      <c r="C13" s="9">
        <f>(((C6*0.00314)*0.35)*'Технический лист'!$O$4)+C12</f>
        <v>724.14961599999992</v>
      </c>
      <c r="D13" s="9">
        <f>(((D6*0.00314)*0.35)*'Технический лист'!$O$4)+D12</f>
        <v>760.65459854545452</v>
      </c>
      <c r="E13" s="9">
        <f>(((E6*0.00314)*0.35)*'Технический лист'!$O$4)+E12</f>
        <v>797.49558109090913</v>
      </c>
      <c r="F13" s="9">
        <f>(((F6*0.00314)*0.35)*'Технический лист'!$O$4)+F12</f>
        <v>834.67256363636375</v>
      </c>
      <c r="G13" s="9">
        <f>(((G6*0.00314)*0.35)*'Технический лист'!$O$4)+G12</f>
        <v>872.18554618181827</v>
      </c>
      <c r="H13" s="9">
        <f>(((H6*0.00314)*0.35)*'Технический лист'!$O$4)+H12</f>
        <v>948.21951127272735</v>
      </c>
      <c r="I13" s="9">
        <f>(((I6*0.00314)*0.35)*'Технический лист'!$O$4)+I12</f>
        <v>1025.5974763636364</v>
      </c>
      <c r="J13" s="9">
        <f>(((J6*0.00314)*0.35)*'Технический лист'!$O$4)+J12</f>
        <v>1104.3194414545455</v>
      </c>
      <c r="K13" s="9">
        <f>(((K6*0.00314)*0.35)*'Технический лист'!$O$4)+K12</f>
        <v>1265.7953716363636</v>
      </c>
      <c r="L13" s="9">
        <f>(((L6*0.00314)*0.35)*'Технический лист'!$O$4)+L12</f>
        <v>1432.6473018181819</v>
      </c>
      <c r="M13" s="9">
        <f>(((M6*0.00314)*0.35)*'Технический лист'!$O$4)+M12</f>
        <v>1604.8752320000001</v>
      </c>
      <c r="N13" s="9">
        <f>(((N6*0.00314)*0.35)*'Технический лист'!$O$4)+N12</f>
        <v>1873.2971272727273</v>
      </c>
      <c r="O13" s="9">
        <f>(((O6*0.00314)*0.35)*'Технический лист'!$O$4)+O12</f>
        <v>1965.4590923636365</v>
      </c>
      <c r="P13" s="9">
        <f>(((P6*0.00314)*0.35)*'Технический лист'!$O$4)+P12</f>
        <v>2058.9650574545453</v>
      </c>
      <c r="Q13" s="9">
        <f>(((Q6*0.00314)*0.35)*'Технический лист'!$O$4)+Q12</f>
        <v>2153.8150225454547</v>
      </c>
      <c r="R13" s="9">
        <f>(((R6*0.00314)*0.35)*'Технический лист'!$O$4)+R12</f>
        <v>2250.0089876363641</v>
      </c>
      <c r="S13" s="9">
        <f>(((S6*0.00314)*0.35)*'Технический лист'!$O$4)+S12</f>
        <v>2347.5469527272726</v>
      </c>
      <c r="T13" s="9">
        <f>(((T6*0.00314)*0.35)*'Технический лист'!$O$4)+T12</f>
        <v>2446.4289178181816</v>
      </c>
      <c r="U13" s="9">
        <f>(((U6*0.00314)*0.35)*'Технический лист'!$O$4)+U12</f>
        <v>2546.6548829090907</v>
      </c>
      <c r="V13" s="9">
        <f>(((V6*0.00314)*0.35)*'Технический лист'!$O$4)+V12</f>
        <v>2648.2248479999998</v>
      </c>
      <c r="W13" s="9">
        <f>(((W6*0.00314)*0.35)*'Технический лист'!$O$4)+W12</f>
        <v>2751.138813090909</v>
      </c>
      <c r="X13" s="9">
        <f>(((X6*0.00314)*0.35)*'Технический лист'!$O$4)+X12</f>
        <v>2855.3967781818183</v>
      </c>
    </row>
    <row r="14" spans="1:30" hidden="1">
      <c r="A14" s="4" t="s">
        <v>8</v>
      </c>
      <c r="B14" s="23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</row>
    <row r="15" spans="1:30">
      <c r="A15" s="4" t="s">
        <v>75</v>
      </c>
      <c r="B15" s="24">
        <f>(((B6*0.00314)*((B6+500)/1000)*'Технический лист'!$K$3))*2.2</f>
        <v>771.76175999999998</v>
      </c>
      <c r="C15" s="24">
        <f>(((C6*0.00314)*((C6+500)/1000)*'Технический лист'!$K$3))*2.2</f>
        <v>863.08690160000003</v>
      </c>
      <c r="D15" s="24">
        <f>(((D6*0.00314)*((D6+500)/1000)*'Технический лист'!$K$3))*2.2</f>
        <v>909.71417460000009</v>
      </c>
      <c r="E15" s="24">
        <f>(((E6*0.00314)*((E6+500)/1000)*'Технический лист'!$K$3))*2.2</f>
        <v>956.98458240000014</v>
      </c>
      <c r="F15" s="24">
        <f>(((F6*0.00314)*((F6+500)/1000)*'Технический лист'!$K$3))*2.2</f>
        <v>1004.8981250000002</v>
      </c>
      <c r="G15" s="24">
        <f>(((G6*0.00314)*((G6+500)/1000)*'Технический лист'!$K$3))*2.2</f>
        <v>1053.4548024000001</v>
      </c>
      <c r="H15" s="24">
        <f>(((H6*0.00314)*((H6+500)/1000)*'Технический лист'!$K$3))*2.2</f>
        <v>1152.4975616000002</v>
      </c>
      <c r="I15" s="24">
        <f>(((I6*0.00314)*((I6+500)/1000)*'Технический лист'!$K$3))*2.2</f>
        <v>1254.11286</v>
      </c>
      <c r="J15" s="24">
        <f>(((J6*0.00314)*((J6+500)/1000)*'Технический лист'!$K$3))*2.2</f>
        <v>1358.3006976000001</v>
      </c>
      <c r="K15" s="24">
        <f>(((K6*0.00314)*((K6+500)/1000)*'Технический лист'!$K$3))*2.2</f>
        <v>1574.3939904000003</v>
      </c>
      <c r="L15" s="24">
        <f>(((L6*0.00314)*((L6+500)/1000)*'Технический лист'!$K$3))*2.2</f>
        <v>1800.7774400000003</v>
      </c>
      <c r="M15" s="24">
        <f>(((M6*0.00314)*((M6+500)/1000)*'Технический лист'!$K$3))*2.2</f>
        <v>2037.4510464000002</v>
      </c>
      <c r="N15" s="24">
        <f>(((N6*0.00314)*((N6+500)/1000)*'Технический лист'!$K$3))*2.2</f>
        <v>2411.7555000000002</v>
      </c>
      <c r="O15" s="24">
        <f>(((O6*0.00314)*((O6+500)/1000)*'Технический лист'!$K$3))*2.2</f>
        <v>2541.6687296</v>
      </c>
      <c r="P15" s="24">
        <f>(((P6*0.00314)*((P6+500)/1000)*'Технический лист'!$K$3))*2.2</f>
        <v>2674.1544984000002</v>
      </c>
      <c r="Q15" s="24">
        <f>(((Q6*0.00314)*((Q6+500)/1000)*'Технический лист'!$K$3))*2.2</f>
        <v>2809.2128064000008</v>
      </c>
      <c r="R15" s="24">
        <f>(((R6*0.00314)*((R6+500)/1000)*'Технический лист'!$K$3))*2.2</f>
        <v>2946.8436535999999</v>
      </c>
      <c r="S15" s="24">
        <f>(((S6*0.00314)*((S6+500)/1000)*'Технический лист'!$K$3))*2.2</f>
        <v>3087.0470400000004</v>
      </c>
      <c r="T15" s="24">
        <f>(((T6*0.00314)*((T6+500)/1000)*'Технический лист'!$K$3))*2.2</f>
        <v>3229.8229656000008</v>
      </c>
      <c r="U15" s="24">
        <f>(((U6*0.00314)*((U6+500)/1000)*'Технический лист'!$K$3))*2.2</f>
        <v>3375.1714303999997</v>
      </c>
      <c r="V15" s="24">
        <f>(((V6*0.00314)*((V6+500)/1000)*'Технический лист'!$K$3))*2.2</f>
        <v>3523.0924344</v>
      </c>
      <c r="W15" s="24">
        <f>(((W6*0.00314)*((W6+500)/1000)*'Технический лист'!$K$3))*2.2</f>
        <v>3673.5859776000007</v>
      </c>
      <c r="X15" s="24">
        <f>(((X6*0.00314)*((X6+500)/1000)*'Технический лист'!$K$3))*2.2</f>
        <v>3826.6520599999999</v>
      </c>
    </row>
    <row r="16" spans="1:30" ht="0.75" hidden="1" customHeight="1">
      <c r="A16" s="4"/>
      <c r="B16" s="25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28">
      <c r="A17" s="4" t="s">
        <v>76</v>
      </c>
      <c r="B17" s="24">
        <f>((((B6*0.00314)*0.18)*'Технический лист'!$M$3)+((((B6+100)/1000)*((B6+100)/1000))*3)*'Технический лист'!$I$3)*2.4</f>
        <v>770.90457600000002</v>
      </c>
      <c r="C17" s="24">
        <f>((((C6*0.00314)*0.18)*'Технический лист'!$M$3)+((((C6+100)/1000)*((C6+100)/1000))*3)*'Технический лист'!$I$3)*2.4</f>
        <v>849.20607359999985</v>
      </c>
      <c r="D17" s="24">
        <f>((((D6*0.00314)*0.18)*'Технический лист'!$M$3)+((((D6+100)/1000)*((D6+100)/1000))*3)*'Технический лист'!$I$3)*2.4</f>
        <v>889.26510239999982</v>
      </c>
      <c r="E17" s="24">
        <f>((((E6*0.00314)*0.18)*'Технический лист'!$M$3)+((((E6+100)/1000)*((E6+100)/1000))*3)*'Технический лист'!$I$3)*2.4</f>
        <v>929.92965119999997</v>
      </c>
      <c r="F17" s="24">
        <f>((((F6*0.00314)*0.18)*'Технический лист'!$M$3)+((((F6+100)/1000)*((F6+100)/1000))*3)*'Технический лист'!$I$3)*2.4</f>
        <v>971.19972000000007</v>
      </c>
      <c r="G17" s="24">
        <f>((((G6*0.00314)*0.18)*'Технический лист'!$M$3)+((((G6+100)/1000)*((G6+100)/1000))*3)*'Технический лист'!$I$3)*2.4</f>
        <v>1013.0753087999999</v>
      </c>
      <c r="H17" s="24">
        <f>((((H6*0.00314)*0.18)*'Технический лист'!$M$3)+((((H6+100)/1000)*((H6+100)/1000))*3)*'Технический лист'!$I$3)*2.4</f>
        <v>1098.6430463999998</v>
      </c>
      <c r="I17" s="24">
        <f>((((I6*0.00314)*0.18)*'Технический лист'!$M$3)+((((I6+100)/1000)*((I6+100)/1000))*3)*'Технический лист'!$I$3)*2.4</f>
        <v>1186.6328639999999</v>
      </c>
      <c r="J17" s="24">
        <f>((((J6*0.00314)*0.18)*'Технический лист'!$M$3)+((((J6+100)/1000)*((J6+100)/1000))*3)*'Технический лист'!$I$3)*2.4</f>
        <v>1277.0447615999999</v>
      </c>
      <c r="K17" s="24">
        <f>((((K6*0.00314)*0.18)*'Технический лист'!$M$3)+((((K6+100)/1000)*((K6+100)/1000))*3)*'Технический лист'!$I$3)*2.4</f>
        <v>1465.1347968</v>
      </c>
      <c r="L17" s="24">
        <f>((((L6*0.00314)*0.18)*'Технический лист'!$M$3)+((((L6+100)/1000)*((L6+100)/1000))*3)*'Технический лист'!$I$3)*2.4</f>
        <v>1662.9131520000001</v>
      </c>
      <c r="M17" s="24">
        <f>((((M6*0.00314)*0.18)*'Технический лист'!$M$3)+((((M6+100)/1000)*((M6+100)/1000))*3)*'Технический лист'!$I$3)*2.4</f>
        <v>1870.3798271999999</v>
      </c>
      <c r="N17" s="24">
        <f>((((N6*0.00314)*0.18)*'Технический лист'!$M$3)+((((N6+100)/1000)*((N6+100)/1000))*3)*'Технический лист'!$I$3)*2.4</f>
        <v>2199.7454399999997</v>
      </c>
      <c r="O17" s="24">
        <f>((((O6*0.00314)*0.18)*'Технический лист'!$M$3)+((((O6+100)/1000)*((O6+100)/1000))*3)*'Технический лист'!$I$3)*2.4</f>
        <v>2314.3781375999997</v>
      </c>
      <c r="P17" s="24">
        <f>((((P6*0.00314)*0.18)*'Технический лист'!$M$3)+((((P6+100)/1000)*((P6+100)/1000))*3)*'Технический лист'!$I$3)*2.4</f>
        <v>2431.4329151999996</v>
      </c>
      <c r="Q17" s="24">
        <f>((((Q6*0.00314)*0.18)*'Технический лист'!$M$3)+((((Q6+100)/1000)*((Q6+100)/1000))*3)*'Технический лист'!$I$3)*2.4</f>
        <v>2550.9097727999997</v>
      </c>
      <c r="R17" s="24">
        <f>((((R6*0.00314)*0.18)*'Технический лист'!$M$3)+((((R6+100)/1000)*((R6+100)/1000))*3)*'Технический лист'!$I$3)*2.4</f>
        <v>2672.8087104000001</v>
      </c>
      <c r="S17" s="24">
        <f>((((S6*0.00314)*0.18)*'Технический лист'!$M$3)+((((S6+100)/1000)*((S6+100)/1000))*3)*'Технический лист'!$I$3)*2.4</f>
        <v>2797.1297279999999</v>
      </c>
      <c r="T17" s="24">
        <f>((((T6*0.00314)*0.18)*'Технический лист'!$M$3)+((((T6+100)/1000)*((T6+100)/1000))*3)*'Технический лист'!$I$3)*2.4</f>
        <v>2923.8728255999999</v>
      </c>
      <c r="U17" s="24">
        <f>((((U6*0.00314)*0.18)*'Технический лист'!$M$3)+((((U6+100)/1000)*((U6+100)/1000))*3)*'Технический лист'!$I$3)*2.4</f>
        <v>3053.0380031999994</v>
      </c>
      <c r="V17" s="24">
        <f>((((V6*0.00314)*0.18)*'Технический лист'!$M$3)+((((V6+100)/1000)*((V6+100)/1000))*3)*'Технический лист'!$I$3)*2.4</f>
        <v>3184.6252607999995</v>
      </c>
      <c r="W17" s="24">
        <f>((((W6*0.00314)*0.18)*'Технический лист'!$M$3)+((((W6+100)/1000)*((W6+100)/1000))*3)*'Технический лист'!$I$3)*2.4</f>
        <v>3318.6345984</v>
      </c>
      <c r="X17" s="24">
        <f>((((X6*0.00314)*0.18)*'Технический лист'!$M$3)+((((X6+100)/1000)*((X6+100)/1000))*3)*'Технический лист'!$I$3)*2.4</f>
        <v>3455.0660160000002</v>
      </c>
    </row>
    <row r="18" spans="1:28">
      <c r="A18" s="4" t="s">
        <v>99</v>
      </c>
      <c r="B18" s="24">
        <v>740</v>
      </c>
      <c r="C18" s="24">
        <v>740</v>
      </c>
      <c r="D18" s="24">
        <v>740</v>
      </c>
      <c r="E18" s="24">
        <v>740</v>
      </c>
      <c r="F18" s="24">
        <v>740</v>
      </c>
      <c r="G18" s="24">
        <v>740</v>
      </c>
      <c r="H18" s="24">
        <v>740</v>
      </c>
      <c r="I18" s="24">
        <v>740</v>
      </c>
      <c r="J18" s="24">
        <v>740</v>
      </c>
      <c r="K18" s="24">
        <v>740</v>
      </c>
      <c r="L18" s="24">
        <v>740</v>
      </c>
      <c r="M18" s="24">
        <v>740</v>
      </c>
      <c r="N18" s="24">
        <v>740</v>
      </c>
      <c r="O18" s="24">
        <v>740</v>
      </c>
      <c r="P18" s="24">
        <v>740</v>
      </c>
      <c r="Q18" s="24">
        <v>740</v>
      </c>
      <c r="R18" s="24">
        <v>740</v>
      </c>
      <c r="S18" s="24">
        <v>740</v>
      </c>
      <c r="T18" s="24">
        <v>740</v>
      </c>
      <c r="U18" s="24">
        <v>740</v>
      </c>
      <c r="V18" s="24">
        <v>740</v>
      </c>
      <c r="W18" s="24">
        <v>740</v>
      </c>
      <c r="X18" s="24">
        <v>740</v>
      </c>
    </row>
    <row r="19" spans="1:28">
      <c r="A19" s="4" t="s">
        <v>100</v>
      </c>
      <c r="B19" s="24">
        <v>845</v>
      </c>
      <c r="C19" s="24">
        <v>845</v>
      </c>
      <c r="D19" s="24">
        <v>845</v>
      </c>
      <c r="E19" s="24">
        <v>845</v>
      </c>
      <c r="F19" s="24">
        <v>845</v>
      </c>
      <c r="G19" s="24">
        <v>845</v>
      </c>
      <c r="H19" s="24">
        <v>845</v>
      </c>
      <c r="I19" s="24">
        <v>845</v>
      </c>
      <c r="J19" s="24">
        <v>845</v>
      </c>
      <c r="K19" s="24">
        <v>845</v>
      </c>
      <c r="L19" s="24">
        <v>845</v>
      </c>
      <c r="M19" s="24">
        <v>845</v>
      </c>
      <c r="N19" s="24">
        <v>845</v>
      </c>
      <c r="O19" s="24">
        <v>845</v>
      </c>
      <c r="P19" s="24">
        <v>845</v>
      </c>
      <c r="Q19" s="24">
        <v>845</v>
      </c>
      <c r="R19" s="24">
        <v>845</v>
      </c>
      <c r="S19" s="24">
        <v>845</v>
      </c>
      <c r="T19" s="24">
        <v>845</v>
      </c>
      <c r="U19" s="24">
        <v>845</v>
      </c>
      <c r="V19" s="24">
        <v>845</v>
      </c>
      <c r="W19" s="24">
        <v>845</v>
      </c>
      <c r="X19" s="24">
        <v>845</v>
      </c>
    </row>
    <row r="20" spans="1:28">
      <c r="A20" s="4" t="s">
        <v>101</v>
      </c>
      <c r="B20" s="24">
        <v>1820</v>
      </c>
      <c r="C20" s="24">
        <v>1820</v>
      </c>
      <c r="D20" s="24">
        <v>1820</v>
      </c>
      <c r="E20" s="24">
        <v>1820</v>
      </c>
      <c r="F20" s="24">
        <v>1820</v>
      </c>
      <c r="G20" s="24">
        <v>1820</v>
      </c>
      <c r="H20" s="24">
        <v>1820</v>
      </c>
      <c r="I20" s="24">
        <v>1820</v>
      </c>
      <c r="J20" s="9">
        <v>2170</v>
      </c>
      <c r="K20" s="9">
        <v>2170</v>
      </c>
      <c r="L20" s="9">
        <v>2170</v>
      </c>
      <c r="M20" s="9">
        <v>2170</v>
      </c>
      <c r="N20" s="9">
        <v>2170</v>
      </c>
      <c r="O20" s="9">
        <v>2170</v>
      </c>
      <c r="P20" s="9">
        <v>2170</v>
      </c>
      <c r="Q20" s="9">
        <v>2535</v>
      </c>
      <c r="R20" s="9">
        <v>2535</v>
      </c>
      <c r="S20" s="9">
        <v>2535</v>
      </c>
      <c r="T20" s="9">
        <v>2535</v>
      </c>
      <c r="U20" s="9">
        <v>2700</v>
      </c>
      <c r="V20" s="9">
        <v>2700</v>
      </c>
      <c r="W20" s="9">
        <v>2700</v>
      </c>
      <c r="X20" s="9">
        <v>2700</v>
      </c>
    </row>
    <row r="21" spans="1:28">
      <c r="A21" s="4" t="s">
        <v>77</v>
      </c>
      <c r="B21" s="23">
        <v>170</v>
      </c>
      <c r="C21" s="23">
        <v>170</v>
      </c>
      <c r="D21" s="23">
        <v>170</v>
      </c>
      <c r="E21" s="23">
        <v>170</v>
      </c>
      <c r="F21" s="23">
        <v>170</v>
      </c>
      <c r="G21" s="23">
        <v>170</v>
      </c>
      <c r="H21" s="23">
        <v>170</v>
      </c>
      <c r="I21" s="23">
        <v>170</v>
      </c>
      <c r="J21" s="23">
        <v>170</v>
      </c>
      <c r="K21" s="23">
        <v>170</v>
      </c>
      <c r="L21" s="23">
        <v>170</v>
      </c>
      <c r="M21" s="23">
        <v>170</v>
      </c>
      <c r="N21" s="23">
        <v>170</v>
      </c>
      <c r="O21" s="23">
        <v>170</v>
      </c>
      <c r="P21" s="23">
        <v>170</v>
      </c>
      <c r="Q21" s="23">
        <v>170</v>
      </c>
      <c r="R21" s="23">
        <v>170</v>
      </c>
      <c r="S21" s="23">
        <v>170</v>
      </c>
      <c r="T21" s="23">
        <v>170</v>
      </c>
      <c r="U21" s="23">
        <v>170</v>
      </c>
      <c r="V21" s="23">
        <v>170</v>
      </c>
      <c r="W21" s="23">
        <v>170</v>
      </c>
      <c r="X21" s="23">
        <v>170</v>
      </c>
    </row>
    <row r="23" spans="1:28">
      <c r="A23" s="41" t="s">
        <v>68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1" t="s">
        <v>68</v>
      </c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</row>
    <row r="24" spans="1:28">
      <c r="A24" s="3" t="s">
        <v>79</v>
      </c>
      <c r="B24" s="22">
        <v>100</v>
      </c>
      <c r="C24" s="10">
        <v>110</v>
      </c>
      <c r="D24" s="10">
        <v>115</v>
      </c>
      <c r="E24" s="10">
        <v>120</v>
      </c>
      <c r="F24" s="10">
        <v>125</v>
      </c>
      <c r="G24" s="10">
        <v>130</v>
      </c>
      <c r="H24" s="10">
        <v>140</v>
      </c>
      <c r="I24" s="10">
        <v>150</v>
      </c>
      <c r="J24" s="10">
        <v>160</v>
      </c>
      <c r="K24" s="10">
        <v>180</v>
      </c>
      <c r="L24" s="10">
        <v>200</v>
      </c>
      <c r="M24" s="10">
        <v>220</v>
      </c>
      <c r="N24" s="10">
        <v>250</v>
      </c>
      <c r="O24" s="10">
        <v>260</v>
      </c>
      <c r="P24" s="10">
        <v>270</v>
      </c>
      <c r="Q24" s="10">
        <v>280</v>
      </c>
      <c r="R24" s="10">
        <v>290</v>
      </c>
      <c r="S24" s="10">
        <v>300</v>
      </c>
      <c r="T24" s="10">
        <v>310</v>
      </c>
      <c r="U24" s="10">
        <v>320</v>
      </c>
      <c r="V24" s="10">
        <v>330</v>
      </c>
      <c r="W24" s="10">
        <v>340</v>
      </c>
      <c r="X24" s="10">
        <v>350</v>
      </c>
    </row>
    <row r="25" spans="1:28" hidden="1">
      <c r="A25" s="3"/>
      <c r="B25" s="22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8">
      <c r="A26" s="4" t="s">
        <v>69</v>
      </c>
      <c r="B26" s="23">
        <f>((B24*0.00314)*'Технический лист'!$G$4)*1.95</f>
        <v>897.77493506493511</v>
      </c>
      <c r="C26" s="23">
        <f>((C24*0.00314)*'Технический лист'!$G$4)*1.95</f>
        <v>987.55242857142855</v>
      </c>
      <c r="D26" s="23">
        <f>((D24*0.00314)*'Технический лист'!$G$4)*1.95</f>
        <v>1032.4411753246752</v>
      </c>
      <c r="E26" s="23">
        <f>((E24*0.00314)*'Технический лист'!$G$4)*1.95</f>
        <v>1077.3299220779222</v>
      </c>
      <c r="F26" s="23">
        <f>((F24*0.00314)*'Технический лист'!$G$4)*1.95</f>
        <v>1122.218668831169</v>
      </c>
      <c r="G26" s="23">
        <f>((G24*0.00314)*'Технический лист'!$G$4)*1.95</f>
        <v>1167.1074155844158</v>
      </c>
      <c r="H26" s="23">
        <f>((H24*0.00314)*'Технический лист'!$G$4)*1.95</f>
        <v>1256.8849090909091</v>
      </c>
      <c r="I26" s="23">
        <f>((I24*0.00314)*'Технический лист'!$G$4)*1.95</f>
        <v>1346.6624025974027</v>
      </c>
      <c r="J26" s="23">
        <f>((J24*0.00314)*'Технический лист'!$G$4)*1.95</f>
        <v>1436.439896103896</v>
      </c>
      <c r="K26" s="23">
        <f>((K24*0.00314)*'Технический лист'!$G$4)*1.95</f>
        <v>1615.9948831168833</v>
      </c>
      <c r="L26" s="23">
        <f>((L24*0.00314)*'Технический лист'!$G$4)*1.95</f>
        <v>1795.5498701298702</v>
      </c>
      <c r="M26" s="23">
        <f>((M24*0.00314)*'Технический лист'!$G$4)*1.95</f>
        <v>1975.1048571428571</v>
      </c>
      <c r="N26" s="23">
        <f>((N24*0.00314)*'Технический лист'!$G$4)*1.95</f>
        <v>2244.437337662338</v>
      </c>
      <c r="O26" s="23">
        <f>((O24*0.00314)*'Технический лист'!$G$4)*1.95</f>
        <v>2334.2148311688316</v>
      </c>
      <c r="P26" s="23">
        <f>((P24*0.00314)*'Технический лист'!$G$4)*1.95</f>
        <v>2423.9923246753247</v>
      </c>
      <c r="Q26" s="23">
        <f>((Q24*0.00314)*'Технический лист'!$G$4)*1.95</f>
        <v>2513.7698181818182</v>
      </c>
      <c r="R26" s="23">
        <f>((R24*0.00314)*'Технический лист'!$G$4)*1.95</f>
        <v>2603.5473116883118</v>
      </c>
      <c r="S26" s="23">
        <f>((S24*0.00314)*'Технический лист'!$G$4)*1.95</f>
        <v>2693.3248051948053</v>
      </c>
      <c r="T26" s="23">
        <f>((T24*0.00314)*'Технический лист'!$G$4)*1.95</f>
        <v>2783.1022987012989</v>
      </c>
      <c r="U26" s="23">
        <f>((U24*0.00314)*'Технический лист'!$G$4)*1.95</f>
        <v>2872.879792207792</v>
      </c>
      <c r="V26" s="23">
        <f>((V24*0.00314)*'Технический лист'!$G$4)*1.95</f>
        <v>2962.657285714286</v>
      </c>
      <c r="W26" s="23">
        <f>((W24*0.00314)*'Технический лист'!$G$4)*1.95</f>
        <v>3052.43477922078</v>
      </c>
      <c r="X26" s="23">
        <f>((X24*0.00314)*'Технический лист'!$G$4)*1.95</f>
        <v>3142.2122727272726</v>
      </c>
    </row>
    <row r="27" spans="1:28">
      <c r="A27" s="4" t="s">
        <v>70</v>
      </c>
      <c r="B27" s="24">
        <f>((B26/2)*1.07)-10</f>
        <v>470.30959025974033</v>
      </c>
      <c r="C27" s="9">
        <f t="shared" ref="C27:N27" si="11">((C26/2)*1.07)-10</f>
        <v>518.34054928571436</v>
      </c>
      <c r="D27" s="9">
        <f t="shared" si="11"/>
        <v>542.35602879870123</v>
      </c>
      <c r="E27" s="9">
        <f t="shared" si="11"/>
        <v>566.37150831168844</v>
      </c>
      <c r="F27" s="9">
        <f t="shared" si="11"/>
        <v>590.38698782467543</v>
      </c>
      <c r="G27" s="9">
        <f t="shared" si="11"/>
        <v>614.40246733766253</v>
      </c>
      <c r="H27" s="9">
        <f t="shared" si="11"/>
        <v>662.43342636363639</v>
      </c>
      <c r="I27" s="9">
        <f t="shared" si="11"/>
        <v>710.46438538961047</v>
      </c>
      <c r="J27" s="9">
        <f t="shared" si="11"/>
        <v>758.49534441558444</v>
      </c>
      <c r="K27" s="9">
        <f t="shared" si="11"/>
        <v>854.55726246753261</v>
      </c>
      <c r="L27" s="9">
        <f t="shared" si="11"/>
        <v>950.61918051948066</v>
      </c>
      <c r="M27" s="9">
        <f t="shared" si="11"/>
        <v>1046.6810985714287</v>
      </c>
      <c r="N27" s="9">
        <f t="shared" si="11"/>
        <v>1190.7739756493509</v>
      </c>
      <c r="O27" s="9">
        <f t="shared" ref="O27:R27" si="12">((O26/2)*1.07)-10</f>
        <v>1238.8049346753251</v>
      </c>
      <c r="P27" s="9">
        <f t="shared" si="12"/>
        <v>1286.8358937012988</v>
      </c>
      <c r="Q27" s="9">
        <f t="shared" si="12"/>
        <v>1334.8668527272728</v>
      </c>
      <c r="R27" s="9">
        <f t="shared" si="12"/>
        <v>1382.897811753247</v>
      </c>
      <c r="S27" s="9">
        <f t="shared" ref="S27:X27" si="13">((S26/2)*1.07)-10</f>
        <v>1430.9287707792209</v>
      </c>
      <c r="T27" s="9">
        <f t="shared" si="13"/>
        <v>1478.9597298051949</v>
      </c>
      <c r="U27" s="9">
        <f t="shared" si="13"/>
        <v>1526.9906888311689</v>
      </c>
      <c r="V27" s="9">
        <f t="shared" si="13"/>
        <v>1575.0216478571431</v>
      </c>
      <c r="W27" s="9">
        <f t="shared" si="13"/>
        <v>1623.0526068831175</v>
      </c>
      <c r="X27" s="9">
        <f t="shared" si="13"/>
        <v>1671.083565909091</v>
      </c>
    </row>
    <row r="28" spans="1:28">
      <c r="A28" s="4" t="s">
        <v>71</v>
      </c>
      <c r="B28" s="23">
        <f>(((B24*0.00314)*0.55)*'Технический лист'!$I$4)*2.13</f>
        <v>822.60082714285727</v>
      </c>
      <c r="C28" s="23">
        <f>(((C24*0.00314)*0.55)*'Технический лист'!$I$4)*2.13</f>
        <v>904.86090985714293</v>
      </c>
      <c r="D28" s="23">
        <f>(((D24*0.00314)*0.55)*'Технический лист'!$I$4)*2.13</f>
        <v>945.9909512142857</v>
      </c>
      <c r="E28" s="23">
        <f>(((E24*0.00314)*0.55)*'Технический лист'!$I$4)*2.13</f>
        <v>987.12099257142881</v>
      </c>
      <c r="F28" s="23">
        <f>(((F24*0.00314)*0.55)*'Технический лист'!$I$4)*2.13</f>
        <v>1028.2510339285716</v>
      </c>
      <c r="G28" s="23">
        <f>(((G24*0.00314)*0.55)*'Технический лист'!$I$4)*2.13</f>
        <v>1069.3810752857144</v>
      </c>
      <c r="H28" s="23">
        <f>(((H24*0.00314)*0.55)*'Технический лист'!$I$4)*2.13</f>
        <v>1151.6411580000001</v>
      </c>
      <c r="I28" s="23">
        <f>(((I24*0.00314)*0.55)*'Технический лист'!$I$4)*2.13</f>
        <v>1233.9012407142859</v>
      </c>
      <c r="J28" s="23">
        <f>(((J24*0.00314)*0.55)*'Технический лист'!$I$4)*2.13</f>
        <v>1316.1613234285714</v>
      </c>
      <c r="K28" s="23">
        <f>(((K24*0.00314)*0.55)*'Технический лист'!$I$4)*2.13</f>
        <v>1480.681488857143</v>
      </c>
      <c r="L28" s="23">
        <f>(((L24*0.00314)*0.55)*'Технический лист'!$I$4)*2.13</f>
        <v>1645.2016542857145</v>
      </c>
      <c r="M28" s="23">
        <f>(((M24*0.00314)*0.55)*'Технический лист'!$I$4)*2.13</f>
        <v>1809.7218197142859</v>
      </c>
      <c r="N28" s="23">
        <f>(((N24*0.00314)*0.55)*'Технический лист'!$I$4)*2.13</f>
        <v>2056.5020678571432</v>
      </c>
      <c r="O28" s="23">
        <f>(((O24*0.00314)*0.55)*'Технический лист'!$I$4)*2.13</f>
        <v>2138.7621505714287</v>
      </c>
      <c r="P28" s="23">
        <f>(((P24*0.00314)*0.55)*'Технический лист'!$I$4)*2.13</f>
        <v>2221.0222332857147</v>
      </c>
      <c r="Q28" s="23">
        <f>(((Q24*0.00314)*0.55)*'Технический лист'!$I$4)*2.13</f>
        <v>2303.2823160000003</v>
      </c>
      <c r="R28" s="23">
        <f>(((R24*0.00314)*0.55)*'Технический лист'!$I$4)*2.13</f>
        <v>2385.5423987142858</v>
      </c>
      <c r="S28" s="23">
        <f>(((S24*0.00314)*0.55)*'Технический лист'!$I$4)*2.13</f>
        <v>2467.8024814285718</v>
      </c>
      <c r="T28" s="23">
        <f>(((T24*0.00314)*0.55)*'Технический лист'!$I$4)*2.13</f>
        <v>2550.0625641428569</v>
      </c>
      <c r="U28" s="23">
        <f>(((U24*0.00314)*0.55)*'Технический лист'!$I$4)*2.13</f>
        <v>2632.3226468571429</v>
      </c>
      <c r="V28" s="23">
        <f>(((V24*0.00314)*0.55)*'Технический лист'!$I$4)*2.13</f>
        <v>2714.5827295714289</v>
      </c>
      <c r="W28" s="23">
        <f>(((W24*0.00314)*0.55)*'Технический лист'!$I$4)*2.13</f>
        <v>2796.8428122857154</v>
      </c>
      <c r="X28" s="23">
        <f>(((X24*0.00314)*0.55)*'Технический лист'!$I$4)*2.13</f>
        <v>2879.102895</v>
      </c>
    </row>
    <row r="29" spans="1:28">
      <c r="A29" s="4" t="s">
        <v>72</v>
      </c>
      <c r="B29" s="24">
        <f>((B28*2)/3)-6</f>
        <v>542.40055142857148</v>
      </c>
      <c r="C29" s="9">
        <f t="shared" ref="C29:N29" si="14">((C28*2)/3)-6</f>
        <v>597.24060657142866</v>
      </c>
      <c r="D29" s="9">
        <f t="shared" si="14"/>
        <v>624.66063414285713</v>
      </c>
      <c r="E29" s="9">
        <f t="shared" si="14"/>
        <v>652.08066171428584</v>
      </c>
      <c r="F29" s="9">
        <f t="shared" si="14"/>
        <v>679.50068928571443</v>
      </c>
      <c r="G29" s="9">
        <f t="shared" si="14"/>
        <v>706.92071685714291</v>
      </c>
      <c r="H29" s="9">
        <f t="shared" si="14"/>
        <v>761.76077200000009</v>
      </c>
      <c r="I29" s="9">
        <f t="shared" si="14"/>
        <v>816.60082714285727</v>
      </c>
      <c r="J29" s="9">
        <f t="shared" si="14"/>
        <v>871.44088228571434</v>
      </c>
      <c r="K29" s="9">
        <f t="shared" si="14"/>
        <v>981.1209925714287</v>
      </c>
      <c r="L29" s="9">
        <f t="shared" si="14"/>
        <v>1090.801102857143</v>
      </c>
      <c r="M29" s="9">
        <f t="shared" si="14"/>
        <v>1200.4812131428573</v>
      </c>
      <c r="N29" s="9">
        <f t="shared" si="14"/>
        <v>1365.0013785714289</v>
      </c>
      <c r="O29" s="9">
        <f t="shared" ref="O29:R29" si="15">((O28*2)/3)-6</f>
        <v>1419.8414337142858</v>
      </c>
      <c r="P29" s="9">
        <f t="shared" si="15"/>
        <v>1474.6814888571432</v>
      </c>
      <c r="Q29" s="9">
        <f t="shared" si="15"/>
        <v>1529.5215440000002</v>
      </c>
      <c r="R29" s="9">
        <f t="shared" si="15"/>
        <v>1584.3615991428571</v>
      </c>
      <c r="S29" s="9">
        <f t="shared" ref="S29:X29" si="16">((S28*2)/3)-6</f>
        <v>1639.2016542857145</v>
      </c>
      <c r="T29" s="9">
        <f t="shared" si="16"/>
        <v>1694.0417094285713</v>
      </c>
      <c r="U29" s="9">
        <f t="shared" si="16"/>
        <v>1748.8817645714287</v>
      </c>
      <c r="V29" s="9">
        <f t="shared" si="16"/>
        <v>1803.7218197142859</v>
      </c>
      <c r="W29" s="9">
        <f t="shared" si="16"/>
        <v>1858.5618748571435</v>
      </c>
      <c r="X29" s="9">
        <f t="shared" si="16"/>
        <v>1913.40193</v>
      </c>
    </row>
    <row r="30" spans="1:28">
      <c r="A30" s="4" t="s">
        <v>73</v>
      </c>
      <c r="B30" s="26">
        <f>(((((B24+30)*(B24+30))/1000000)*'Технический лист'!$E$21)+(B24*0.000942)*'Технический лист'!$M$4)*2.2</f>
        <v>690.90828571428585</v>
      </c>
      <c r="C30" s="26">
        <f>(((((C24+30)*(C24+30))/1000000)*'Технический лист'!$E$21)+(C24*0.000942)*'Технический лист'!$M$4)*2.2</f>
        <v>768.88711428571435</v>
      </c>
      <c r="D30" s="26">
        <f>(((((D24+30)*(D24+30))/1000000)*'Технический лист'!$E$21)+(D24*0.000942)*'Технический лист'!$M$4)*2.2</f>
        <v>808.53652857142868</v>
      </c>
      <c r="E30" s="26">
        <f>(((((E24+30)*(E24+30))/1000000)*'Технический лист'!$E$21)+(E24*0.000942)*'Технический лист'!$M$4)*2.2</f>
        <v>848.62594285714295</v>
      </c>
      <c r="F30" s="26">
        <f>(((((F24+30)*(F24+30))/1000000)*'Технический лист'!$E$21)+(F24*0.000942)*'Технический лист'!$M$4)*2.2</f>
        <v>889.15535714285727</v>
      </c>
      <c r="G30" s="26">
        <f>(((((G24+30)*(G24+30))/1000000)*'Технический лист'!$E$21)+(G24*0.000942)*'Технический лист'!$M$4)*2.2</f>
        <v>930.12477142857153</v>
      </c>
      <c r="H30" s="26">
        <f>(((((H24+30)*(H24+30))/1000000)*'Технический лист'!$E$21)+(H24*0.000942)*'Технический лист'!$M$4)*2.2</f>
        <v>1013.3836000000002</v>
      </c>
      <c r="I30" s="26">
        <f>(((((I24+30)*(I24+30))/1000000)*'Технический лист'!$E$21)+(I24*0.000942)*'Технический лист'!$M$4)*2.2</f>
        <v>1098.4024285714286</v>
      </c>
      <c r="J30" s="26">
        <f>(((((J24+30)*(J24+30))/1000000)*'Технический лист'!$E$21)+(J24*0.000942)*'Технический лист'!$M$4)*2.2</f>
        <v>1185.1812571428572</v>
      </c>
      <c r="K30" s="26">
        <f>(((((K24+30)*(K24+30))/1000000)*'Технический лист'!$E$21)+(K24*0.000942)*'Технический лист'!$M$4)*2.2</f>
        <v>1364.0189142857146</v>
      </c>
      <c r="L30" s="26">
        <f>(((((L24+30)*(L24+30))/1000000)*'Технический лист'!$E$21)+(L24*0.000942)*'Технический лист'!$M$4)*2.2</f>
        <v>1549.8965714285716</v>
      </c>
      <c r="M30" s="26">
        <f>(((((M24+30)*(M24+30))/1000000)*'Технический лист'!$E$21)+(M24*0.000942)*'Технический лист'!$M$4)*2.2</f>
        <v>1742.8142285714287</v>
      </c>
      <c r="N30" s="26">
        <f>(((((N24+30)*(N24+30))/1000000)*'Технический лист'!$E$21)+(N24*0.000942)*'Технический лист'!$M$4)*2.2</f>
        <v>2045.3907142857145</v>
      </c>
      <c r="O30" s="26">
        <f>(((((O24+30)*(O24+30))/1000000)*'Технический лист'!$E$21)+(O24*0.000942)*'Технический лист'!$M$4)*2.2</f>
        <v>2149.7695428571428</v>
      </c>
      <c r="P30" s="26">
        <f>(((((P24+30)*(P24+30))/1000000)*'Технический лист'!$E$21)+(P24*0.000942)*'Технический лист'!$M$4)*2.2</f>
        <v>2255.9083714285716</v>
      </c>
      <c r="Q30" s="26">
        <f>(((((Q24+30)*(Q24+30))/1000000)*'Технический лист'!$E$21)+(Q24*0.000942)*'Технический лист'!$M$4)*2.2</f>
        <v>2363.8072000000006</v>
      </c>
      <c r="R30" s="26">
        <f>(((((R24+30)*(R24+30))/1000000)*'Технический лист'!$E$21)+(R24*0.000942)*'Технический лист'!$M$4)*2.2</f>
        <v>2473.466028571429</v>
      </c>
      <c r="S30" s="26">
        <f>(((((S24+30)*(S24+30))/1000000)*'Технический лист'!$E$21)+(S24*0.000942)*'Технический лист'!$M$4)*2.2</f>
        <v>2584.8848571428575</v>
      </c>
      <c r="T30" s="26">
        <f>(((((T24+30)*(T24+30))/1000000)*'Технический лист'!$E$21)+(T24*0.000942)*'Технический лист'!$M$4)*2.2</f>
        <v>2698.0636857142858</v>
      </c>
      <c r="U30" s="26">
        <f>(((((U24+30)*(U24+30))/1000000)*'Технический лист'!$E$21)+(U24*0.000942)*'Технический лист'!$M$4)*2.2</f>
        <v>2813.0025142857144</v>
      </c>
      <c r="V30" s="26">
        <f>(((((V24+30)*(V24+30))/1000000)*'Технический лист'!$E$21)+(V24*0.000942)*'Технический лист'!$M$4)*2.2</f>
        <v>2929.7013428571436</v>
      </c>
      <c r="W30" s="26">
        <f>(((((W24+30)*(W24+30))/1000000)*'Технический лист'!$E$21)+(W24*0.000942)*'Технический лист'!$M$4)*2.2</f>
        <v>3048.1601714285721</v>
      </c>
      <c r="X30" s="26">
        <f>(((((X24+30)*(X24+30))/1000000)*'Технический лист'!$E$21)+(X24*0.000942)*'Технический лист'!$M$4)*2.2</f>
        <v>3168.3790000000004</v>
      </c>
    </row>
    <row r="31" spans="1:28">
      <c r="A31" s="4" t="s">
        <v>74</v>
      </c>
      <c r="B31" s="24">
        <f>(((B24*0.00314)*0.35)*'Технический лист'!$O$4)+B30</f>
        <v>950.95737662337683</v>
      </c>
      <c r="C31" s="9">
        <f>(((C24*0.00314)*0.35)*'Технический лист'!$O$4)+C30</f>
        <v>1054.9411142857143</v>
      </c>
      <c r="D31" s="9">
        <f>(((D24*0.00314)*0.35)*'Технический лист'!$O$4)+D30</f>
        <v>1107.5929831168833</v>
      </c>
      <c r="E31" s="9">
        <f>(((E24*0.00314)*0.35)*'Технический лист'!$O$4)+E30</f>
        <v>1160.684851948052</v>
      </c>
      <c r="F31" s="9">
        <f>(((F24*0.00314)*0.35)*'Технический лист'!$O$4)+F30</f>
        <v>1214.2167207792209</v>
      </c>
      <c r="G31" s="9">
        <f>(((G24*0.00314)*0.35)*'Технический лист'!$O$4)+G30</f>
        <v>1268.1885896103897</v>
      </c>
      <c r="H31" s="9">
        <f>(((H24*0.00314)*0.35)*'Технический лист'!$O$4)+H30</f>
        <v>1377.4523272727274</v>
      </c>
      <c r="I31" s="9">
        <f>(((I24*0.00314)*0.35)*'Технический лист'!$O$4)+I30</f>
        <v>1488.4760649350649</v>
      </c>
      <c r="J31" s="9">
        <f>(((J24*0.00314)*0.35)*'Технический лист'!$O$4)+J30</f>
        <v>1601.2598025974025</v>
      </c>
      <c r="K31" s="9">
        <f>(((K24*0.00314)*0.35)*'Технический лист'!$O$4)+K30</f>
        <v>1832.1072779220781</v>
      </c>
      <c r="L31" s="9">
        <f>(((L24*0.00314)*0.35)*'Технический лист'!$O$4)+L30</f>
        <v>2069.9947532467536</v>
      </c>
      <c r="M31" s="9">
        <f>(((M24*0.00314)*0.35)*'Технический лист'!$O$4)+M30</f>
        <v>2314.9222285714286</v>
      </c>
      <c r="N31" s="9">
        <f>(((N24*0.00314)*0.35)*'Технический лист'!$O$4)+N30</f>
        <v>2695.5134415584416</v>
      </c>
      <c r="O31" s="9">
        <f>(((O24*0.00314)*0.35)*'Технический лист'!$O$4)+O30</f>
        <v>2825.8971792207794</v>
      </c>
      <c r="P31" s="9">
        <f>(((P24*0.00314)*0.35)*'Технический лист'!$O$4)+P30</f>
        <v>2958.040916883117</v>
      </c>
      <c r="Q31" s="9">
        <f>(((Q24*0.00314)*0.35)*'Технический лист'!$O$4)+Q30</f>
        <v>3091.9446545454553</v>
      </c>
      <c r="R31" s="9">
        <f>(((R24*0.00314)*0.35)*'Технический лист'!$O$4)+R30</f>
        <v>3227.6083922077928</v>
      </c>
      <c r="S31" s="9">
        <f>(((S24*0.00314)*0.35)*'Технический лист'!$O$4)+S30</f>
        <v>3365.0321298701301</v>
      </c>
      <c r="T31" s="9">
        <f>(((T24*0.00314)*0.35)*'Технический лист'!$O$4)+T30</f>
        <v>3504.2158675324677</v>
      </c>
      <c r="U31" s="9">
        <f>(((U24*0.00314)*0.35)*'Технический лист'!$O$4)+U30</f>
        <v>3645.1596051948054</v>
      </c>
      <c r="V31" s="9">
        <f>(((V24*0.00314)*0.35)*'Технический лист'!$O$4)+V30</f>
        <v>3787.8633428571438</v>
      </c>
      <c r="W31" s="9">
        <f>(((W24*0.00314)*0.35)*'Технический лист'!$O$4)+W30</f>
        <v>3932.3270805194811</v>
      </c>
      <c r="X31" s="9">
        <f>(((X24*0.00314)*0.35)*'Технический лист'!$O$4)+X30</f>
        <v>4078.5508181818186</v>
      </c>
    </row>
    <row r="32" spans="1:28" hidden="1">
      <c r="A32" s="4"/>
      <c r="B32" s="23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</row>
    <row r="33" spans="1:24">
      <c r="A33" s="4" t="s">
        <v>75</v>
      </c>
      <c r="B33" s="24">
        <f>(((B24*0.00314)*((B24+500)/1000)*'Технический лист'!$K$4))*2.33</f>
        <v>1025.5412088311689</v>
      </c>
      <c r="C33" s="24">
        <f>(((C24*0.00314)*((C24+500)/1000)*'Технический лист'!$K$4))*2.33</f>
        <v>1146.8969185428573</v>
      </c>
      <c r="D33" s="24">
        <f>(((D24*0.00314)*((D24+500)/1000)*'Технический лист'!$K$4))*2.33</f>
        <v>1208.8566999097404</v>
      </c>
      <c r="E33" s="24">
        <f>(((E24*0.00314)*((E24+500)/1000)*'Технический лист'!$K$4))*2.33</f>
        <v>1271.6710989506496</v>
      </c>
      <c r="F33" s="24">
        <f>(((F24*0.00314)*((F24+500)/1000)*'Технический лист'!$K$4))*2.33</f>
        <v>1335.3401156655846</v>
      </c>
      <c r="G33" s="24">
        <f>(((G24*0.00314)*((G24+500)/1000)*'Технический лист'!$K$4))*2.33</f>
        <v>1399.8637500545456</v>
      </c>
      <c r="H33" s="24">
        <f>(((H24*0.00314)*((H24+500)/1000)*'Технический лист'!$K$4))*2.33</f>
        <v>1531.4748718545457</v>
      </c>
      <c r="I33" s="24">
        <f>(((I24*0.00314)*((I24+500)/1000)*'Технический лист'!$K$4))*2.33</f>
        <v>1666.5044643506494</v>
      </c>
      <c r="J33" s="24">
        <f>(((J24*0.00314)*((J24+500)/1000)*'Технический лист'!$K$4))*2.33</f>
        <v>1804.9525275428573</v>
      </c>
      <c r="K33" s="24">
        <f>(((K24*0.00314)*((K24+500)/1000)*'Технический лист'!$K$4))*2.33</f>
        <v>2092.104066015585</v>
      </c>
      <c r="L33" s="24">
        <f>(((L24*0.00314)*((L24+500)/1000)*'Технический лист'!$K$4))*2.33</f>
        <v>2392.9294872727273</v>
      </c>
      <c r="M33" s="24">
        <f>(((M24*0.00314)*((M24+500)/1000)*'Технический лист'!$K$4))*2.33</f>
        <v>2707.4287913142862</v>
      </c>
      <c r="N33" s="24">
        <f>(((N24*0.00314)*((N24+500)/1000)*'Технический лист'!$K$4))*2.33</f>
        <v>3204.8162775974029</v>
      </c>
      <c r="O33" s="24">
        <f>(((O24*0.00314)*((O24+500)/1000)*'Технический лист'!$K$4))*2.33</f>
        <v>3377.4490477506492</v>
      </c>
      <c r="P33" s="24">
        <f>(((P24*0.00314)*((P24+500)/1000)*'Технический лист'!$K$4))*2.33</f>
        <v>3553.5002886000002</v>
      </c>
      <c r="Q33" s="24">
        <f>(((Q24*0.00314)*((Q24+500)/1000)*'Технический лист'!$K$4))*2.33</f>
        <v>3732.9700001454553</v>
      </c>
      <c r="R33" s="24">
        <f>(((R24*0.00314)*((R24+500)/1000)*'Технический лист'!$K$4))*2.33</f>
        <v>3915.8581823870131</v>
      </c>
      <c r="S33" s="24">
        <f>(((S24*0.00314)*((S24+500)/1000)*'Технический лист'!$K$4))*2.33</f>
        <v>4102.1648353246756</v>
      </c>
      <c r="T33" s="24">
        <f>(((T24*0.00314)*((T24+500)/1000)*'Технический лист'!$K$4))*2.33</f>
        <v>4291.8899589584425</v>
      </c>
      <c r="U33" s="24">
        <f>(((U24*0.00314)*((U24+500)/1000)*'Технический лист'!$K$4))*2.33</f>
        <v>4485.0335532883109</v>
      </c>
      <c r="V33" s="24">
        <f>(((V24*0.00314)*((V24+500)/1000)*'Технический лист'!$K$4))*2.33</f>
        <v>4681.5956183142862</v>
      </c>
      <c r="W33" s="24">
        <f>(((W24*0.00314)*((W24+500)/1000)*'Технический лист'!$K$4))*2.33</f>
        <v>4881.5761540363637</v>
      </c>
      <c r="X33" s="24">
        <f>(((X24*0.00314)*((X24+500)/1000)*'Технический лист'!$K$4))*2.33</f>
        <v>5084.9751604545454</v>
      </c>
    </row>
    <row r="34" spans="1:24" hidden="1">
      <c r="A34" s="4"/>
      <c r="B34" s="27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>
      <c r="A35" s="4" t="s">
        <v>76</v>
      </c>
      <c r="B35" s="24">
        <f>((((B24*0.00314)*0.21)*'Технический лист'!$M$3)+((((B24+100)/1000)*((B24+100)/1000))*3)*'Технический лист'!$I$4)*2.33</f>
        <v>949.73906343896113</v>
      </c>
      <c r="C35" s="24">
        <f>((((C24*0.00314)*0.21)*'Технический лист'!$M$3)+((((C24+100)/1000)*((C24+100)/1000))*3)*'Технический лист'!$I$4)*2.33</f>
        <v>1046.2760971854543</v>
      </c>
      <c r="D35" s="24">
        <f>((((D24*0.00314)*0.21)*'Технический лист'!$M$3)+((((D24+100)/1000)*((D24+100)/1000))*3)*'Технический лист'!$I$4)*2.33</f>
        <v>1095.7169596106494</v>
      </c>
      <c r="E35" s="24">
        <f>((((E24*0.00314)*0.21)*'Технический лист'!$M$3)+((((E24+100)/1000)*((E24+100)/1000))*3)*'Технический лист'!$I$4)*2.33</f>
        <v>1145.9393857371429</v>
      </c>
      <c r="F35" s="24">
        <f>((((F24*0.00314)*0.21)*'Технический лист'!$M$3)+((((F24+100)/1000)*((F24+100)/1000))*3)*'Технический лист'!$I$4)*2.33</f>
        <v>1196.9433755649352</v>
      </c>
      <c r="G35" s="24">
        <f>((((G24*0.00314)*0.21)*'Технический лист'!$M$3)+((((G24+100)/1000)*((G24+100)/1000))*3)*'Технический лист'!$I$4)*2.33</f>
        <v>1248.7289290940262</v>
      </c>
      <c r="H35" s="24">
        <f>((((H24*0.00314)*0.21)*'Технический лист'!$M$3)+((((H24+100)/1000)*((H24+100)/1000))*3)*'Технический лист'!$I$4)*2.33</f>
        <v>1354.644727256104</v>
      </c>
      <c r="I35" s="24">
        <f>((((I24*0.00314)*0.21)*'Технический лист'!$M$3)+((((I24+100)/1000)*((I24+100)/1000))*3)*'Технический лист'!$I$4)*2.33</f>
        <v>1463.6867802233767</v>
      </c>
      <c r="J35" s="24">
        <f>((((J24*0.00314)*0.21)*'Технический лист'!$M$3)+((((J24+100)/1000)*((J24+100)/1000))*3)*'Технический лист'!$I$4)*2.33</f>
        <v>1575.8550879958441</v>
      </c>
      <c r="K35" s="24">
        <f>((((K24*0.00314)*0.21)*'Технический лист'!$M$3)+((((K24+100)/1000)*((K24+100)/1000))*3)*'Технический лист'!$I$4)*2.33</f>
        <v>1809.5704679563639</v>
      </c>
      <c r="L35" s="24">
        <f>((((L24*0.00314)*0.21)*'Технический лист'!$M$3)+((((L24+100)/1000)*((L24+100)/1000))*3)*'Технический лист'!$I$4)*2.33</f>
        <v>2055.7908671376622</v>
      </c>
      <c r="M35" s="24">
        <f>((((M24*0.00314)*0.21)*'Технический лист'!$M$3)+((((M24+100)/1000)*((M24+100)/1000))*3)*'Технический лист'!$I$4)*2.33</f>
        <v>2314.5162855397402</v>
      </c>
      <c r="N35" s="24">
        <f>((((N24*0.00314)*0.21)*'Технический лист'!$M$3)+((((N24+100)/1000)*((N24+100)/1000))*3)*'Технический лист'!$I$4)*2.33</f>
        <v>2726.0513241818185</v>
      </c>
      <c r="O35" s="24">
        <f>((((O24*0.00314)*0.21)*'Технический лист'!$M$3)+((((O24+100)/1000)*((O24+100)/1000))*3)*'Технический лист'!$I$4)*2.33</f>
        <v>2869.4821800062336</v>
      </c>
      <c r="P35" s="24">
        <f>((((P24*0.00314)*0.21)*'Технический лист'!$M$3)+((((P24+100)/1000)*((P24+100)/1000))*3)*'Технический лист'!$I$4)*2.33</f>
        <v>3016.0392906358443</v>
      </c>
      <c r="Q35" s="24">
        <f>((((Q24*0.00314)*0.21)*'Технический лист'!$M$3)+((((Q24+100)/1000)*((Q24+100)/1000))*3)*'Технический лист'!$I$4)*2.33</f>
        <v>3165.7226560706495</v>
      </c>
      <c r="R35" s="24">
        <f>((((R24*0.00314)*0.21)*'Технический лист'!$M$3)+((((R24+100)/1000)*((R24+100)/1000))*3)*'Технический лист'!$I$4)*2.33</f>
        <v>3318.5322763106496</v>
      </c>
      <c r="S35" s="24">
        <f>((((S24*0.00314)*0.21)*'Технический лист'!$M$3)+((((S24+100)/1000)*((S24+100)/1000))*3)*'Технический лист'!$I$4)*2.33</f>
        <v>3474.4681513558448</v>
      </c>
      <c r="T35" s="24">
        <f>((((T24*0.00314)*0.21)*'Технический лист'!$M$3)+((((T24+100)/1000)*((T24+100)/1000))*3)*'Технический лист'!$I$4)*2.33</f>
        <v>3633.5302812062337</v>
      </c>
      <c r="U35" s="24">
        <f>((((U24*0.00314)*0.21)*'Технический лист'!$M$3)+((((U24+100)/1000)*((U24+100)/1000))*3)*'Технический лист'!$I$4)*2.33</f>
        <v>3795.7186658618175</v>
      </c>
      <c r="V35" s="24">
        <f>((((V24*0.00314)*0.21)*'Технический лист'!$M$3)+((((V24+100)/1000)*((V24+100)/1000))*3)*'Технический лист'!$I$4)*2.33</f>
        <v>3961.0333053225972</v>
      </c>
      <c r="W35" s="24">
        <f>((((W24*0.00314)*0.21)*'Технический лист'!$M$3)+((((W24+100)/1000)*((W24+100)/1000))*3)*'Технический лист'!$I$4)*2.33</f>
        <v>4129.4741995885715</v>
      </c>
      <c r="X35" s="24">
        <f>((((X24*0.00314)*0.21)*'Технический лист'!$M$3)+((((X24+100)/1000)*((X24+100)/1000))*3)*'Технический лист'!$I$4)*2.33</f>
        <v>4301.0413486597408</v>
      </c>
    </row>
    <row r="36" spans="1:24">
      <c r="A36" s="4" t="s">
        <v>99</v>
      </c>
      <c r="B36" s="24">
        <v>924</v>
      </c>
      <c r="C36" s="24">
        <v>924</v>
      </c>
      <c r="D36" s="24">
        <v>924</v>
      </c>
      <c r="E36" s="24">
        <v>924</v>
      </c>
      <c r="F36" s="24">
        <v>924</v>
      </c>
      <c r="G36" s="24">
        <v>924</v>
      </c>
      <c r="H36" s="24">
        <v>924</v>
      </c>
      <c r="I36" s="24">
        <v>924</v>
      </c>
      <c r="J36" s="24">
        <v>924</v>
      </c>
      <c r="K36" s="24">
        <v>924</v>
      </c>
      <c r="L36" s="24">
        <v>924</v>
      </c>
      <c r="M36" s="24">
        <v>924</v>
      </c>
      <c r="N36" s="24">
        <v>924</v>
      </c>
      <c r="O36" s="24">
        <v>924</v>
      </c>
      <c r="P36" s="24">
        <v>924</v>
      </c>
      <c r="Q36" s="24">
        <v>924</v>
      </c>
      <c r="R36" s="24">
        <v>924</v>
      </c>
      <c r="S36" s="24">
        <v>924</v>
      </c>
      <c r="T36" s="24">
        <v>924</v>
      </c>
      <c r="U36" s="24">
        <v>924</v>
      </c>
      <c r="V36" s="24">
        <v>924</v>
      </c>
      <c r="W36" s="24">
        <v>924</v>
      </c>
      <c r="X36" s="24">
        <v>924</v>
      </c>
    </row>
    <row r="37" spans="1:24">
      <c r="A37" s="4" t="s">
        <v>100</v>
      </c>
      <c r="B37" s="24">
        <v>1020</v>
      </c>
      <c r="C37" s="24">
        <v>1020</v>
      </c>
      <c r="D37" s="24">
        <v>1020</v>
      </c>
      <c r="E37" s="24">
        <v>1020</v>
      </c>
      <c r="F37" s="24">
        <v>1020</v>
      </c>
      <c r="G37" s="24">
        <v>1020</v>
      </c>
      <c r="H37" s="24">
        <v>1020</v>
      </c>
      <c r="I37" s="24">
        <v>1020</v>
      </c>
      <c r="J37" s="24">
        <v>1020</v>
      </c>
      <c r="K37" s="24">
        <v>1020</v>
      </c>
      <c r="L37" s="24">
        <v>1020</v>
      </c>
      <c r="M37" s="24">
        <v>1020</v>
      </c>
      <c r="N37" s="24">
        <v>1020</v>
      </c>
      <c r="O37" s="24">
        <v>1020</v>
      </c>
      <c r="P37" s="24">
        <v>1020</v>
      </c>
      <c r="Q37" s="24">
        <v>1020</v>
      </c>
      <c r="R37" s="24">
        <v>1020</v>
      </c>
      <c r="S37" s="24">
        <v>1020</v>
      </c>
      <c r="T37" s="24">
        <v>1020</v>
      </c>
      <c r="U37" s="24">
        <v>1020</v>
      </c>
      <c r="V37" s="24">
        <v>1020</v>
      </c>
      <c r="W37" s="24">
        <v>1020</v>
      </c>
      <c r="X37" s="24">
        <v>1020</v>
      </c>
    </row>
  </sheetData>
  <mergeCells count="8">
    <mergeCell ref="A23:N23"/>
    <mergeCell ref="A1:C1"/>
    <mergeCell ref="D1:O1"/>
    <mergeCell ref="D2:O2"/>
    <mergeCell ref="D3:O3"/>
    <mergeCell ref="A5:O5"/>
    <mergeCell ref="O23:AB23"/>
    <mergeCell ref="P5:AD5"/>
  </mergeCells>
  <pageMargins left="0.25" right="0.25" top="0.75" bottom="0.75" header="0.3" footer="0.3"/>
  <pageSetup paperSize="9" scale="8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D33"/>
  <sheetViews>
    <sheetView zoomScale="80" zoomScaleNormal="80" workbookViewId="0">
      <selection sqref="A1:C1"/>
    </sheetView>
  </sheetViews>
  <sheetFormatPr defaultRowHeight="14.4"/>
  <cols>
    <col min="1" max="1" width="20.6640625" customWidth="1"/>
    <col min="2" max="24" width="6.33203125" customWidth="1"/>
  </cols>
  <sheetData>
    <row r="1" spans="1:30" ht="45" customHeight="1">
      <c r="A1" s="32"/>
      <c r="B1" s="32"/>
      <c r="C1" s="32"/>
      <c r="D1" s="40" t="s">
        <v>94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1"/>
      <c r="Q1" s="1"/>
    </row>
    <row r="2" spans="1:30" ht="15" customHeight="1">
      <c r="D2" s="34" t="s">
        <v>95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1"/>
    </row>
    <row r="3" spans="1:30" ht="15" customHeight="1">
      <c r="D3" s="34" t="s">
        <v>112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30" ht="2.25" customHeight="1"/>
    <row r="5" spans="1:30">
      <c r="A5" s="41" t="s">
        <v>81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 t="s">
        <v>81</v>
      </c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</row>
    <row r="6" spans="1:30">
      <c r="A6" s="3" t="s">
        <v>78</v>
      </c>
      <c r="B6" s="10">
        <v>100</v>
      </c>
      <c r="C6" s="10">
        <v>110</v>
      </c>
      <c r="D6" s="10">
        <v>115</v>
      </c>
      <c r="E6" s="10">
        <v>120</v>
      </c>
      <c r="F6" s="10">
        <v>125</v>
      </c>
      <c r="G6" s="10">
        <v>130</v>
      </c>
      <c r="H6" s="10">
        <v>140</v>
      </c>
      <c r="I6" s="10">
        <v>150</v>
      </c>
      <c r="J6" s="10">
        <v>160</v>
      </c>
      <c r="K6" s="10">
        <v>180</v>
      </c>
      <c r="L6" s="10">
        <v>200</v>
      </c>
      <c r="M6" s="10">
        <v>220</v>
      </c>
      <c r="N6" s="10">
        <v>250</v>
      </c>
      <c r="O6" s="10">
        <v>260</v>
      </c>
      <c r="P6" s="10">
        <v>270</v>
      </c>
      <c r="Q6" s="10">
        <v>280</v>
      </c>
      <c r="R6" s="10">
        <v>290</v>
      </c>
      <c r="S6" s="10">
        <v>300</v>
      </c>
      <c r="T6" s="10">
        <v>310</v>
      </c>
      <c r="U6" s="10">
        <v>320</v>
      </c>
      <c r="V6" s="10">
        <v>330</v>
      </c>
      <c r="W6" s="10">
        <v>340</v>
      </c>
      <c r="X6" s="10">
        <v>350</v>
      </c>
    </row>
    <row r="7" spans="1:30" hidden="1">
      <c r="A7" s="3" t="s">
        <v>1</v>
      </c>
      <c r="B7" s="10">
        <f>B6+70</f>
        <v>170</v>
      </c>
      <c r="C7" s="10">
        <f t="shared" ref="C7:N7" si="0">C6+70</f>
        <v>180</v>
      </c>
      <c r="D7" s="10">
        <f t="shared" si="0"/>
        <v>185</v>
      </c>
      <c r="E7" s="10">
        <f t="shared" si="0"/>
        <v>190</v>
      </c>
      <c r="F7" s="10">
        <f t="shared" si="0"/>
        <v>195</v>
      </c>
      <c r="G7" s="10">
        <f t="shared" si="0"/>
        <v>200</v>
      </c>
      <c r="H7" s="10">
        <f t="shared" si="0"/>
        <v>210</v>
      </c>
      <c r="I7" s="10">
        <f t="shared" si="0"/>
        <v>220</v>
      </c>
      <c r="J7" s="10">
        <f t="shared" si="0"/>
        <v>230</v>
      </c>
      <c r="K7" s="10">
        <f t="shared" si="0"/>
        <v>250</v>
      </c>
      <c r="L7" s="10">
        <f t="shared" si="0"/>
        <v>270</v>
      </c>
      <c r="M7" s="10">
        <f t="shared" si="0"/>
        <v>290</v>
      </c>
      <c r="N7" s="10">
        <f t="shared" si="0"/>
        <v>320</v>
      </c>
      <c r="O7" s="10">
        <f t="shared" ref="O7:X7" si="1">O6+70</f>
        <v>330</v>
      </c>
      <c r="P7" s="10">
        <f t="shared" si="1"/>
        <v>340</v>
      </c>
      <c r="Q7" s="10">
        <f t="shared" si="1"/>
        <v>350</v>
      </c>
      <c r="R7" s="10">
        <f t="shared" si="1"/>
        <v>360</v>
      </c>
      <c r="S7" s="10">
        <f t="shared" si="1"/>
        <v>370</v>
      </c>
      <c r="T7" s="10">
        <f t="shared" si="1"/>
        <v>380</v>
      </c>
      <c r="U7" s="10">
        <f t="shared" si="1"/>
        <v>390</v>
      </c>
      <c r="V7" s="10">
        <f t="shared" si="1"/>
        <v>400</v>
      </c>
      <c r="W7" s="10">
        <f t="shared" si="1"/>
        <v>410</v>
      </c>
      <c r="X7" s="10">
        <f t="shared" si="1"/>
        <v>420</v>
      </c>
    </row>
    <row r="8" spans="1:30">
      <c r="A8" s="4" t="s">
        <v>69</v>
      </c>
      <c r="B8" s="16">
        <f>(((B6*0.00314)*'Технический лист'!$G$7))*1.97</f>
        <v>856.85701600000004</v>
      </c>
      <c r="C8" s="16">
        <f>(((C6*0.00314)*'Технический лист'!$G$7))*1.97</f>
        <v>942.54271759999995</v>
      </c>
      <c r="D8" s="16">
        <f>(((D6*0.00314)*'Технический лист'!$G$7))*1.97</f>
        <v>985.38556840000001</v>
      </c>
      <c r="E8" s="16">
        <f>(((E6*0.00314)*'Технический лист'!$G$7))*1.97</f>
        <v>1028.2284192000002</v>
      </c>
      <c r="F8" s="16">
        <f>(((F6*0.00314)*'Технический лист'!$G$7))*1.97</f>
        <v>1071.0712700000001</v>
      </c>
      <c r="G8" s="16">
        <f>(((G6*0.00314)*'Технический лист'!$G$7))*1.97</f>
        <v>1113.9141208000001</v>
      </c>
      <c r="H8" s="16">
        <f>(((H6*0.00314)*'Технический лист'!$G$7))*1.97</f>
        <v>1199.5998224</v>
      </c>
      <c r="I8" s="16">
        <f>(((I6*0.00314)*'Технический лист'!$G$7))*1.97</f>
        <v>1285.2855240000001</v>
      </c>
      <c r="J8" s="16">
        <f>(((J6*0.00314)*'Технический лист'!$G$7))*1.97</f>
        <v>1370.9712256</v>
      </c>
      <c r="K8" s="16">
        <f>(((K6*0.00314)*'Технический лист'!$G$7))*1.97</f>
        <v>1542.3426288000001</v>
      </c>
      <c r="L8" s="16">
        <f>(((L6*0.00314)*'Технический лист'!$G$7))*1.97</f>
        <v>1713.7140320000001</v>
      </c>
      <c r="M8" s="16">
        <f>(((M6*0.00314)*'Технический лист'!$G$7))*1.97</f>
        <v>1885.0854351999999</v>
      </c>
      <c r="N8" s="16">
        <f>(((N6*0.00314)*'Технический лист'!$G$7))*1.97</f>
        <v>2142.1425400000003</v>
      </c>
      <c r="O8" s="16">
        <f>(((O6*0.00314)*'Технический лист'!$G$7))*1.97</f>
        <v>2227.8282416000002</v>
      </c>
      <c r="P8" s="16">
        <f>(((P6*0.00314)*'Технический лист'!$G$7))*1.97</f>
        <v>2313.5139432000001</v>
      </c>
      <c r="Q8" s="16">
        <f>(((Q6*0.00314)*'Технический лист'!$G$7))*1.97</f>
        <v>2399.1996448</v>
      </c>
      <c r="R8" s="16">
        <f>(((R6*0.00314)*'Технический лист'!$G$7))*1.97</f>
        <v>2484.8853463999999</v>
      </c>
      <c r="S8" s="16">
        <f>(((S6*0.00314)*'Технический лист'!$G$7))*1.97</f>
        <v>2570.5710480000002</v>
      </c>
      <c r="T8" s="16">
        <f>(((T6*0.00314)*'Технический лист'!$G$7))*1.97</f>
        <v>2656.2567496000001</v>
      </c>
      <c r="U8" s="16">
        <f>(((U6*0.00314)*'Технический лист'!$G$7))*1.97</f>
        <v>2741.9424512000001</v>
      </c>
      <c r="V8" s="16">
        <f>(((V6*0.00314)*'Технический лист'!$G$7))*1.97</f>
        <v>2827.6281528000004</v>
      </c>
      <c r="W8" s="16">
        <f>(((W6*0.00314)*'Технический лист'!$G$7))*1.97</f>
        <v>2913.3138544000003</v>
      </c>
      <c r="X8" s="16">
        <f>(((X6*0.00314)*'Технический лист'!$G$7))*1.97</f>
        <v>2998.9995560000002</v>
      </c>
    </row>
    <row r="9" spans="1:30">
      <c r="A9" s="4" t="s">
        <v>70</v>
      </c>
      <c r="B9" s="9">
        <f>((B8/2)*1.07)-10</f>
        <v>448.41850356000003</v>
      </c>
      <c r="C9" s="9">
        <f t="shared" ref="C9:N9" si="2">((C8/2)*1.07)-10</f>
        <v>494.26035391599999</v>
      </c>
      <c r="D9" s="9">
        <f t="shared" si="2"/>
        <v>517.18127909400005</v>
      </c>
      <c r="E9" s="9">
        <f t="shared" si="2"/>
        <v>540.10220427200011</v>
      </c>
      <c r="F9" s="9">
        <f t="shared" si="2"/>
        <v>563.02312945000006</v>
      </c>
      <c r="G9" s="9">
        <f t="shared" si="2"/>
        <v>585.94405462800012</v>
      </c>
      <c r="H9" s="9">
        <f t="shared" si="2"/>
        <v>631.78590498400001</v>
      </c>
      <c r="I9" s="9">
        <f t="shared" si="2"/>
        <v>677.62775534000014</v>
      </c>
      <c r="J9" s="9">
        <f t="shared" si="2"/>
        <v>723.46960569600003</v>
      </c>
      <c r="K9" s="9">
        <f t="shared" si="2"/>
        <v>815.15330640800005</v>
      </c>
      <c r="L9" s="9">
        <f t="shared" si="2"/>
        <v>906.83700712000007</v>
      </c>
      <c r="M9" s="9">
        <f t="shared" si="2"/>
        <v>998.52070783199997</v>
      </c>
      <c r="N9" s="9">
        <f t="shared" si="2"/>
        <v>1136.0462589000001</v>
      </c>
      <c r="O9" s="9">
        <f t="shared" ref="O9:X9" si="3">((O8/2)*1.07)-10</f>
        <v>1181.8881092560002</v>
      </c>
      <c r="P9" s="9">
        <f t="shared" si="3"/>
        <v>1227.7299596120001</v>
      </c>
      <c r="Q9" s="9">
        <f t="shared" si="3"/>
        <v>1273.571809968</v>
      </c>
      <c r="R9" s="9">
        <f t="shared" si="3"/>
        <v>1319.4136603239999</v>
      </c>
      <c r="S9" s="9">
        <f t="shared" si="3"/>
        <v>1365.2555106800003</v>
      </c>
      <c r="T9" s="9">
        <f t="shared" si="3"/>
        <v>1411.0973610360002</v>
      </c>
      <c r="U9" s="9">
        <f t="shared" si="3"/>
        <v>1456.9392113920001</v>
      </c>
      <c r="V9" s="9">
        <f t="shared" si="3"/>
        <v>1502.7810617480004</v>
      </c>
      <c r="W9" s="9">
        <f t="shared" si="3"/>
        <v>1548.6229121040003</v>
      </c>
      <c r="X9" s="9">
        <f t="shared" si="3"/>
        <v>1594.4647624600002</v>
      </c>
    </row>
    <row r="10" spans="1:30">
      <c r="A10" s="4" t="s">
        <v>71</v>
      </c>
      <c r="B10" s="16">
        <f>(((B6*0.00314)*0.55)*'Технический лист'!$I$7)*2</f>
        <v>709.86608000000001</v>
      </c>
      <c r="C10" s="16">
        <f>(((C6*0.00314)*0.55)*'Технический лист'!$I$7)*2</f>
        <v>780.85268799999994</v>
      </c>
      <c r="D10" s="16">
        <f>(((D6*0.00314)*0.55)*'Технический лист'!$I$7)*2</f>
        <v>816.34599199999991</v>
      </c>
      <c r="E10" s="16">
        <f>(((E6*0.00314)*0.55)*'Технический лист'!$I$7)*2</f>
        <v>851.8392960000001</v>
      </c>
      <c r="F10" s="16">
        <f>(((F6*0.00314)*0.55)*'Технический лист'!$I$7)*2</f>
        <v>887.33260000000007</v>
      </c>
      <c r="G10" s="16">
        <f>(((G6*0.00314)*0.55)*'Технический лист'!$I$7)*2</f>
        <v>922.82590400000004</v>
      </c>
      <c r="H10" s="16">
        <f>(((H6*0.00314)*0.55)*'Технический лист'!$I$7)*2</f>
        <v>993.81251199999997</v>
      </c>
      <c r="I10" s="16">
        <f>(((I6*0.00314)*0.55)*'Технический лист'!$I$7)*2</f>
        <v>1064.7991199999999</v>
      </c>
      <c r="J10" s="16">
        <f>(((J6*0.00314)*0.55)*'Технический лист'!$I$7)*2</f>
        <v>1135.7857279999998</v>
      </c>
      <c r="K10" s="16">
        <f>(((K6*0.00314)*0.55)*'Технический лист'!$I$7)*2</f>
        <v>1277.7589439999999</v>
      </c>
      <c r="L10" s="16">
        <f>(((L6*0.00314)*0.55)*'Технический лист'!$I$7)*2</f>
        <v>1419.73216</v>
      </c>
      <c r="M10" s="16">
        <f>(((M6*0.00314)*0.55)*'Технический лист'!$I$7)*2</f>
        <v>1561.7053759999999</v>
      </c>
      <c r="N10" s="16">
        <f>(((N6*0.00314)*0.55)*'Технический лист'!$I$7)*2</f>
        <v>1774.6652000000001</v>
      </c>
      <c r="O10" s="16">
        <f>(((O6*0.00314)*0.55)*'Технический лист'!$I$7)*2</f>
        <v>1845.6518080000001</v>
      </c>
      <c r="P10" s="16">
        <f>(((P6*0.00314)*0.55)*'Технический лист'!$I$7)*2</f>
        <v>1916.638416</v>
      </c>
      <c r="Q10" s="16">
        <f>(((Q6*0.00314)*0.55)*'Технический лист'!$I$7)*2</f>
        <v>1987.6250239999999</v>
      </c>
      <c r="R10" s="16">
        <f>(((R6*0.00314)*0.55)*'Технический лист'!$I$7)*2</f>
        <v>2058.6116319999996</v>
      </c>
      <c r="S10" s="16">
        <f>(((S6*0.00314)*0.55)*'Технический лист'!$I$7)*2</f>
        <v>2129.5982399999998</v>
      </c>
      <c r="T10" s="16">
        <f>(((T6*0.00314)*0.55)*'Технический лист'!$I$7)*2</f>
        <v>2200.584848</v>
      </c>
      <c r="U10" s="16">
        <f>(((U6*0.00314)*0.55)*'Технический лист'!$I$7)*2</f>
        <v>2271.5714559999997</v>
      </c>
      <c r="V10" s="16">
        <f>(((V6*0.00314)*0.55)*'Технический лист'!$I$7)*2</f>
        <v>2342.5580639999998</v>
      </c>
      <c r="W10" s="16">
        <f>(((W6*0.00314)*0.55)*'Технический лист'!$I$7)*2</f>
        <v>2413.5446720000004</v>
      </c>
      <c r="X10" s="16">
        <f>(((X6*0.00314)*0.55)*'Технический лист'!$I$7)*2</f>
        <v>2484.5312800000002</v>
      </c>
    </row>
    <row r="11" spans="1:30">
      <c r="A11" s="4" t="s">
        <v>72</v>
      </c>
      <c r="B11" s="9">
        <f>((B10*2)/3)-6</f>
        <v>467.24405333333334</v>
      </c>
      <c r="C11" s="9">
        <f t="shared" ref="C11:N11" si="4">((C10*2)/3)-6</f>
        <v>514.56845866666663</v>
      </c>
      <c r="D11" s="9">
        <f t="shared" si="4"/>
        <v>538.23066133333327</v>
      </c>
      <c r="E11" s="9">
        <f t="shared" si="4"/>
        <v>561.89286400000003</v>
      </c>
      <c r="F11" s="9">
        <f t="shared" si="4"/>
        <v>585.55506666666668</v>
      </c>
      <c r="G11" s="9">
        <f t="shared" si="4"/>
        <v>609.21726933333332</v>
      </c>
      <c r="H11" s="9">
        <f t="shared" si="4"/>
        <v>656.54167466666661</v>
      </c>
      <c r="I11" s="9">
        <f t="shared" si="4"/>
        <v>703.8660799999999</v>
      </c>
      <c r="J11" s="9">
        <f t="shared" si="4"/>
        <v>751.19048533333319</v>
      </c>
      <c r="K11" s="9">
        <f t="shared" si="4"/>
        <v>845.83929599999999</v>
      </c>
      <c r="L11" s="9">
        <f t="shared" si="4"/>
        <v>940.48810666666668</v>
      </c>
      <c r="M11" s="9">
        <f t="shared" si="4"/>
        <v>1035.1369173333333</v>
      </c>
      <c r="N11" s="9">
        <f t="shared" si="4"/>
        <v>1177.1101333333334</v>
      </c>
      <c r="O11" s="9">
        <f t="shared" ref="O11:X11" si="5">((O10*2)/3)-6</f>
        <v>1224.4345386666666</v>
      </c>
      <c r="P11" s="9">
        <f t="shared" si="5"/>
        <v>1271.7589439999999</v>
      </c>
      <c r="Q11" s="9">
        <f t="shared" si="5"/>
        <v>1319.0833493333332</v>
      </c>
      <c r="R11" s="9">
        <f t="shared" si="5"/>
        <v>1366.4077546666665</v>
      </c>
      <c r="S11" s="9">
        <f t="shared" si="5"/>
        <v>1413.7321599999998</v>
      </c>
      <c r="T11" s="9">
        <f t="shared" si="5"/>
        <v>1461.0565653333333</v>
      </c>
      <c r="U11" s="9">
        <f t="shared" si="5"/>
        <v>1508.3809706666664</v>
      </c>
      <c r="V11" s="9">
        <f t="shared" si="5"/>
        <v>1555.7053759999999</v>
      </c>
      <c r="W11" s="9">
        <f t="shared" si="5"/>
        <v>1603.0297813333336</v>
      </c>
      <c r="X11" s="9">
        <f t="shared" si="5"/>
        <v>1650.3541866666667</v>
      </c>
    </row>
    <row r="12" spans="1:30">
      <c r="A12" s="4" t="s">
        <v>73</v>
      </c>
      <c r="B12" s="16">
        <f>(((((B6+30)*(B6+30))/1000000)*'Технический лист'!$M$7)+(B6*0.000628)*'Технический лист'!$E$20)*2.05</f>
        <v>601.059754</v>
      </c>
      <c r="C12" s="16">
        <f>(((((C6+30)*(C6+30))/1000000)*'Технический лист'!$M$7)+(C6*0.000628)*'Технический лист'!$E$20)*2.05</f>
        <v>666.31133599999998</v>
      </c>
      <c r="D12" s="16">
        <f>(((((D6+30)*(D6+30))/1000000)*'Технический лист'!$M$7)+(D6*0.000628)*'Технический лист'!$E$20)*2.05</f>
        <v>699.3192264999999</v>
      </c>
      <c r="E12" s="16">
        <f>(((((E6+30)*(E6+30))/1000000)*'Технический лист'!$M$7)+(E6*0.000628)*'Технический лист'!$E$20)*2.05</f>
        <v>732.58184999999992</v>
      </c>
      <c r="F12" s="16">
        <f>(((((F6+30)*(F6+30))/1000000)*'Технический лист'!$M$7)+(F6*0.000628)*'Технический лист'!$E$20)*2.05</f>
        <v>766.09920649999992</v>
      </c>
      <c r="G12" s="16">
        <f>(((((G6+30)*(G6+30))/1000000)*'Технический лист'!$M$7)+(G6*0.000628)*'Технический лист'!$E$20)*2.05</f>
        <v>799.8712959999998</v>
      </c>
      <c r="H12" s="16">
        <f>(((((H6+30)*(H6+30))/1000000)*'Технический лист'!$M$7)+(H6*0.000628)*'Технический лист'!$E$20)*2.05</f>
        <v>868.17967399999986</v>
      </c>
      <c r="I12" s="16">
        <f>(((((I6+30)*(I6+30))/1000000)*'Технический лист'!$M$7)+(I6*0.000628)*'Технический лист'!$E$20)*2.05</f>
        <v>937.50698399999987</v>
      </c>
      <c r="J12" s="16">
        <f>(((((J6+30)*(J6+30))/1000000)*'Технический лист'!$M$7)+(J6*0.000628)*'Технический лист'!$E$20)*2.05</f>
        <v>1007.8532259999999</v>
      </c>
      <c r="K12" s="16">
        <f>(((((K6+30)*(K6+30))/1000000)*'Технический лист'!$M$7)+(K6*0.000628)*'Технический лист'!$E$20)*2.05</f>
        <v>1151.6025059999999</v>
      </c>
      <c r="L12" s="16">
        <f>(((((L6+30)*(L6+30))/1000000)*'Технический лист'!$M$7)+(L6*0.000628)*'Технический лист'!$E$20)*2.05</f>
        <v>1299.427514</v>
      </c>
      <c r="M12" s="16">
        <f>(((((M6+30)*(M6+30))/1000000)*'Технический лист'!$M$7)+(M6*0.000628)*'Технический лист'!$E$20)*2.05</f>
        <v>1451.3282499999998</v>
      </c>
      <c r="N12" s="16">
        <f>(((((N6+30)*(N6+30))/1000000)*'Технический лист'!$M$7)+(N6*0.000628)*'Технический лист'!$E$20)*2.05</f>
        <v>1686.821344</v>
      </c>
      <c r="O12" s="16">
        <f>(((((O6+30)*(O6+30))/1000000)*'Технический лист'!$M$7)+(O6*0.000628)*'Технический лист'!$E$20)*2.05</f>
        <v>1767.3569059999995</v>
      </c>
      <c r="P12" s="16">
        <f>(((((P6+30)*(P6+30))/1000000)*'Технический лист'!$M$7)+(P6*0.000628)*'Технический лист'!$E$20)*2.05</f>
        <v>1848.9114</v>
      </c>
      <c r="Q12" s="16">
        <f>(((((Q6+30)*(Q6+30))/1000000)*'Технический лист'!$M$7)+(Q6*0.000628)*'Технический лист'!$E$20)*2.05</f>
        <v>1931.4848259999999</v>
      </c>
      <c r="R12" s="16">
        <f>(((((R6+30)*(R6+30))/1000000)*'Технический лист'!$M$7)+(R6*0.000628)*'Технический лист'!$E$20)*2.05</f>
        <v>2015.0771839999998</v>
      </c>
      <c r="S12" s="16">
        <f>(((((S6+30)*(S6+30))/1000000)*'Технический лист'!$M$7)+(S6*0.000628)*'Технический лист'!$E$20)*2.05</f>
        <v>2099.6884739999996</v>
      </c>
      <c r="T12" s="16">
        <f>(((((T6+30)*(T6+30))/1000000)*'Технический лист'!$M$7)+(T6*0.000628)*'Технический лист'!$E$20)*2.05</f>
        <v>2185.3186959999998</v>
      </c>
      <c r="U12" s="16">
        <f>(((((U6+30)*(U6+30))/1000000)*'Технический лист'!$M$7)+(U6*0.000628)*'Технический лист'!$E$20)*2.05</f>
        <v>2271.96785</v>
      </c>
      <c r="V12" s="16">
        <f>(((((V6+30)*(V6+30))/1000000)*'Технический лист'!$M$7)+(V6*0.000628)*'Технический лист'!$E$20)*2.05</f>
        <v>2359.6359359999997</v>
      </c>
      <c r="W12" s="16">
        <f>(((((W6+30)*(W6+30))/1000000)*'Технический лист'!$M$7)+(W6*0.000628)*'Технический лист'!$E$20)*2.05</f>
        <v>2448.3229539999998</v>
      </c>
      <c r="X12" s="16">
        <f>(((((X6+30)*(X6+30))/1000000)*'Технический лист'!$M$7)+(X6*0.000628)*'Технический лист'!$E$20)*2.05</f>
        <v>2538.0289039999998</v>
      </c>
    </row>
    <row r="13" spans="1:30">
      <c r="A13" s="4" t="s">
        <v>74</v>
      </c>
      <c r="B13" s="9">
        <f>(((B6*0.00314)*0.35)*'Технический лист'!$O$9)+B12</f>
        <v>870.88623399999994</v>
      </c>
      <c r="C13" s="9">
        <f>(((C6*0.00314)*0.35)*'Технический лист'!$O$9)+C12</f>
        <v>963.12046399999986</v>
      </c>
      <c r="D13" s="9">
        <f>(((D6*0.00314)*0.35)*'Технический лист'!$O$9)+D12</f>
        <v>1009.6196784999998</v>
      </c>
      <c r="E13" s="9">
        <f>(((E6*0.00314)*0.35)*'Технический лист'!$O$9)+E12</f>
        <v>1056.3736259999998</v>
      </c>
      <c r="F13" s="9">
        <f>(((F6*0.00314)*0.35)*'Технический лист'!$O$9)+F12</f>
        <v>1103.3823064999999</v>
      </c>
      <c r="G13" s="9">
        <f>(((G6*0.00314)*0.35)*'Технический лист'!$O$9)+G12</f>
        <v>1150.6457199999998</v>
      </c>
      <c r="H13" s="9">
        <f>(((H6*0.00314)*0.35)*'Технический лист'!$O$9)+H12</f>
        <v>1245.9367459999999</v>
      </c>
      <c r="I13" s="9">
        <f>(((I6*0.00314)*0.35)*'Технический лист'!$O$9)+I12</f>
        <v>1342.2467039999997</v>
      </c>
      <c r="J13" s="9">
        <f>(((J6*0.00314)*0.35)*'Технический лист'!$O$9)+J12</f>
        <v>1439.5755939999999</v>
      </c>
      <c r="K13" s="9">
        <f>(((K6*0.00314)*0.35)*'Технический лист'!$O$9)+K12</f>
        <v>1637.2901699999998</v>
      </c>
      <c r="L13" s="9">
        <f>(((L6*0.00314)*0.35)*'Технический лист'!$O$9)+L12</f>
        <v>1839.0804739999999</v>
      </c>
      <c r="M13" s="9">
        <f>(((M6*0.00314)*0.35)*'Технический лист'!$O$9)+M12</f>
        <v>2044.9465059999998</v>
      </c>
      <c r="N13" s="9">
        <f>(((N6*0.00314)*0.35)*'Технический лист'!$O$9)+N12</f>
        <v>2361.3875440000002</v>
      </c>
      <c r="O13" s="9">
        <f>(((O6*0.00314)*0.35)*'Технический лист'!$O$9)+O12</f>
        <v>2468.9057539999994</v>
      </c>
      <c r="P13" s="9">
        <f>(((P6*0.00314)*0.35)*'Технический лист'!$O$9)+P12</f>
        <v>2577.442896</v>
      </c>
      <c r="Q13" s="9">
        <f>(((Q6*0.00314)*0.35)*'Технический лист'!$O$9)+Q12</f>
        <v>2686.9989699999996</v>
      </c>
      <c r="R13" s="9">
        <f>(((R6*0.00314)*0.35)*'Технический лист'!$O$9)+R12</f>
        <v>2797.5739759999997</v>
      </c>
      <c r="S13" s="9">
        <f>(((S6*0.00314)*0.35)*'Технический лист'!$O$9)+S12</f>
        <v>2909.1679139999997</v>
      </c>
      <c r="T13" s="9">
        <f>(((T6*0.00314)*0.35)*'Технический лист'!$O$9)+T12</f>
        <v>3021.7807839999996</v>
      </c>
      <c r="U13" s="9">
        <f>(((U6*0.00314)*0.35)*'Технический лист'!$O$9)+U12</f>
        <v>3135.4125859999999</v>
      </c>
      <c r="V13" s="9">
        <f>(((V6*0.00314)*0.35)*'Технический лист'!$O$9)+V12</f>
        <v>3250.0633199999997</v>
      </c>
      <c r="W13" s="9">
        <f>(((W6*0.00314)*0.35)*'Технический лист'!$O$9)+W12</f>
        <v>3365.7329859999995</v>
      </c>
      <c r="X13" s="9">
        <f>(((X6*0.00314)*0.35)*'Технический лист'!$O$9)+X12</f>
        <v>3482.4215839999997</v>
      </c>
    </row>
    <row r="14" spans="1:30" hidden="1">
      <c r="A14" s="4" t="s">
        <v>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</row>
    <row r="15" spans="1:30">
      <c r="A15" s="4" t="s">
        <v>75</v>
      </c>
      <c r="B15" s="9">
        <f>(((B6*0.00314)*((B6+500)/1000)*'Технический лист'!$K$7))*2.3</f>
        <v>968.55686399999979</v>
      </c>
      <c r="C15" s="9">
        <f>(((C6*0.00314)*((C6+500)/1000)*'Технический лист'!$K$7))*2.3</f>
        <v>1083.1694262399997</v>
      </c>
      <c r="D15" s="9">
        <f>(((D6*0.00314)*((D6+500)/1000)*'Технический лист'!$K$7))*2.3</f>
        <v>1141.6864034399998</v>
      </c>
      <c r="E15" s="9">
        <f>(((E6*0.00314)*((E6+500)/1000)*'Технический лист'!$K$7))*2.3</f>
        <v>1201.0105113599998</v>
      </c>
      <c r="F15" s="9">
        <f>(((F6*0.00314)*((F6+500)/1000)*'Технический лист'!$K$7))*2.3</f>
        <v>1261.1417499999998</v>
      </c>
      <c r="G15" s="9">
        <f>(((G6*0.00314)*((G6+500)/1000)*'Технический лист'!$K$7))*2.3</f>
        <v>1322.0801193599998</v>
      </c>
      <c r="H15" s="9">
        <f>(((H6*0.00314)*((H6+500)/1000)*'Технический лист'!$K$7))*2.3</f>
        <v>1446.3782502399997</v>
      </c>
      <c r="I15" s="9">
        <f>(((I6*0.00314)*((I6+500)/1000)*'Технический лист'!$K$7))*2.3</f>
        <v>1573.9049039999995</v>
      </c>
      <c r="J15" s="9">
        <f>(((J6*0.00314)*((J6+500)/1000)*'Технический лист'!$K$7))*2.3</f>
        <v>1704.6600806399995</v>
      </c>
      <c r="K15" s="9">
        <f>(((K6*0.00314)*((K6+500)/1000)*'Технический лист'!$K$7))*2.3</f>
        <v>1975.8560025600002</v>
      </c>
      <c r="L15" s="9">
        <f>(((L6*0.00314)*((L6+500)/1000)*'Технический лист'!$K$7))*2.3</f>
        <v>2259.9660159999994</v>
      </c>
      <c r="M15" s="9">
        <f>(((M6*0.00314)*((M6+500)/1000)*'Технический лист'!$K$7))*2.3</f>
        <v>2556.9901209599998</v>
      </c>
      <c r="N15" s="9">
        <f>(((N6*0.00314)*((N6+500)/1000)*'Технический лист'!$K$7))*2.3</f>
        <v>3026.7401999999997</v>
      </c>
      <c r="O15" s="9">
        <f>(((O6*0.00314)*((O6+500)/1000)*'Технический лист'!$K$7))*2.3</f>
        <v>3189.7806054399998</v>
      </c>
      <c r="P15" s="9">
        <f>(((P6*0.00314)*((P6+500)/1000)*'Технический лист'!$K$7))*2.3</f>
        <v>3356.0495337599996</v>
      </c>
      <c r="Q15" s="9">
        <f>(((Q6*0.00314)*((Q6+500)/1000)*'Технический лист'!$K$7))*2.3</f>
        <v>3525.5469849599995</v>
      </c>
      <c r="R15" s="9">
        <f>(((R6*0.00314)*((R6+500)/1000)*'Технический лист'!$K$7))*2.3</f>
        <v>3698.2729590399995</v>
      </c>
      <c r="S15" s="9">
        <f>(((S6*0.00314)*((S6+500)/1000)*'Технический лист'!$K$7))*2.3</f>
        <v>3874.2274559999996</v>
      </c>
      <c r="T15" s="9">
        <f>(((T6*0.00314)*((T6+500)/1000)*'Технический лист'!$K$7))*2.3</f>
        <v>4053.4104758399999</v>
      </c>
      <c r="U15" s="9">
        <f>(((U6*0.00314)*((U6+500)/1000)*'Технический лист'!$K$7))*2.3</f>
        <v>4235.8220185599985</v>
      </c>
      <c r="V15" s="9">
        <f>(((V6*0.00314)*((V6+500)/1000)*'Технический лист'!$K$7))*2.3</f>
        <v>4421.462084159999</v>
      </c>
      <c r="W15" s="9">
        <f>(((W6*0.00314)*((W6+500)/1000)*'Технический лист'!$K$7))*2.3</f>
        <v>4610.3306726399987</v>
      </c>
      <c r="X15" s="9">
        <f>(((X6*0.00314)*((X6+500)/1000)*'Технический лист'!$K$7))*2.3</f>
        <v>4802.4277839999986</v>
      </c>
    </row>
    <row r="16" spans="1:30" ht="0.75" hidden="1" customHeight="1">
      <c r="A16" s="4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28">
      <c r="A17" s="4" t="s">
        <v>76</v>
      </c>
      <c r="B17" s="9">
        <f>((((B6*0.00314)*0.18)*'Технический лист'!$O$9)+((((B6+100)/1000)*((B6+100)/1000))*3)*'Технический лист'!$I$7)*2.45</f>
        <v>944.21016480000014</v>
      </c>
      <c r="C17" s="9">
        <f>((((C6*0.00314)*0.18)*'Технический лист'!$O$9)+((((C6+100)/1000)*((C6+100)/1000))*3)*'Технический лист'!$I$7)*2.45</f>
        <v>1040.1417532799999</v>
      </c>
      <c r="D17" s="9">
        <f>((((D6*0.00314)*0.18)*'Технический лист'!$O$9)+((((D6+100)/1000)*((D6+100)/1000))*3)*'Технический лист'!$I$7)*2.45</f>
        <v>1089.2404765199999</v>
      </c>
      <c r="E17" s="9">
        <f>((((E6*0.00314)*0.18)*'Технический лист'!$O$9)+((((E6+100)/1000)*((E6+100)/1000))*3)*'Технический лист'!$I$7)*2.45</f>
        <v>1139.0944857599998</v>
      </c>
      <c r="F17" s="9">
        <f>((((F6*0.00314)*0.18)*'Технический лист'!$O$9)+((((F6+100)/1000)*((F6+100)/1000))*3)*'Технический лист'!$I$7)*2.45</f>
        <v>1189.7037809999999</v>
      </c>
      <c r="G17" s="9">
        <f>((((G6*0.00314)*0.18)*'Технический лист'!$O$9)+((((G6+100)/1000)*((G6+100)/1000))*3)*'Технический лист'!$I$7)*2.45</f>
        <v>1241.0683622400002</v>
      </c>
      <c r="H17" s="9">
        <f>((((H6*0.00314)*0.18)*'Технический лист'!$O$9)+((((H6+100)/1000)*((H6+100)/1000))*3)*'Технический лист'!$I$7)*2.45</f>
        <v>1346.0633827199999</v>
      </c>
      <c r="I17" s="9">
        <f>((((I6*0.00314)*0.18)*'Технический лист'!$O$9)+((((I6+100)/1000)*((I6+100)/1000))*3)*'Технический лист'!$I$7)*2.45</f>
        <v>1454.0795472</v>
      </c>
      <c r="J17" s="9">
        <f>((((J6*0.00314)*0.18)*'Технический лист'!$O$9)+((((J6+100)/1000)*((J6+100)/1000))*3)*'Технический лист'!$I$7)*2.45</f>
        <v>1565.1168556800001</v>
      </c>
      <c r="K17" s="9">
        <f>((((K6*0.00314)*0.18)*'Технический лист'!$O$9)+((((K6+100)/1000)*((K6+100)/1000))*3)*'Технический лист'!$I$7)*2.45</f>
        <v>1796.2549046400002</v>
      </c>
      <c r="L17" s="9">
        <f>((((L6*0.00314)*0.18)*'Технический лист'!$O$9)+((((L6+100)/1000)*((L6+100)/1000))*3)*'Технический лист'!$I$7)*2.45</f>
        <v>2039.4775296</v>
      </c>
      <c r="M17" s="9">
        <f>((((M6*0.00314)*0.18)*'Технический лист'!$O$9)+((((M6+100)/1000)*((M6+100)/1000))*3)*'Технический лист'!$I$7)*2.45</f>
        <v>2294.7847305600003</v>
      </c>
      <c r="N17" s="9">
        <f>((((N6*0.00314)*0.18)*'Технический лист'!$O$9)+((((N6+100)/1000)*((N6+100)/1000))*3)*'Технический лист'!$I$7)*2.45</f>
        <v>2700.4041119999997</v>
      </c>
      <c r="O17" s="9">
        <f>((((O6*0.00314)*0.18)*'Технический лист'!$O$9)+((((O6+100)/1000)*((O6+100)/1000))*3)*'Технический лист'!$I$7)*2.45</f>
        <v>2841.6528604800001</v>
      </c>
      <c r="P17" s="9">
        <f>((((P6*0.00314)*0.18)*'Технический лист'!$O$9)+((((P6+100)/1000)*((P6+100)/1000))*3)*'Технический лист'!$I$7)*2.45</f>
        <v>2985.9227529599993</v>
      </c>
      <c r="Q17" s="9">
        <f>((((Q6*0.00314)*0.18)*'Технический лист'!$O$9)+((((Q6+100)/1000)*((Q6+100)/1000))*3)*'Технический лист'!$I$7)*2.45</f>
        <v>3133.2137894399998</v>
      </c>
      <c r="R17" s="9">
        <f>((((R6*0.00314)*0.18)*'Технический лист'!$O$9)+((((R6+100)/1000)*((R6+100)/1000))*3)*'Технический лист'!$I$7)*2.45</f>
        <v>3283.5259699200001</v>
      </c>
      <c r="S17" s="9">
        <f>((((S6*0.00314)*0.18)*'Технический лист'!$O$9)+((((S6+100)/1000)*((S6+100)/1000))*3)*'Технический лист'!$I$7)*2.45</f>
        <v>3436.8592944000002</v>
      </c>
      <c r="T17" s="9">
        <f>((((T6*0.00314)*0.18)*'Технический лист'!$O$9)+((((T6+100)/1000)*((T6+100)/1000))*3)*'Технический лист'!$I$7)*2.45</f>
        <v>3593.2137628800001</v>
      </c>
      <c r="U17" s="9">
        <f>((((U6*0.00314)*0.18)*'Технический лист'!$O$9)+((((U6+100)/1000)*((U6+100)/1000))*3)*'Технический лист'!$I$7)*2.45</f>
        <v>3752.5893753599989</v>
      </c>
      <c r="V17" s="9">
        <f>((((V6*0.00314)*0.18)*'Технический лист'!$O$9)+((((V6+100)/1000)*((V6+100)/1000))*3)*'Технический лист'!$I$7)*2.45</f>
        <v>3914.9861318399999</v>
      </c>
      <c r="W17" s="9">
        <f>((((W6*0.00314)*0.18)*'Технический лист'!$O$9)+((((W6+100)/1000)*((W6+100)/1000))*3)*'Технический лист'!$I$7)*2.45</f>
        <v>4080.4040323199997</v>
      </c>
      <c r="X17" s="9">
        <f>((((X6*0.00314)*0.18)*'Технический лист'!$O$9)+((((X6+100)/1000)*((X6+100)/1000))*3)*'Технический лист'!$I$7)*2.45</f>
        <v>4248.8430767999998</v>
      </c>
    </row>
    <row r="18" spans="1:28">
      <c r="A18" s="4" t="s">
        <v>100</v>
      </c>
      <c r="B18" s="9">
        <v>960</v>
      </c>
      <c r="C18" s="9">
        <v>960</v>
      </c>
      <c r="D18" s="9">
        <v>960</v>
      </c>
      <c r="E18" s="9">
        <v>960</v>
      </c>
      <c r="F18" s="9">
        <v>960</v>
      </c>
      <c r="G18" s="9">
        <v>960</v>
      </c>
      <c r="H18" s="9">
        <v>960</v>
      </c>
      <c r="I18" s="9">
        <v>960</v>
      </c>
      <c r="J18" s="9">
        <v>960</v>
      </c>
      <c r="K18" s="9">
        <v>960</v>
      </c>
      <c r="L18" s="9">
        <v>960</v>
      </c>
      <c r="M18" s="9">
        <v>960</v>
      </c>
      <c r="N18" s="9">
        <v>960</v>
      </c>
      <c r="O18" s="9">
        <v>960</v>
      </c>
      <c r="P18" s="9">
        <v>960</v>
      </c>
      <c r="Q18" s="9">
        <v>960</v>
      </c>
      <c r="R18" s="9">
        <v>960</v>
      </c>
      <c r="S18" s="9">
        <v>960</v>
      </c>
      <c r="T18" s="9">
        <v>960</v>
      </c>
      <c r="U18" s="9">
        <v>960</v>
      </c>
      <c r="V18" s="9">
        <v>960</v>
      </c>
      <c r="W18" s="9">
        <v>960</v>
      </c>
      <c r="X18" s="9">
        <v>960</v>
      </c>
    </row>
    <row r="20" spans="1:28">
      <c r="A20" s="41" t="s">
        <v>82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1" t="s">
        <v>82</v>
      </c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</row>
    <row r="21" spans="1:28">
      <c r="A21" s="3" t="s">
        <v>79</v>
      </c>
      <c r="B21" s="10">
        <v>100</v>
      </c>
      <c r="C21" s="10">
        <v>110</v>
      </c>
      <c r="D21" s="10">
        <v>115</v>
      </c>
      <c r="E21" s="10">
        <v>120</v>
      </c>
      <c r="F21" s="10">
        <v>125</v>
      </c>
      <c r="G21" s="10">
        <v>130</v>
      </c>
      <c r="H21" s="10">
        <v>140</v>
      </c>
      <c r="I21" s="10">
        <v>150</v>
      </c>
      <c r="J21" s="10">
        <v>160</v>
      </c>
      <c r="K21" s="10">
        <v>180</v>
      </c>
      <c r="L21" s="10">
        <v>200</v>
      </c>
      <c r="M21" s="10">
        <v>220</v>
      </c>
      <c r="N21" s="10">
        <v>250</v>
      </c>
      <c r="O21" s="10">
        <v>260</v>
      </c>
      <c r="P21" s="10">
        <v>270</v>
      </c>
      <c r="Q21" s="10">
        <v>280</v>
      </c>
      <c r="R21" s="10">
        <v>290</v>
      </c>
      <c r="S21" s="10">
        <v>300</v>
      </c>
      <c r="T21" s="10">
        <v>310</v>
      </c>
      <c r="U21" s="10">
        <v>320</v>
      </c>
      <c r="V21" s="10">
        <v>330</v>
      </c>
      <c r="W21" s="10">
        <v>340</v>
      </c>
      <c r="X21" s="10">
        <v>350</v>
      </c>
    </row>
    <row r="22" spans="1:28" hidden="1">
      <c r="A22" s="3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</row>
    <row r="23" spans="1:28">
      <c r="A23" s="4" t="s">
        <v>69</v>
      </c>
      <c r="B23" s="16">
        <f>((B21*0.00314)*'Технический лист'!$G$8)*2</f>
        <v>1292.7012987012986</v>
      </c>
      <c r="C23" s="16">
        <f>((C21*0.00314)*'Технический лист'!$G$8)*2</f>
        <v>1421.9714285714283</v>
      </c>
      <c r="D23" s="16">
        <f>((D21*0.00314)*'Технический лист'!$G$8)*2</f>
        <v>1486.6064935064933</v>
      </c>
      <c r="E23" s="16">
        <f>((E21*0.00314)*'Технический лист'!$G$8)*2</f>
        <v>1551.2415584415585</v>
      </c>
      <c r="F23" s="16">
        <f>((F21*0.00314)*'Технический лист'!$G$8)*2</f>
        <v>1615.8766233766232</v>
      </c>
      <c r="G23" s="16">
        <f>((G21*0.00314)*'Технический лист'!$G$8)*2</f>
        <v>1680.5116883116882</v>
      </c>
      <c r="H23" s="16">
        <f>((H21*0.00314)*'Технический лист'!$G$8)*2</f>
        <v>1809.7818181818179</v>
      </c>
      <c r="I23" s="16">
        <f>((I21*0.00314)*'Технический лист'!$G$8)*2</f>
        <v>1939.0519480519479</v>
      </c>
      <c r="J23" s="16">
        <f>((J21*0.00314)*'Технический лист'!$G$8)*2</f>
        <v>2068.3220779220778</v>
      </c>
      <c r="K23" s="16">
        <f>((K21*0.00314)*'Технический лист'!$G$8)*2</f>
        <v>2326.8623376623377</v>
      </c>
      <c r="L23" s="16">
        <f>((L21*0.00314)*'Технический лист'!$G$8)*2</f>
        <v>2585.4025974025972</v>
      </c>
      <c r="M23" s="16">
        <f>((M21*0.00314)*'Технический лист'!$G$8)*2</f>
        <v>2843.9428571428566</v>
      </c>
      <c r="N23" s="16">
        <f>((N21*0.00314)*'Технический лист'!$G$8)*2</f>
        <v>3231.7532467532465</v>
      </c>
      <c r="O23" s="16">
        <f>((O21*0.00314)*'Технический лист'!$G$8)*2</f>
        <v>3361.0233766233764</v>
      </c>
      <c r="P23" s="16">
        <f>((P21*0.00314)*'Технический лист'!$G$8)*2</f>
        <v>3490.2935064935064</v>
      </c>
      <c r="Q23" s="16">
        <f>((Q21*0.00314)*'Технический лист'!$G$8)*2</f>
        <v>3619.5636363636359</v>
      </c>
      <c r="R23" s="16">
        <f>((R21*0.00314)*'Технический лист'!$G$8)*2</f>
        <v>3748.8337662337658</v>
      </c>
      <c r="S23" s="16">
        <f>((S21*0.00314)*'Технический лист'!$G$8)*2</f>
        <v>3878.1038961038957</v>
      </c>
      <c r="T23" s="16">
        <f>((T21*0.00314)*'Технический лист'!$G$8)*2</f>
        <v>4007.3740259740257</v>
      </c>
      <c r="U23" s="16">
        <f>((U21*0.00314)*'Технический лист'!$G$8)*2</f>
        <v>4136.6441558441556</v>
      </c>
      <c r="V23" s="16">
        <f>((V21*0.00314)*'Технический лист'!$G$8)*2</f>
        <v>4265.9142857142851</v>
      </c>
      <c r="W23" s="16">
        <f>((W21*0.00314)*'Технический лист'!$G$8)*2</f>
        <v>4395.1844155844155</v>
      </c>
      <c r="X23" s="16">
        <f>((X21*0.00314)*'Технический лист'!$G$8)*2</f>
        <v>4524.454545454545</v>
      </c>
    </row>
    <row r="24" spans="1:28">
      <c r="A24" s="4" t="s">
        <v>70</v>
      </c>
      <c r="B24" s="9">
        <f>((B23/2)*1.07)-10</f>
        <v>681.59519480519475</v>
      </c>
      <c r="C24" s="9">
        <f t="shared" ref="C24:N24" si="6">((C23/2)*1.07)-10</f>
        <v>750.75471428571416</v>
      </c>
      <c r="D24" s="9">
        <f t="shared" si="6"/>
        <v>785.33447402597392</v>
      </c>
      <c r="E24" s="9">
        <f t="shared" si="6"/>
        <v>819.91423376623379</v>
      </c>
      <c r="F24" s="9">
        <f t="shared" si="6"/>
        <v>854.49399350649344</v>
      </c>
      <c r="G24" s="9">
        <f t="shared" si="6"/>
        <v>889.0737532467532</v>
      </c>
      <c r="H24" s="9">
        <f t="shared" si="6"/>
        <v>958.23327272727261</v>
      </c>
      <c r="I24" s="9">
        <f t="shared" si="6"/>
        <v>1027.3927922077921</v>
      </c>
      <c r="J24" s="9">
        <f t="shared" si="6"/>
        <v>1096.5523116883116</v>
      </c>
      <c r="K24" s="9">
        <f t="shared" si="6"/>
        <v>1234.8713506493507</v>
      </c>
      <c r="L24" s="9">
        <f t="shared" si="6"/>
        <v>1373.1903896103895</v>
      </c>
      <c r="M24" s="9">
        <f t="shared" si="6"/>
        <v>1511.5094285714283</v>
      </c>
      <c r="N24" s="9">
        <f t="shared" si="6"/>
        <v>1718.9879870129869</v>
      </c>
      <c r="O24" s="9">
        <f t="shared" ref="O24:X24" si="7">((O23/2)*1.07)-10</f>
        <v>1788.1475064935064</v>
      </c>
      <c r="P24" s="9">
        <f t="shared" si="7"/>
        <v>1857.3070259740259</v>
      </c>
      <c r="Q24" s="9">
        <f t="shared" si="7"/>
        <v>1926.4665454545452</v>
      </c>
      <c r="R24" s="9">
        <f t="shared" si="7"/>
        <v>1995.6260649350647</v>
      </c>
      <c r="S24" s="9">
        <f t="shared" si="7"/>
        <v>2064.7855844155843</v>
      </c>
      <c r="T24" s="9">
        <f t="shared" si="7"/>
        <v>2133.9451038961038</v>
      </c>
      <c r="U24" s="9">
        <f t="shared" si="7"/>
        <v>2203.1046233766233</v>
      </c>
      <c r="V24" s="9">
        <f t="shared" si="7"/>
        <v>2272.2641428571428</v>
      </c>
      <c r="W24" s="9">
        <f t="shared" si="7"/>
        <v>2341.4236623376623</v>
      </c>
      <c r="X24" s="9">
        <f t="shared" si="7"/>
        <v>2410.5831818181819</v>
      </c>
    </row>
    <row r="25" spans="1:28">
      <c r="A25" s="4" t="s">
        <v>71</v>
      </c>
      <c r="B25" s="16">
        <f>(((B21*0.00314)*0.55)*'Технический лист'!$I$8)*2.05</f>
        <v>1036.7708071428572</v>
      </c>
      <c r="C25" s="16">
        <f>(((C21*0.00314)*0.55)*'Технический лист'!$I$8)*2.05</f>
        <v>1140.4478878571429</v>
      </c>
      <c r="D25" s="16">
        <f>(((D21*0.00314)*0.55)*'Технический лист'!$I$8)*2.05</f>
        <v>1192.2864282142857</v>
      </c>
      <c r="E25" s="16">
        <f>(((E21*0.00314)*0.55)*'Технический лист'!$I$8)*2.05</f>
        <v>1244.1249685714288</v>
      </c>
      <c r="F25" s="16">
        <f>(((F21*0.00314)*0.55)*'Технический лист'!$I$8)*2.05</f>
        <v>1295.9635089285716</v>
      </c>
      <c r="G25" s="16">
        <f>(((G21*0.00314)*0.55)*'Технический лист'!$I$8)*2.05</f>
        <v>1347.8020492857142</v>
      </c>
      <c r="H25" s="16">
        <f>(((H21*0.00314)*0.55)*'Технический лист'!$I$8)*2.05</f>
        <v>1451.4791299999999</v>
      </c>
      <c r="I25" s="16">
        <f>(((I21*0.00314)*0.55)*'Технический лист'!$I$8)*2.05</f>
        <v>1555.1562107142854</v>
      </c>
      <c r="J25" s="16">
        <f>(((J21*0.00314)*0.55)*'Технический лист'!$I$8)*2.05</f>
        <v>1658.8332914285711</v>
      </c>
      <c r="K25" s="16">
        <f>(((K21*0.00314)*0.55)*'Технический лист'!$I$8)*2.05</f>
        <v>1866.1874528571427</v>
      </c>
      <c r="L25" s="16">
        <f>(((L21*0.00314)*0.55)*'Технический лист'!$I$8)*2.05</f>
        <v>2073.5416142857143</v>
      </c>
      <c r="M25" s="16">
        <f>(((M21*0.00314)*0.55)*'Технический лист'!$I$8)*2.05</f>
        <v>2280.8957757142857</v>
      </c>
      <c r="N25" s="16">
        <f>(((N21*0.00314)*0.55)*'Технический лист'!$I$8)*2.05</f>
        <v>2591.9270178571433</v>
      </c>
      <c r="O25" s="16">
        <f>(((O21*0.00314)*0.55)*'Технический лист'!$I$8)*2.05</f>
        <v>2695.6040985714285</v>
      </c>
      <c r="P25" s="16">
        <f>(((P21*0.00314)*0.55)*'Технический лист'!$I$8)*2.05</f>
        <v>2799.2811792857137</v>
      </c>
      <c r="Q25" s="16">
        <f>(((Q21*0.00314)*0.55)*'Технический лист'!$I$8)*2.05</f>
        <v>2902.9582599999999</v>
      </c>
      <c r="R25" s="16">
        <f>(((R21*0.00314)*0.55)*'Технический лист'!$I$8)*2.05</f>
        <v>3006.6353407142851</v>
      </c>
      <c r="S25" s="16">
        <f>(((S21*0.00314)*0.55)*'Технический лист'!$I$8)*2.05</f>
        <v>3110.3124214285708</v>
      </c>
      <c r="T25" s="16">
        <f>(((T21*0.00314)*0.55)*'Технический лист'!$I$8)*2.05</f>
        <v>3213.9895021428565</v>
      </c>
      <c r="U25" s="16">
        <f>(((U21*0.00314)*0.55)*'Технический лист'!$I$8)*2.05</f>
        <v>3317.6665828571422</v>
      </c>
      <c r="V25" s="16">
        <f>(((V21*0.00314)*0.55)*'Технический лист'!$I$8)*2.05</f>
        <v>3421.3436635714279</v>
      </c>
      <c r="W25" s="16">
        <f>(((W21*0.00314)*0.55)*'Технический лист'!$I$8)*2.05</f>
        <v>3525.0207442857145</v>
      </c>
      <c r="X25" s="16">
        <f>(((X21*0.00314)*0.55)*'Технический лист'!$I$8)*2.05</f>
        <v>3628.6978249999997</v>
      </c>
    </row>
    <row r="26" spans="1:28">
      <c r="A26" s="4" t="s">
        <v>72</v>
      </c>
      <c r="B26" s="9">
        <f>((B25*2)/3)-6</f>
        <v>685.18053809523815</v>
      </c>
      <c r="C26" s="9">
        <f t="shared" ref="C26:N26" si="8">((C25*2)/3)-6</f>
        <v>754.29859190476191</v>
      </c>
      <c r="D26" s="9">
        <f t="shared" si="8"/>
        <v>788.85761880952384</v>
      </c>
      <c r="E26" s="9">
        <f t="shared" si="8"/>
        <v>823.41664571428589</v>
      </c>
      <c r="F26" s="9">
        <f t="shared" si="8"/>
        <v>857.97567261904771</v>
      </c>
      <c r="G26" s="9">
        <f t="shared" si="8"/>
        <v>892.53469952380954</v>
      </c>
      <c r="H26" s="9">
        <f t="shared" si="8"/>
        <v>961.65275333333329</v>
      </c>
      <c r="I26" s="9">
        <f t="shared" si="8"/>
        <v>1030.7708071428569</v>
      </c>
      <c r="J26" s="9">
        <f t="shared" si="8"/>
        <v>1099.8888609523808</v>
      </c>
      <c r="K26" s="9">
        <f t="shared" si="8"/>
        <v>1238.1249685714286</v>
      </c>
      <c r="L26" s="9">
        <f t="shared" si="8"/>
        <v>1376.3610761904763</v>
      </c>
      <c r="M26" s="9">
        <f t="shared" si="8"/>
        <v>1514.5971838095238</v>
      </c>
      <c r="N26" s="9">
        <f t="shared" si="8"/>
        <v>1721.9513452380954</v>
      </c>
      <c r="O26" s="9">
        <f t="shared" ref="O26:X26" si="9">((O25*2)/3)-6</f>
        <v>1791.0693990476191</v>
      </c>
      <c r="P26" s="9">
        <f t="shared" si="9"/>
        <v>1860.1874528571425</v>
      </c>
      <c r="Q26" s="9">
        <f t="shared" si="9"/>
        <v>1929.3055066666666</v>
      </c>
      <c r="R26" s="9">
        <f t="shared" si="9"/>
        <v>1998.42356047619</v>
      </c>
      <c r="S26" s="9">
        <f t="shared" si="9"/>
        <v>2067.5416142857139</v>
      </c>
      <c r="T26" s="9">
        <f t="shared" si="9"/>
        <v>2136.6596680952375</v>
      </c>
      <c r="U26" s="9">
        <f t="shared" si="9"/>
        <v>2205.7777219047616</v>
      </c>
      <c r="V26" s="9">
        <f t="shared" si="9"/>
        <v>2274.8957757142853</v>
      </c>
      <c r="W26" s="9">
        <f t="shared" si="9"/>
        <v>2344.0138295238098</v>
      </c>
      <c r="X26" s="9">
        <f t="shared" si="9"/>
        <v>2413.131883333333</v>
      </c>
    </row>
    <row r="27" spans="1:28">
      <c r="A27" s="4" t="s">
        <v>73</v>
      </c>
      <c r="B27" s="17">
        <f>(((((B21+30)*(B21+30))/1000000)*'Технический лист'!$M$8)+(B21*0.000942)*'Технический лист'!$E$20)*2.05</f>
        <v>883.59645779220773</v>
      </c>
      <c r="C27" s="17">
        <f>(((((C21+30)*(C21+30))/1000000)*'Технический лист'!$M$8)+(C21*0.000942)*'Технический лист'!$E$20)*2.05</f>
        <v>978.59918181818171</v>
      </c>
      <c r="D27" s="17">
        <f>(((((D21+30)*(D21+30))/1000000)*'Технический лист'!$M$8)+(D21*0.000942)*'Технический лист'!$E$20)*2.05</f>
        <v>1026.5938417207792</v>
      </c>
      <c r="E27" s="17">
        <f>(((((E21+30)*(E21+30))/1000000)*'Технический лист'!$M$8)+(E21*0.000942)*'Технический лист'!$E$20)*2.05</f>
        <v>1074.9173668831168</v>
      </c>
      <c r="F27" s="17">
        <f>(((((F21+30)*(F21+30))/1000000)*'Технический лист'!$M$8)+(F21*0.000942)*'Технический лист'!$E$20)*2.05</f>
        <v>1123.5697573051948</v>
      </c>
      <c r="G27" s="17">
        <f>(((((G21+30)*(G21+30))/1000000)*'Технический лист'!$M$8)+(G21*0.000942)*'Технический лист'!$E$20)*2.05</f>
        <v>1172.5510129870127</v>
      </c>
      <c r="H27" s="17">
        <f>(((((H21+30)*(H21+30))/1000000)*'Технический лист'!$M$8)+(H21*0.000942)*'Технический лист'!$E$20)*2.05</f>
        <v>1271.5001201298701</v>
      </c>
      <c r="I27" s="17">
        <f>(((((I21+30)*(I21+30))/1000000)*'Технический лист'!$M$8)+(I21*0.000942)*'Технический лист'!$E$20)*2.05</f>
        <v>1371.7646883116881</v>
      </c>
      <c r="J27" s="17">
        <f>(((((J21+30)*(J21+30))/1000000)*'Технический лист'!$M$8)+(J21*0.000942)*'Технический лист'!$E$20)*2.05</f>
        <v>1473.3447175324673</v>
      </c>
      <c r="K27" s="17">
        <f>(((((K21+30)*(K21+30))/1000000)*'Технический лист'!$M$8)+(K21*0.000942)*'Технический лист'!$E$20)*2.05</f>
        <v>1680.451159090909</v>
      </c>
      <c r="L27" s="17">
        <f>(((((L21+30)*(L21+30))/1000000)*'Технический лист'!$M$8)+(L21*0.000942)*'Технический лист'!$E$20)*2.05</f>
        <v>1892.8194448051947</v>
      </c>
      <c r="M27" s="17">
        <f>(((((M21+30)*(M21+30))/1000000)*'Технический лист'!$M$8)+(M21*0.000942)*'Технический лист'!$E$20)*2.05</f>
        <v>2110.4495746753246</v>
      </c>
      <c r="N27" s="17">
        <f>(((((N21+30)*(N21+30))/1000000)*'Технический лист'!$M$8)+(N21*0.000942)*'Технический лист'!$E$20)*2.05</f>
        <v>2446.7607272727273</v>
      </c>
      <c r="O27" s="17">
        <f>(((((O21+30)*(O21+30))/1000000)*'Технический лист'!$M$8)+(O21*0.000942)*'Технический лист'!$E$20)*2.05</f>
        <v>2561.4953668831167</v>
      </c>
      <c r="P27" s="17">
        <f>(((((P21+30)*(P21+30))/1000000)*'Технический лист'!$M$8)+(P21*0.000942)*'Технический лист'!$E$20)*2.05</f>
        <v>2677.5454675324672</v>
      </c>
      <c r="Q27" s="17">
        <f>(((((Q21+30)*(Q21+30))/1000000)*'Технический лист'!$M$8)+(Q21*0.000942)*'Технический лист'!$E$20)*2.05</f>
        <v>2794.9110292207788</v>
      </c>
      <c r="R27" s="17">
        <f>(((((R21+30)*(R21+30))/1000000)*'Технический лист'!$M$8)+(R21*0.000942)*'Технический лист'!$E$20)*2.05</f>
        <v>2913.5920519480514</v>
      </c>
      <c r="S27" s="17">
        <f>(((((S21+30)*(S21+30))/1000000)*'Технический лист'!$M$8)+(S21*0.000942)*'Технический лист'!$E$20)*2.05</f>
        <v>3033.5885357142856</v>
      </c>
      <c r="T27" s="17">
        <f>(((((T21+30)*(T21+30))/1000000)*'Технический лист'!$M$8)+(T21*0.000942)*'Технический лист'!$E$20)*2.05</f>
        <v>3154.90048051948</v>
      </c>
      <c r="U27" s="17">
        <f>(((((U21+30)*(U21+30))/1000000)*'Технический лист'!$M$8)+(U21*0.000942)*'Технический лист'!$E$20)*2.05</f>
        <v>3277.5278863636358</v>
      </c>
      <c r="V27" s="17">
        <f>(((((V21+30)*(V21+30))/1000000)*'Технический лист'!$M$8)+(V21*0.000942)*'Технический лист'!$E$20)*2.05</f>
        <v>3401.4707532467532</v>
      </c>
      <c r="W27" s="17">
        <f>(((((W21+30)*(W21+30))/1000000)*'Технический лист'!$M$8)+(W21*0.000942)*'Технический лист'!$E$20)*2.05</f>
        <v>3526.7290811688308</v>
      </c>
      <c r="X27" s="17">
        <f>(((((X21+30)*(X21+30))/1000000)*'Технический лист'!$M$8)+(X21*0.000942)*'Технический лист'!$E$20)*2.05</f>
        <v>3653.3028701298699</v>
      </c>
    </row>
    <row r="28" spans="1:28">
      <c r="A28" s="4" t="s">
        <v>74</v>
      </c>
      <c r="B28" s="9">
        <f>(((B21*0.00314)*0.35)*'Технический лист'!$O$8)+B27</f>
        <v>1208.7291850649349</v>
      </c>
      <c r="C28" s="9">
        <f>(((C21*0.00314)*0.35)*'Технический лист'!$O$8)+C27</f>
        <v>1336.2451818181817</v>
      </c>
      <c r="D28" s="9">
        <f>(((D21*0.00314)*0.35)*'Технический лист'!$O$8)+D27</f>
        <v>1400.4964780844157</v>
      </c>
      <c r="E28" s="9">
        <f>(((E21*0.00314)*0.35)*'Технический лист'!$O$8)+E27</f>
        <v>1465.0766396103895</v>
      </c>
      <c r="F28" s="9">
        <f>(((F21*0.00314)*0.35)*'Технический лист'!$O$8)+F27</f>
        <v>1529.9856663961039</v>
      </c>
      <c r="G28" s="9">
        <f>(((G21*0.00314)*0.35)*'Технический лист'!$O$8)+G27</f>
        <v>1595.223558441558</v>
      </c>
      <c r="H28" s="9">
        <f>(((H21*0.00314)*0.35)*'Технический лист'!$O$8)+H27</f>
        <v>1726.6859383116882</v>
      </c>
      <c r="I28" s="9">
        <f>(((I21*0.00314)*0.35)*'Технический лист'!$O$8)+I27</f>
        <v>1859.4637792207789</v>
      </c>
      <c r="J28" s="9">
        <f>(((J21*0.00314)*0.35)*'Технический лист'!$O$8)+J27</f>
        <v>1993.5570811688308</v>
      </c>
      <c r="K28" s="9">
        <f>(((K21*0.00314)*0.35)*'Технический лист'!$O$8)+K27</f>
        <v>2265.6900681818179</v>
      </c>
      <c r="L28" s="9">
        <f>(((L21*0.00314)*0.35)*'Технический лист'!$O$8)+L27</f>
        <v>2543.0848993506493</v>
      </c>
      <c r="M28" s="9">
        <f>(((M21*0.00314)*0.35)*'Технический лист'!$O$8)+M27</f>
        <v>2825.7415746753245</v>
      </c>
      <c r="N28" s="9">
        <f>(((N21*0.00314)*0.35)*'Технический лист'!$O$8)+N27</f>
        <v>3259.5925454545454</v>
      </c>
      <c r="O28" s="9">
        <f>(((O21*0.00314)*0.35)*'Технический лист'!$O$8)+O27</f>
        <v>3406.8404577922074</v>
      </c>
      <c r="P28" s="9">
        <f>(((P21*0.00314)*0.35)*'Технический лист'!$O$8)+P27</f>
        <v>3555.4038311688309</v>
      </c>
      <c r="Q28" s="9">
        <f>(((Q21*0.00314)*0.35)*'Технический лист'!$O$8)+Q27</f>
        <v>3705.2826655844151</v>
      </c>
      <c r="R28" s="9">
        <f>(((R21*0.00314)*0.35)*'Технический лист'!$O$8)+R27</f>
        <v>3856.4769610389603</v>
      </c>
      <c r="S28" s="9">
        <f>(((S21*0.00314)*0.35)*'Технический лист'!$O$8)+S27</f>
        <v>4008.9867175324671</v>
      </c>
      <c r="T28" s="9">
        <f>(((T21*0.00314)*0.35)*'Технический лист'!$O$8)+T27</f>
        <v>4162.811935064934</v>
      </c>
      <c r="U28" s="9">
        <f>(((U21*0.00314)*0.35)*'Технический лист'!$O$8)+U27</f>
        <v>4317.9526136363629</v>
      </c>
      <c r="V28" s="9">
        <f>(((V21*0.00314)*0.35)*'Технический лист'!$O$8)+V27</f>
        <v>4474.4087532467529</v>
      </c>
      <c r="W28" s="9">
        <f>(((W21*0.00314)*0.35)*'Технический лист'!$O$8)+W27</f>
        <v>4632.180353896103</v>
      </c>
      <c r="X28" s="9">
        <f>(((X21*0.00314)*0.35)*'Технический лист'!$O$8)+X27</f>
        <v>4791.2674155844152</v>
      </c>
    </row>
    <row r="29" spans="1:28" hidden="1">
      <c r="A29" s="4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</row>
    <row r="30" spans="1:28">
      <c r="A30" s="4" t="s">
        <v>75</v>
      </c>
      <c r="B30" s="9">
        <f>(((B21*0.00314)*((B21+500)/1000)*'Технический лист'!$K$8))*2.25</f>
        <v>1254.0833766233766</v>
      </c>
      <c r="C30" s="9">
        <f>(((C21*0.00314)*((C21+500)/1000)*'Технический лист'!$K$8))*2.25</f>
        <v>1402.4832428571426</v>
      </c>
      <c r="D30" s="9">
        <f>(((D21*0.00314)*((D21+500)/1000)*'Технический лист'!$K$8))*2.25</f>
        <v>1478.250780194805</v>
      </c>
      <c r="E30" s="9">
        <f>(((E21*0.00314)*((E21+500)/1000)*'Технический лист'!$K$8))*2.25</f>
        <v>1555.0633870129871</v>
      </c>
      <c r="F30" s="9">
        <f>(((F21*0.00314)*((F21+500)/1000)*'Технический лист'!$K$8))*2.25</f>
        <v>1632.9210633116882</v>
      </c>
      <c r="G30" s="9">
        <f>(((G21*0.00314)*((G21+500)/1000)*'Технический лист'!$K$8))*2.25</f>
        <v>1711.8238090909092</v>
      </c>
      <c r="H30" s="9">
        <f>(((H21*0.00314)*((H21+500)/1000)*'Технический лист'!$K$8))*2.25</f>
        <v>1872.7645090909089</v>
      </c>
      <c r="I30" s="9">
        <f>(((I21*0.00314)*((I21+500)/1000)*'Технический лист'!$K$8))*2.25</f>
        <v>2037.8854870129867</v>
      </c>
      <c r="J30" s="9">
        <f>(((J21*0.00314)*((J21+500)/1000)*'Технический лист'!$K$8))*2.25</f>
        <v>2207.1867428571427</v>
      </c>
      <c r="K30" s="9">
        <f>(((K21*0.00314)*((K21+500)/1000)*'Технический лист'!$K$8))*2.25</f>
        <v>2558.3300883116885</v>
      </c>
      <c r="L30" s="9">
        <f>(((L21*0.00314)*((L21+500)/1000)*'Технический лист'!$K$8))*2.25</f>
        <v>2926.1945454545453</v>
      </c>
      <c r="M30" s="9">
        <f>(((M21*0.00314)*((M21+500)/1000)*'Технический лист'!$K$8))*2.25</f>
        <v>3310.7801142857143</v>
      </c>
      <c r="N30" s="9">
        <f>(((N21*0.00314)*((N21+500)/1000)*'Технический лист'!$K$8))*2.25</f>
        <v>3919.0105519480521</v>
      </c>
      <c r="O30" s="9">
        <f>(((O21*0.00314)*((O21+500)/1000)*'Технический лист'!$K$8))*2.25</f>
        <v>4130.1145870129867</v>
      </c>
      <c r="P30" s="9">
        <f>(((P21*0.00314)*((P21+500)/1000)*'Технический лист'!$K$8))*2.25</f>
        <v>4345.3989000000001</v>
      </c>
      <c r="Q30" s="9">
        <f>(((Q21*0.00314)*((Q21+500)/1000)*'Технический лист'!$K$8))*2.25</f>
        <v>4564.8634909090915</v>
      </c>
      <c r="R30" s="9">
        <f>(((R21*0.00314)*((R21+500)/1000)*'Технический лист'!$K$8))*2.25</f>
        <v>4788.508359740259</v>
      </c>
      <c r="S30" s="9">
        <f>(((S21*0.00314)*((S21+500)/1000)*'Технический лист'!$K$8))*2.25</f>
        <v>5016.3335064935063</v>
      </c>
      <c r="T30" s="9">
        <f>(((T21*0.00314)*((T21+500)/1000)*'Технический лист'!$K$8))*2.25</f>
        <v>5248.3389311688316</v>
      </c>
      <c r="U30" s="9">
        <f>(((U21*0.00314)*((U21+500)/1000)*'Технический лист'!$K$8))*2.25</f>
        <v>5484.524633766232</v>
      </c>
      <c r="V30" s="9">
        <f>(((V21*0.00314)*((V21+500)/1000)*'Технический лист'!$K$8))*2.25</f>
        <v>5724.890614285714</v>
      </c>
      <c r="W30" s="9">
        <f>(((W21*0.00314)*((W21+500)/1000)*'Технический лист'!$K$8))*2.25</f>
        <v>5969.4368727272731</v>
      </c>
      <c r="X30" s="9">
        <f>(((X21*0.00314)*((X21+500)/1000)*'Технический лист'!$K$8))*2.25</f>
        <v>6218.1634090909083</v>
      </c>
    </row>
    <row r="31" spans="1:28" hidden="1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8">
      <c r="A32" s="4" t="s">
        <v>76</v>
      </c>
      <c r="B32" s="9">
        <f>((((B21*0.00314)*0.16)*'Технический лист'!$O$8)+((((B21+100)/1000)*((B21+100)/1000))*3)*'Технический лист'!$I$8)*2.27</f>
        <v>1135.1023563636365</v>
      </c>
      <c r="C32" s="9">
        <f>((((C21*0.00314)*0.16)*'Технический лист'!$O$8)+((((C21+100)/1000)*((C21+100)/1000))*3)*'Технический лист'!$I$8)*2.27</f>
        <v>1250.6068607012985</v>
      </c>
      <c r="D32" s="9">
        <f>((((D21*0.00314)*0.16)*'Технический лист'!$O$8)+((((D21+100)/1000)*((D21+100)/1000))*3)*'Технический лист'!$I$8)*2.27</f>
        <v>1309.8548143961036</v>
      </c>
      <c r="E32" s="9">
        <f>((((E21*0.00314)*0.16)*'Технический лист'!$O$8)+((((E21+100)/1000)*((E21+100)/1000))*3)*'Технический лист'!$I$8)*2.27</f>
        <v>1370.0999024415585</v>
      </c>
      <c r="F32" s="9">
        <f>((((F21*0.00314)*0.16)*'Технический лист'!$O$8)+((((F21+100)/1000)*((F21+100)/1000))*3)*'Технический лист'!$I$8)*2.27</f>
        <v>1431.3421248376624</v>
      </c>
      <c r="G32" s="9">
        <f>((((G21*0.00314)*0.16)*'Технический лист'!$O$8)+((((G21+100)/1000)*((G21+100)/1000))*3)*'Технический лист'!$I$8)*2.27</f>
        <v>1493.5814815844155</v>
      </c>
      <c r="H32" s="9">
        <f>((((H21*0.00314)*0.16)*'Технический лист'!$O$8)+((((H21+100)/1000)*((H21+100)/1000))*3)*'Технический лист'!$I$8)*2.27</f>
        <v>1621.0515981298699</v>
      </c>
      <c r="I32" s="9">
        <f>((((I21*0.00314)*0.16)*'Технический лист'!$O$8)+((((I21+100)/1000)*((I21+100)/1000))*3)*'Технический лист'!$I$8)*2.27</f>
        <v>1752.5102520779221</v>
      </c>
      <c r="J32" s="9">
        <f>((((J21*0.00314)*0.16)*'Технический лист'!$O$8)+((((J21+100)/1000)*((J21+100)/1000))*3)*'Технический лист'!$I$8)*2.27</f>
        <v>1887.9574434285714</v>
      </c>
      <c r="K32" s="9">
        <f>((((K21*0.00314)*0.16)*'Технический лист'!$O$8)+((((K21+100)/1000)*((K21+100)/1000))*3)*'Технический лист'!$I$8)*2.27</f>
        <v>2170.8174383376622</v>
      </c>
      <c r="L32" s="9">
        <f>((((L21*0.00314)*0.16)*'Технический лист'!$O$8)+((((L21+100)/1000)*((L21+100)/1000))*3)*'Технический лист'!$I$8)*2.27</f>
        <v>2469.6315828571433</v>
      </c>
      <c r="M32" s="9">
        <f>((((M21*0.00314)*0.16)*'Технический лист'!$O$8)+((((M21+100)/1000)*((M21+100)/1000))*3)*'Технический лист'!$I$8)*2.27</f>
        <v>2784.3998769870132</v>
      </c>
      <c r="N32" s="9">
        <f>((((N21*0.00314)*0.16)*'Технический лист'!$O$8)+((((N21+100)/1000)*((N21+100)/1000))*3)*'Технический лист'!$I$8)*2.27</f>
        <v>3286.4663487012981</v>
      </c>
      <c r="O32" s="9">
        <f>((((O21*0.00314)*0.16)*'Технический лист'!$O$8)+((((O21+100)/1000)*((O21+100)/1000))*3)*'Технический лист'!$I$8)*2.27</f>
        <v>3461.7989140779218</v>
      </c>
      <c r="P32" s="9">
        <f>((((P21*0.00314)*0.16)*'Технический лист'!$O$8)+((((P21+100)/1000)*((P21+100)/1000))*3)*'Технический лист'!$I$8)*2.27</f>
        <v>3641.1200168571422</v>
      </c>
      <c r="Q32" s="9">
        <f>((((Q21*0.00314)*0.16)*'Технический лист'!$O$8)+((((Q21+100)/1000)*((Q21+100)/1000))*3)*'Технический лист'!$I$8)*2.27</f>
        <v>3824.4296570389606</v>
      </c>
      <c r="R32" s="9">
        <f>((((R21*0.00314)*0.16)*'Технический лист'!$O$8)+((((R21+100)/1000)*((R21+100)/1000))*3)*'Технический лист'!$I$8)*2.27</f>
        <v>4011.727834623377</v>
      </c>
      <c r="S32" s="9">
        <f>((((S21*0.00314)*0.16)*'Технический лист'!$O$8)+((((S21+100)/1000)*((S21+100)/1000))*3)*'Технический лист'!$I$8)*2.27</f>
        <v>4203.0145496103905</v>
      </c>
      <c r="T32" s="9">
        <f>((((T21*0.00314)*0.16)*'Технический лист'!$O$8)+((((T21+100)/1000)*((T21+100)/1000))*3)*'Технический лист'!$I$8)*2.27</f>
        <v>4398.2898020000002</v>
      </c>
      <c r="U32" s="9">
        <f>((((U21*0.00314)*0.16)*'Технический лист'!$O$8)+((((U21+100)/1000)*((U21+100)/1000))*3)*'Технический лист'!$I$8)*2.27</f>
        <v>4597.553591792207</v>
      </c>
      <c r="V32" s="9">
        <f>((((V21*0.00314)*0.16)*'Технический лист'!$O$8)+((((V21+100)/1000)*((V21+100)/1000))*3)*'Технический лист'!$I$8)*2.27</f>
        <v>4800.8059189870128</v>
      </c>
      <c r="W32" s="9">
        <f>((((W21*0.00314)*0.16)*'Технический лист'!$O$8)+((((W21+100)/1000)*((W21+100)/1000))*3)*'Технический лист'!$I$8)*2.27</f>
        <v>5008.0467835844147</v>
      </c>
      <c r="X32" s="9">
        <f>((((X21*0.00314)*0.16)*'Технический лист'!$O$8)+((((X21+100)/1000)*((X21+100)/1000))*3)*'Технический лист'!$I$8)*2.27</f>
        <v>5219.2761855844155</v>
      </c>
    </row>
    <row r="33" spans="1:24">
      <c r="A33" s="4" t="s">
        <v>100</v>
      </c>
      <c r="B33" s="9">
        <v>1260</v>
      </c>
      <c r="C33" s="9">
        <v>1260</v>
      </c>
      <c r="D33" s="9">
        <v>1260</v>
      </c>
      <c r="E33" s="9">
        <v>1260</v>
      </c>
      <c r="F33" s="9">
        <v>1260</v>
      </c>
      <c r="G33" s="9">
        <v>1260</v>
      </c>
      <c r="H33" s="9">
        <v>1260</v>
      </c>
      <c r="I33" s="9">
        <v>1260</v>
      </c>
      <c r="J33" s="9">
        <v>1260</v>
      </c>
      <c r="K33" s="9">
        <v>1260</v>
      </c>
      <c r="L33" s="9">
        <v>1260</v>
      </c>
      <c r="M33" s="9">
        <v>1260</v>
      </c>
      <c r="N33" s="9">
        <v>1260</v>
      </c>
      <c r="O33" s="9">
        <v>1260</v>
      </c>
      <c r="P33" s="9">
        <v>1260</v>
      </c>
      <c r="Q33" s="9">
        <v>1260</v>
      </c>
      <c r="R33" s="9">
        <v>1260</v>
      </c>
      <c r="S33" s="9">
        <v>1260</v>
      </c>
      <c r="T33" s="9">
        <v>1260</v>
      </c>
      <c r="U33" s="9">
        <v>1260</v>
      </c>
      <c r="V33" s="9">
        <v>1260</v>
      </c>
      <c r="W33" s="9">
        <v>1260</v>
      </c>
      <c r="X33" s="9">
        <v>1260</v>
      </c>
    </row>
  </sheetData>
  <mergeCells count="8">
    <mergeCell ref="P5:AD5"/>
    <mergeCell ref="O20:AB20"/>
    <mergeCell ref="A20:N20"/>
    <mergeCell ref="A1:C1"/>
    <mergeCell ref="D1:O1"/>
    <mergeCell ref="D2:O2"/>
    <mergeCell ref="D3:O3"/>
    <mergeCell ref="A5:O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D33"/>
  <sheetViews>
    <sheetView zoomScale="80" zoomScaleNormal="80" workbookViewId="0">
      <selection activeCell="B33" sqref="B33:X33"/>
    </sheetView>
  </sheetViews>
  <sheetFormatPr defaultColWidth="6.6640625" defaultRowHeight="14.4"/>
  <cols>
    <col min="1" max="1" width="20.6640625" customWidth="1"/>
    <col min="2" max="24" width="6.33203125" customWidth="1"/>
  </cols>
  <sheetData>
    <row r="1" spans="1:30" ht="45" customHeight="1">
      <c r="A1" s="32"/>
      <c r="B1" s="32"/>
      <c r="C1" s="32"/>
      <c r="D1" s="40" t="s">
        <v>94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1"/>
      <c r="Q1" s="1"/>
    </row>
    <row r="2" spans="1:30" ht="15" customHeight="1">
      <c r="D2" s="34" t="s">
        <v>95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1"/>
    </row>
    <row r="3" spans="1:30" ht="15" customHeight="1">
      <c r="D3" s="34" t="s">
        <v>112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30" ht="2.25" customHeight="1"/>
    <row r="5" spans="1:30">
      <c r="A5" s="41" t="s">
        <v>84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 t="s">
        <v>84</v>
      </c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</row>
    <row r="6" spans="1:30">
      <c r="A6" s="3" t="s">
        <v>78</v>
      </c>
      <c r="B6" s="10">
        <v>100</v>
      </c>
      <c r="C6" s="10">
        <v>110</v>
      </c>
      <c r="D6" s="10">
        <v>115</v>
      </c>
      <c r="E6" s="10">
        <v>120</v>
      </c>
      <c r="F6" s="10">
        <v>125</v>
      </c>
      <c r="G6" s="10">
        <v>130</v>
      </c>
      <c r="H6" s="10">
        <v>140</v>
      </c>
      <c r="I6" s="10">
        <v>150</v>
      </c>
      <c r="J6" s="10">
        <v>160</v>
      </c>
      <c r="K6" s="10">
        <v>180</v>
      </c>
      <c r="L6" s="10">
        <v>200</v>
      </c>
      <c r="M6" s="10">
        <v>220</v>
      </c>
      <c r="N6" s="10">
        <v>250</v>
      </c>
      <c r="O6" s="10">
        <v>260</v>
      </c>
      <c r="P6" s="10">
        <v>270</v>
      </c>
      <c r="Q6" s="10">
        <v>280</v>
      </c>
      <c r="R6" s="10">
        <v>290</v>
      </c>
      <c r="S6" s="10">
        <v>300</v>
      </c>
      <c r="T6" s="10">
        <v>310</v>
      </c>
      <c r="U6" s="10">
        <v>320</v>
      </c>
      <c r="V6" s="10">
        <v>330</v>
      </c>
      <c r="W6" s="10">
        <v>340</v>
      </c>
      <c r="X6" s="10">
        <v>350</v>
      </c>
    </row>
    <row r="7" spans="1:30" hidden="1">
      <c r="A7" s="3" t="s">
        <v>1</v>
      </c>
      <c r="B7" s="10">
        <f>B6+70</f>
        <v>170</v>
      </c>
      <c r="C7" s="10">
        <f t="shared" ref="C7:N7" si="0">C6+70</f>
        <v>180</v>
      </c>
      <c r="D7" s="10">
        <f t="shared" si="0"/>
        <v>185</v>
      </c>
      <c r="E7" s="10">
        <f t="shared" si="0"/>
        <v>190</v>
      </c>
      <c r="F7" s="10">
        <f t="shared" si="0"/>
        <v>195</v>
      </c>
      <c r="G7" s="10">
        <f t="shared" si="0"/>
        <v>200</v>
      </c>
      <c r="H7" s="10">
        <f t="shared" si="0"/>
        <v>210</v>
      </c>
      <c r="I7" s="10">
        <f t="shared" si="0"/>
        <v>220</v>
      </c>
      <c r="J7" s="10">
        <f t="shared" si="0"/>
        <v>230</v>
      </c>
      <c r="K7" s="10">
        <f t="shared" si="0"/>
        <v>250</v>
      </c>
      <c r="L7" s="10">
        <f t="shared" si="0"/>
        <v>270</v>
      </c>
      <c r="M7" s="10">
        <f t="shared" si="0"/>
        <v>290</v>
      </c>
      <c r="N7" s="10">
        <f t="shared" si="0"/>
        <v>320</v>
      </c>
      <c r="O7" s="10">
        <f t="shared" ref="O7:X7" si="1">O6+70</f>
        <v>330</v>
      </c>
      <c r="P7" s="10">
        <f t="shared" si="1"/>
        <v>340</v>
      </c>
      <c r="Q7" s="10">
        <f t="shared" si="1"/>
        <v>350</v>
      </c>
      <c r="R7" s="10">
        <f t="shared" si="1"/>
        <v>360</v>
      </c>
      <c r="S7" s="10">
        <f t="shared" si="1"/>
        <v>370</v>
      </c>
      <c r="T7" s="10">
        <f t="shared" si="1"/>
        <v>380</v>
      </c>
      <c r="U7" s="10">
        <f t="shared" si="1"/>
        <v>390</v>
      </c>
      <c r="V7" s="10">
        <f t="shared" si="1"/>
        <v>400</v>
      </c>
      <c r="W7" s="10">
        <f t="shared" si="1"/>
        <v>410</v>
      </c>
      <c r="X7" s="10">
        <f t="shared" si="1"/>
        <v>420</v>
      </c>
    </row>
    <row r="8" spans="1:30">
      <c r="A8" s="4" t="s">
        <v>69</v>
      </c>
      <c r="B8" s="16">
        <f>(((B6*0.00314)*'Технический лист'!$G$9))*2.02</f>
        <v>986.43225600000005</v>
      </c>
      <c r="C8" s="16">
        <f>(((C6*0.00314)*'Технический лист'!$G$9))*2.02</f>
        <v>1085.0754815999999</v>
      </c>
      <c r="D8" s="16">
        <f>(((D6*0.00314)*'Технический лист'!$G$9))*2.02</f>
        <v>1134.3970944</v>
      </c>
      <c r="E8" s="16">
        <f>(((E6*0.00314)*'Технический лист'!$G$9))*2.02</f>
        <v>1183.7187072000002</v>
      </c>
      <c r="F8" s="16">
        <f>(((F6*0.00314)*'Технический лист'!$G$9))*2.02</f>
        <v>1233.0403200000001</v>
      </c>
      <c r="G8" s="16">
        <f>(((G6*0.00314)*'Технический лист'!$G$9))*2.02</f>
        <v>1282.3619328000002</v>
      </c>
      <c r="H8" s="16">
        <f>(((H6*0.00314)*'Технический лист'!$G$9))*2.02</f>
        <v>1381.0051584</v>
      </c>
      <c r="I8" s="16">
        <f>(((I6*0.00314)*'Технический лист'!$G$9))*2.02</f>
        <v>1479.6483839999999</v>
      </c>
      <c r="J8" s="16">
        <f>(((J6*0.00314)*'Технический лист'!$G$9))*2.02</f>
        <v>1578.2916095999999</v>
      </c>
      <c r="K8" s="16">
        <f>(((K6*0.00314)*'Технический лист'!$G$9))*2.02</f>
        <v>1775.5780608</v>
      </c>
      <c r="L8" s="16">
        <f>(((L6*0.00314)*'Технический лист'!$G$9))*2.02</f>
        <v>1972.8645120000001</v>
      </c>
      <c r="M8" s="16">
        <f>(((M6*0.00314)*'Технический лист'!$G$9))*2.02</f>
        <v>2170.1509631999998</v>
      </c>
      <c r="N8" s="16">
        <f>(((N6*0.00314)*'Технический лист'!$G$9))*2.02</f>
        <v>2466.0806400000001</v>
      </c>
      <c r="O8" s="16">
        <f>(((O6*0.00314)*'Технический лист'!$G$9))*2.02</f>
        <v>2564.7238656000004</v>
      </c>
      <c r="P8" s="16">
        <f>(((P6*0.00314)*'Технический лист'!$G$9))*2.02</f>
        <v>2663.3670912000002</v>
      </c>
      <c r="Q8" s="16">
        <f>(((Q6*0.00314)*'Технический лист'!$G$9))*2.02</f>
        <v>2762.0103168000001</v>
      </c>
      <c r="R8" s="16">
        <f>(((R6*0.00314)*'Технический лист'!$G$9))*2.02</f>
        <v>2860.6535423999999</v>
      </c>
      <c r="S8" s="16">
        <f>(((S6*0.00314)*'Технический лист'!$G$9))*2.02</f>
        <v>2959.2967679999997</v>
      </c>
      <c r="T8" s="16">
        <f>(((T6*0.00314)*'Технический лист'!$G$9))*2.02</f>
        <v>3057.9399936</v>
      </c>
      <c r="U8" s="16">
        <f>(((U6*0.00314)*'Технический лист'!$G$9))*2.02</f>
        <v>3156.5832191999998</v>
      </c>
      <c r="V8" s="16">
        <f>(((V6*0.00314)*'Технический лист'!$G$9))*2.02</f>
        <v>3255.2264448000001</v>
      </c>
      <c r="W8" s="16">
        <f>(((W6*0.00314)*'Технический лист'!$G$9))*2.02</f>
        <v>3353.8696704000004</v>
      </c>
      <c r="X8" s="16">
        <f>(((X6*0.00314)*'Технический лист'!$G$9))*2.02</f>
        <v>3452.5128960000002</v>
      </c>
    </row>
    <row r="9" spans="1:30">
      <c r="A9" s="4" t="s">
        <v>70</v>
      </c>
      <c r="B9" s="9">
        <f>((B8/2)*1.07)-10</f>
        <v>517.7412569600001</v>
      </c>
      <c r="C9" s="9">
        <f t="shared" ref="C9:N9" si="2">((C8/2)*1.07)-10</f>
        <v>570.51538265599993</v>
      </c>
      <c r="D9" s="9">
        <f t="shared" si="2"/>
        <v>596.90244550400007</v>
      </c>
      <c r="E9" s="9">
        <f t="shared" si="2"/>
        <v>623.2895083520001</v>
      </c>
      <c r="F9" s="9">
        <f t="shared" si="2"/>
        <v>649.67657120000013</v>
      </c>
      <c r="G9" s="9">
        <f t="shared" si="2"/>
        <v>676.06363404800015</v>
      </c>
      <c r="H9" s="9">
        <f t="shared" si="2"/>
        <v>728.8377597440001</v>
      </c>
      <c r="I9" s="9">
        <f t="shared" si="2"/>
        <v>781.61188543999992</v>
      </c>
      <c r="J9" s="9">
        <f t="shared" si="2"/>
        <v>834.38601113599998</v>
      </c>
      <c r="K9" s="9">
        <f t="shared" si="2"/>
        <v>939.93426252800009</v>
      </c>
      <c r="L9" s="9">
        <f t="shared" si="2"/>
        <v>1045.4825139200002</v>
      </c>
      <c r="M9" s="9">
        <f t="shared" si="2"/>
        <v>1151.0307653119999</v>
      </c>
      <c r="N9" s="9">
        <f t="shared" si="2"/>
        <v>1309.3531424000003</v>
      </c>
      <c r="O9" s="9">
        <f t="shared" ref="O9:X9" si="3">((O8/2)*1.07)-10</f>
        <v>1362.1272680960003</v>
      </c>
      <c r="P9" s="9">
        <f t="shared" si="3"/>
        <v>1414.9013937920001</v>
      </c>
      <c r="Q9" s="9">
        <f t="shared" si="3"/>
        <v>1467.6755194880002</v>
      </c>
      <c r="R9" s="9">
        <f t="shared" si="3"/>
        <v>1520.449645184</v>
      </c>
      <c r="S9" s="9">
        <f t="shared" si="3"/>
        <v>1573.2237708799998</v>
      </c>
      <c r="T9" s="9">
        <f t="shared" si="3"/>
        <v>1625.9978965760001</v>
      </c>
      <c r="U9" s="9">
        <f t="shared" si="3"/>
        <v>1678.772022272</v>
      </c>
      <c r="V9" s="9">
        <f t="shared" si="3"/>
        <v>1731.5461479680002</v>
      </c>
      <c r="W9" s="9">
        <f t="shared" si="3"/>
        <v>1784.3202736640003</v>
      </c>
      <c r="X9" s="9">
        <f t="shared" si="3"/>
        <v>1837.0943993600001</v>
      </c>
    </row>
    <row r="10" spans="1:30">
      <c r="A10" s="4" t="s">
        <v>71</v>
      </c>
      <c r="B10" s="16">
        <f>(((B6*0.00314)*0.55)*'Технический лист'!$I$9)*2.05</f>
        <v>823.20218199999999</v>
      </c>
      <c r="C10" s="16">
        <f>(((C6*0.00314)*0.55)*'Технический лист'!$I$9)*2.05</f>
        <v>905.52240019999988</v>
      </c>
      <c r="D10" s="16">
        <f>(((D6*0.00314)*0.55)*'Технический лист'!$I$9)*2.05</f>
        <v>946.68250929999988</v>
      </c>
      <c r="E10" s="16">
        <f>(((E6*0.00314)*0.55)*'Технический лист'!$I$9)*2.05</f>
        <v>987.84261839999999</v>
      </c>
      <c r="F10" s="16">
        <f>(((F6*0.00314)*0.55)*'Технический лист'!$I$9)*2.05</f>
        <v>1029.0027275</v>
      </c>
      <c r="G10" s="16">
        <f>(((G6*0.00314)*0.55)*'Технический лист'!$I$9)*2.05</f>
        <v>1070.1628366</v>
      </c>
      <c r="H10" s="16">
        <f>(((H6*0.00314)*0.55)*'Технический лист'!$I$9)*2.05</f>
        <v>1152.4830548</v>
      </c>
      <c r="I10" s="16">
        <f>(((I6*0.00314)*0.55)*'Технический лист'!$I$9)*2.05</f>
        <v>1234.8032729999998</v>
      </c>
      <c r="J10" s="16">
        <f>(((J6*0.00314)*0.55)*'Технический лист'!$I$9)*2.05</f>
        <v>1317.1234911999998</v>
      </c>
      <c r="K10" s="16">
        <f>(((K6*0.00314)*0.55)*'Технический лист'!$I$9)*2.05</f>
        <v>1481.7639276</v>
      </c>
      <c r="L10" s="16">
        <f>(((L6*0.00314)*0.55)*'Технический лист'!$I$9)*2.05</f>
        <v>1646.404364</v>
      </c>
      <c r="M10" s="16">
        <f>(((M6*0.00314)*0.55)*'Технический лист'!$I$9)*2.05</f>
        <v>1811.0448003999998</v>
      </c>
      <c r="N10" s="16">
        <f>(((N6*0.00314)*0.55)*'Технический лист'!$I$9)*2.05</f>
        <v>2058.005455</v>
      </c>
      <c r="O10" s="16">
        <f>(((O6*0.00314)*0.55)*'Технический лист'!$I$9)*2.05</f>
        <v>2140.3256732</v>
      </c>
      <c r="P10" s="16">
        <f>(((P6*0.00314)*0.55)*'Технический лист'!$I$9)*2.05</f>
        <v>2222.6458913999995</v>
      </c>
      <c r="Q10" s="16">
        <f>(((Q6*0.00314)*0.55)*'Технический лист'!$I$9)*2.05</f>
        <v>2304.9661096</v>
      </c>
      <c r="R10" s="16">
        <f>(((R6*0.00314)*0.55)*'Технический лист'!$I$9)*2.05</f>
        <v>2387.2863277999995</v>
      </c>
      <c r="S10" s="16">
        <f>(((S6*0.00314)*0.55)*'Технический лист'!$I$9)*2.05</f>
        <v>2469.6065459999995</v>
      </c>
      <c r="T10" s="16">
        <f>(((T6*0.00314)*0.55)*'Технический лист'!$I$9)*2.05</f>
        <v>2551.9267641999995</v>
      </c>
      <c r="U10" s="16">
        <f>(((U6*0.00314)*0.55)*'Технический лист'!$I$9)*2.05</f>
        <v>2634.2469823999995</v>
      </c>
      <c r="V10" s="16">
        <f>(((V6*0.00314)*0.55)*'Технический лист'!$I$9)*2.05</f>
        <v>2716.5672005999995</v>
      </c>
      <c r="W10" s="16">
        <f>(((W6*0.00314)*0.55)*'Технический лист'!$I$9)*2.05</f>
        <v>2798.8874188000004</v>
      </c>
      <c r="X10" s="16">
        <f>(((X6*0.00314)*0.55)*'Технический лист'!$I$9)*2.05</f>
        <v>2881.2076369999995</v>
      </c>
    </row>
    <row r="11" spans="1:30">
      <c r="A11" s="4" t="s">
        <v>72</v>
      </c>
      <c r="B11" s="9">
        <f>((B10*2)/3)-6</f>
        <v>542.8014546666667</v>
      </c>
      <c r="C11" s="9">
        <f t="shared" ref="C11:N11" si="4">((C10*2)/3)-6</f>
        <v>597.68160013333329</v>
      </c>
      <c r="D11" s="9">
        <f t="shared" si="4"/>
        <v>625.12167286666659</v>
      </c>
      <c r="E11" s="9">
        <f t="shared" si="4"/>
        <v>652.56174559999999</v>
      </c>
      <c r="F11" s="9">
        <f t="shared" si="4"/>
        <v>680.00181833333329</v>
      </c>
      <c r="G11" s="9">
        <f t="shared" si="4"/>
        <v>707.4418910666667</v>
      </c>
      <c r="H11" s="9">
        <f t="shared" si="4"/>
        <v>762.32203653333329</v>
      </c>
      <c r="I11" s="9">
        <f t="shared" si="4"/>
        <v>817.20218199999988</v>
      </c>
      <c r="J11" s="9">
        <f t="shared" si="4"/>
        <v>872.08232746666647</v>
      </c>
      <c r="K11" s="9">
        <f t="shared" si="4"/>
        <v>981.84261839999999</v>
      </c>
      <c r="L11" s="9">
        <f t="shared" si="4"/>
        <v>1091.6029093333334</v>
      </c>
      <c r="M11" s="9">
        <f t="shared" si="4"/>
        <v>1201.3632002666666</v>
      </c>
      <c r="N11" s="9">
        <f t="shared" si="4"/>
        <v>1366.0036366666666</v>
      </c>
      <c r="O11" s="9">
        <f t="shared" ref="O11:X11" si="5">((O10*2)/3)-6</f>
        <v>1420.8837821333334</v>
      </c>
      <c r="P11" s="9">
        <f t="shared" si="5"/>
        <v>1475.7639275999998</v>
      </c>
      <c r="Q11" s="9">
        <f t="shared" si="5"/>
        <v>1530.6440730666666</v>
      </c>
      <c r="R11" s="9">
        <f t="shared" si="5"/>
        <v>1585.5242185333329</v>
      </c>
      <c r="S11" s="9">
        <f t="shared" si="5"/>
        <v>1640.4043639999998</v>
      </c>
      <c r="T11" s="9">
        <f t="shared" si="5"/>
        <v>1695.2845094666663</v>
      </c>
      <c r="U11" s="9">
        <f t="shared" si="5"/>
        <v>1750.1646549333329</v>
      </c>
      <c r="V11" s="9">
        <f t="shared" si="5"/>
        <v>1805.0448003999998</v>
      </c>
      <c r="W11" s="9">
        <f t="shared" si="5"/>
        <v>1859.924945866667</v>
      </c>
      <c r="X11" s="9">
        <f t="shared" si="5"/>
        <v>1914.8050913333329</v>
      </c>
    </row>
    <row r="12" spans="1:30">
      <c r="A12" s="4" t="s">
        <v>73</v>
      </c>
      <c r="B12" s="16">
        <f>(((((B6+30)*(B6+30))/1000000)*'Технический лист'!$M$9)+(B6*0.000628)*'Технический лист'!$E$20)*2.05</f>
        <v>606.94940399999996</v>
      </c>
      <c r="C12" s="16">
        <f>(((((C6+30)*(C6+30))/1000000)*'Технический лист'!$M$9)+(C6*0.000628)*'Технический лист'!$E$20)*2.05</f>
        <v>673.14193599999999</v>
      </c>
      <c r="D12" s="16">
        <f>(((((D6+30)*(D6+30))/1000000)*'Технический лист'!$M$9)+(D6*0.000628)*'Технический лист'!$E$20)*2.05</f>
        <v>706.64643899999999</v>
      </c>
      <c r="E12" s="16">
        <f>(((((E6+30)*(E6+30))/1000000)*'Технический лист'!$M$9)+(E6*0.000628)*'Технический лист'!$E$20)*2.05</f>
        <v>740.42309999999998</v>
      </c>
      <c r="F12" s="16">
        <f>(((((F6+30)*(F6+30))/1000000)*'Технический лист'!$M$9)+(F6*0.000628)*'Технический лист'!$E$20)*2.05</f>
        <v>774.47191899999996</v>
      </c>
      <c r="G12" s="16">
        <f>(((((G6+30)*(G6+30))/1000000)*'Технический лист'!$M$9)+(G6*0.000628)*'Технический лист'!$E$20)*2.05</f>
        <v>808.79289599999981</v>
      </c>
      <c r="H12" s="16">
        <f>(((((H6+30)*(H6+30))/1000000)*'Технический лист'!$M$9)+(H6*0.000628)*'Технический лист'!$E$20)*2.05</f>
        <v>878.25132399999995</v>
      </c>
      <c r="I12" s="16">
        <f>(((((I6+30)*(I6+30))/1000000)*'Технический лист'!$M$9)+(I6*0.000628)*'Технический лист'!$E$20)*2.05</f>
        <v>948.79838399999983</v>
      </c>
      <c r="J12" s="16">
        <f>(((((J6+30)*(J6+30))/1000000)*'Технический лист'!$M$9)+(J6*0.000628)*'Технический лист'!$E$20)*2.05</f>
        <v>1020.4340759999999</v>
      </c>
      <c r="K12" s="16">
        <f>(((((K6+30)*(K6+30))/1000000)*'Технический лист'!$M$9)+(K6*0.000628)*'Технический лист'!$E$20)*2.05</f>
        <v>1166.971356</v>
      </c>
      <c r="L12" s="16">
        <f>(((((L6+30)*(L6+30))/1000000)*'Технический лист'!$M$9)+(L6*0.000628)*'Технический лист'!$E$20)*2.05</f>
        <v>1317.8631639999996</v>
      </c>
      <c r="M12" s="16">
        <f>(((((M6+30)*(M6+30))/1000000)*'Технический лист'!$M$9)+(M6*0.000628)*'Технический лист'!$E$20)*2.05</f>
        <v>1473.1094999999998</v>
      </c>
      <c r="N12" s="16">
        <f>(((((N6+30)*(N6+30))/1000000)*'Технический лист'!$M$9)+(N6*0.000628)*'Технический лист'!$E$20)*2.05</f>
        <v>1714.143744</v>
      </c>
      <c r="O12" s="16">
        <f>(((((O6+30)*(O6+30))/1000000)*'Технический лист'!$M$9)+(O6*0.000628)*'Технический лист'!$E$20)*2.05</f>
        <v>1796.6657559999996</v>
      </c>
      <c r="P12" s="16">
        <f>(((((P6+30)*(P6+30))/1000000)*'Технический лист'!$M$9)+(P6*0.000628)*'Технический лист'!$E$20)*2.05</f>
        <v>1880.2763999999997</v>
      </c>
      <c r="Q12" s="16">
        <f>(((((Q6+30)*(Q6+30))/1000000)*'Технический лист'!$M$9)+(Q6*0.000628)*'Технический лист'!$E$20)*2.05</f>
        <v>1964.9756759999998</v>
      </c>
      <c r="R12" s="16">
        <f>(((((R6+30)*(R6+30))/1000000)*'Технический лист'!$M$9)+(R6*0.000628)*'Технический лист'!$E$20)*2.05</f>
        <v>2050.7635839999998</v>
      </c>
      <c r="S12" s="16">
        <f>(((((S6+30)*(S6+30))/1000000)*'Технический лист'!$M$9)+(S6*0.000628)*'Технический лист'!$E$20)*2.05</f>
        <v>2137.6401239999996</v>
      </c>
      <c r="T12" s="16">
        <f>(((((T6+30)*(T6+30))/1000000)*'Технический лист'!$M$9)+(T6*0.000628)*'Технический лист'!$E$20)*2.05</f>
        <v>2225.6052959999993</v>
      </c>
      <c r="U12" s="16">
        <f>(((((U6+30)*(U6+30))/1000000)*'Технический лист'!$M$9)+(U6*0.000628)*'Технический лист'!$E$20)*2.05</f>
        <v>2314.6590999999994</v>
      </c>
      <c r="V12" s="16">
        <f>(((((V6+30)*(V6+30))/1000000)*'Технический лист'!$M$9)+(V6*0.000628)*'Технический лист'!$E$20)*2.05</f>
        <v>2404.8015359999995</v>
      </c>
      <c r="W12" s="16">
        <f>(((((W6+30)*(W6+30))/1000000)*'Технический лист'!$M$9)+(W6*0.000628)*'Технический лист'!$E$20)*2.05</f>
        <v>2496.0326039999995</v>
      </c>
      <c r="X12" s="16">
        <f>(((((X6+30)*(X6+30))/1000000)*'Технический лист'!$M$9)+(X6*0.000628)*'Технический лист'!$E$20)*2.05</f>
        <v>2588.3523039999995</v>
      </c>
    </row>
    <row r="13" spans="1:30">
      <c r="A13" s="4" t="s">
        <v>74</v>
      </c>
      <c r="B13" s="9">
        <f>(((B6*0.00314)*0.35)*'Технический лист'!$O$9)+B12</f>
        <v>876.77588399999991</v>
      </c>
      <c r="C13" s="9">
        <f>(((C6*0.00314)*0.35)*'Технический лист'!$O$9)+C12</f>
        <v>969.95106399999986</v>
      </c>
      <c r="D13" s="9">
        <f>(((D6*0.00314)*0.35)*'Технический лист'!$O$9)+D12</f>
        <v>1016.9468909999999</v>
      </c>
      <c r="E13" s="9">
        <f>(((E6*0.00314)*0.35)*'Технический лист'!$O$9)+E12</f>
        <v>1064.214876</v>
      </c>
      <c r="F13" s="9">
        <f>(((F6*0.00314)*0.35)*'Технический лист'!$O$9)+F12</f>
        <v>1111.7550189999999</v>
      </c>
      <c r="G13" s="9">
        <f>(((G6*0.00314)*0.35)*'Технический лист'!$O$9)+G12</f>
        <v>1159.5673199999997</v>
      </c>
      <c r="H13" s="9">
        <f>(((H6*0.00314)*0.35)*'Технический лист'!$O$9)+H12</f>
        <v>1256.0083959999999</v>
      </c>
      <c r="I13" s="9">
        <f>(((I6*0.00314)*0.35)*'Технический лист'!$O$9)+I12</f>
        <v>1353.5381039999997</v>
      </c>
      <c r="J13" s="9">
        <f>(((J6*0.00314)*0.35)*'Технический лист'!$O$9)+J12</f>
        <v>1452.1564439999997</v>
      </c>
      <c r="K13" s="9">
        <f>(((K6*0.00314)*0.35)*'Технический лист'!$O$9)+K12</f>
        <v>1652.6590200000001</v>
      </c>
      <c r="L13" s="9">
        <f>(((L6*0.00314)*0.35)*'Технический лист'!$O$9)+L12</f>
        <v>1857.5161239999995</v>
      </c>
      <c r="M13" s="9">
        <f>(((M6*0.00314)*0.35)*'Технический лист'!$O$9)+M12</f>
        <v>2066.7277559999998</v>
      </c>
      <c r="N13" s="9">
        <f>(((N6*0.00314)*0.35)*'Технический лист'!$O$9)+N12</f>
        <v>2388.7099440000002</v>
      </c>
      <c r="O13" s="9">
        <f>(((O6*0.00314)*0.35)*'Технический лист'!$O$9)+O12</f>
        <v>2498.2146039999998</v>
      </c>
      <c r="P13" s="9">
        <f>(((P6*0.00314)*0.35)*'Технический лист'!$O$9)+P12</f>
        <v>2608.8078959999998</v>
      </c>
      <c r="Q13" s="9">
        <f>(((Q6*0.00314)*0.35)*'Технический лист'!$O$9)+Q12</f>
        <v>2720.4898199999998</v>
      </c>
      <c r="R13" s="9">
        <f>(((R6*0.00314)*0.35)*'Технический лист'!$O$9)+R12</f>
        <v>2833.2603759999997</v>
      </c>
      <c r="S13" s="9">
        <f>(((S6*0.00314)*0.35)*'Технический лист'!$O$9)+S12</f>
        <v>2947.1195639999996</v>
      </c>
      <c r="T13" s="9">
        <f>(((T6*0.00314)*0.35)*'Технический лист'!$O$9)+T12</f>
        <v>3062.067383999999</v>
      </c>
      <c r="U13" s="9">
        <f>(((U6*0.00314)*0.35)*'Технический лист'!$O$9)+U12</f>
        <v>3178.1038359999993</v>
      </c>
      <c r="V13" s="9">
        <f>(((V6*0.00314)*0.35)*'Технический лист'!$O$9)+V12</f>
        <v>3295.2289199999996</v>
      </c>
      <c r="W13" s="9">
        <f>(((W6*0.00314)*0.35)*'Технический лист'!$O$9)+W12</f>
        <v>3413.4426359999993</v>
      </c>
      <c r="X13" s="9">
        <f>(((X6*0.00314)*0.35)*'Технический лист'!$O$9)+X12</f>
        <v>3532.7449839999995</v>
      </c>
    </row>
    <row r="14" spans="1:30" hidden="1">
      <c r="A14" s="4" t="s">
        <v>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</row>
    <row r="15" spans="1:30">
      <c r="A15" s="4" t="s">
        <v>75</v>
      </c>
      <c r="B15" s="9">
        <f>(((B6*0.00314)*((B6+500)/1000)*'Технический лист'!$K$9))*2.25</f>
        <v>1019.5642799999998</v>
      </c>
      <c r="C15" s="9">
        <f>(((C6*0.00314)*((C6+500)/1000)*'Технический лист'!$K$9))*2.25</f>
        <v>1140.2127197999998</v>
      </c>
      <c r="D15" s="9">
        <f>(((D6*0.00314)*((D6+500)/1000)*'Технический лист'!$K$9))*2.25</f>
        <v>1201.8113950499996</v>
      </c>
      <c r="E15" s="9">
        <f>(((E6*0.00314)*((E6+500)/1000)*'Технический лист'!$K$9))*2.25</f>
        <v>1264.2597072000001</v>
      </c>
      <c r="F15" s="9">
        <f>(((F6*0.00314)*((F6+500)/1000)*'Технический лист'!$K$9))*2.25</f>
        <v>1327.55765625</v>
      </c>
      <c r="G15" s="9">
        <f>(((G6*0.00314)*((G6+500)/1000)*'Технический лист'!$K$9))*2.25</f>
        <v>1391.7052421999999</v>
      </c>
      <c r="H15" s="9">
        <f>(((H6*0.00314)*((H6+500)/1000)*'Технический лист'!$K$9))*2.25</f>
        <v>1522.5493247999998</v>
      </c>
      <c r="I15" s="9">
        <f>(((I6*0.00314)*((I6+500)/1000)*'Технический лист'!$K$9))*2.25</f>
        <v>1656.7919549999997</v>
      </c>
      <c r="J15" s="9">
        <f>(((J6*0.00314)*((J6+500)/1000)*'Технический лист'!$K$9))*2.25</f>
        <v>1794.4331327999996</v>
      </c>
      <c r="K15" s="9">
        <f>(((K6*0.00314)*((K6+500)/1000)*'Технический лист'!$K$9))*2.25</f>
        <v>2079.9111312</v>
      </c>
      <c r="L15" s="9">
        <f>(((L6*0.00314)*((L6+500)/1000)*'Технический лист'!$K$9))*2.25</f>
        <v>2378.9833199999998</v>
      </c>
      <c r="M15" s="9">
        <f>(((M6*0.00314)*((M6+500)/1000)*'Технический лист'!$K$9))*2.25</f>
        <v>2691.6496991999998</v>
      </c>
      <c r="N15" s="9">
        <f>(((N6*0.00314)*((N6+500)/1000)*'Технический лист'!$K$9))*2.25</f>
        <v>3186.1383749999995</v>
      </c>
      <c r="O15" s="9">
        <f>(((O6*0.00314)*((O6+500)/1000)*'Технический лист'!$K$9))*2.25</f>
        <v>3357.7650287999995</v>
      </c>
      <c r="P15" s="9">
        <f>(((P6*0.00314)*((P6+500)/1000)*'Технический лист'!$K$9))*2.25</f>
        <v>3532.7902301999998</v>
      </c>
      <c r="Q15" s="9">
        <f>(((Q6*0.00314)*((Q6+500)/1000)*'Технический лист'!$K$9))*2.25</f>
        <v>3711.2139791999998</v>
      </c>
      <c r="R15" s="9">
        <f>(((R6*0.00314)*((R6+500)/1000)*'Технический лист'!$K$9))*2.25</f>
        <v>3893.0362757999997</v>
      </c>
      <c r="S15" s="9">
        <f>(((S6*0.00314)*((S6+500)/1000)*'Технический лист'!$K$9))*2.25</f>
        <v>4078.2571200000002</v>
      </c>
      <c r="T15" s="9">
        <f>(((T6*0.00314)*((T6+500)/1000)*'Технический лист'!$K$9))*2.25</f>
        <v>4266.8765118000001</v>
      </c>
      <c r="U15" s="9">
        <f>(((U6*0.00314)*((U6+500)/1000)*'Технический лист'!$K$9))*2.25</f>
        <v>4458.8944511999989</v>
      </c>
      <c r="V15" s="9">
        <f>(((V6*0.00314)*((V6+500)/1000)*'Технический лист'!$K$9))*2.25</f>
        <v>4654.3109382000002</v>
      </c>
      <c r="W15" s="9">
        <f>(((W6*0.00314)*((W6+500)/1000)*'Технический лист'!$K$9))*2.25</f>
        <v>4853.1259727999995</v>
      </c>
      <c r="X15" s="9">
        <f>(((X6*0.00314)*((X6+500)/1000)*'Технический лист'!$K$9))*2.25</f>
        <v>5055.3395549999987</v>
      </c>
    </row>
    <row r="16" spans="1:30" ht="0.75" hidden="1" customHeight="1">
      <c r="A16" s="4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28">
      <c r="A17" s="4" t="s">
        <v>76</v>
      </c>
      <c r="B17" s="9">
        <f>((((B6*0.00314)*0.18)*'Технический лист'!$O$9)+((((B6+100)/1000)*((B6+100)/1000))*3)*'Технический лист'!$I$7)*2.3</f>
        <v>886.40137919999995</v>
      </c>
      <c r="C17" s="9">
        <f>((((C6*0.00314)*0.18)*'Технический лист'!$O$9)+((((C6+100)/1000)*((C6+100)/1000))*3)*'Технический лист'!$I$7)*2.3</f>
        <v>976.45960511999965</v>
      </c>
      <c r="D17" s="9">
        <f>((((D6*0.00314)*0.18)*'Технический лист'!$O$9)+((((D6+100)/1000)*((D6+100)/1000))*3)*'Технический лист'!$I$7)*2.3</f>
        <v>1022.5522840799998</v>
      </c>
      <c r="E17" s="9">
        <f>((((E6*0.00314)*0.18)*'Технический лист'!$O$9)+((((E6+100)/1000)*((E6+100)/1000))*3)*'Технический лист'!$I$7)*2.3</f>
        <v>1069.3540070399997</v>
      </c>
      <c r="F17" s="9">
        <f>((((F6*0.00314)*0.18)*'Технический лист'!$O$9)+((((F6+100)/1000)*((F6+100)/1000))*3)*'Технический лист'!$I$7)*2.3</f>
        <v>1116.8647739999999</v>
      </c>
      <c r="G17" s="9">
        <f>((((G6*0.00314)*0.18)*'Технический лист'!$O$9)+((((G6+100)/1000)*((G6+100)/1000))*3)*'Технический лист'!$I$7)*2.3</f>
        <v>1165.0845849599998</v>
      </c>
      <c r="H17" s="9">
        <f>((((H6*0.00314)*0.18)*'Технический лист'!$O$9)+((((H6+100)/1000)*((H6+100)/1000))*3)*'Технический лист'!$I$7)*2.3</f>
        <v>1263.6513388799997</v>
      </c>
      <c r="I17" s="9">
        <f>((((I6*0.00314)*0.18)*'Технический лист'!$O$9)+((((I6+100)/1000)*((I6+100)/1000))*3)*'Технический лист'!$I$7)*2.3</f>
        <v>1365.0542687999998</v>
      </c>
      <c r="J17" s="9">
        <f>((((J6*0.00314)*0.18)*'Технический лист'!$O$9)+((((J6+100)/1000)*((J6+100)/1000))*3)*'Технический лист'!$I$7)*2.3</f>
        <v>1469.29337472</v>
      </c>
      <c r="K17" s="9">
        <f>((((K6*0.00314)*0.18)*'Технический лист'!$O$9)+((((K6+100)/1000)*((K6+100)/1000))*3)*'Технический лист'!$I$7)*2.3</f>
        <v>1686.2801145599999</v>
      </c>
      <c r="L17" s="9">
        <f>((((L6*0.00314)*0.18)*'Технический лист'!$O$9)+((((L6+100)/1000)*((L6+100)/1000))*3)*'Технический лист'!$I$7)*2.3</f>
        <v>1914.6115583999997</v>
      </c>
      <c r="M17" s="9">
        <f>((((M6*0.00314)*0.18)*'Технический лист'!$O$9)+((((M6+100)/1000)*((M6+100)/1000))*3)*'Технический лист'!$I$7)*2.3</f>
        <v>2154.2877062399998</v>
      </c>
      <c r="N17" s="9">
        <f>((((N6*0.00314)*0.18)*'Технический лист'!$O$9)+((((N6+100)/1000)*((N6+100)/1000))*3)*'Технический лист'!$I$7)*2.3</f>
        <v>2535.0732479999992</v>
      </c>
      <c r="O17" s="9">
        <f>((((O6*0.00314)*0.18)*'Технический лист'!$O$9)+((((O6+100)/1000)*((O6+100)/1000))*3)*'Технический лист'!$I$7)*2.3</f>
        <v>2667.6741139199999</v>
      </c>
      <c r="P17" s="9">
        <f>((((P6*0.00314)*0.18)*'Технический лист'!$O$9)+((((P6+100)/1000)*((P6+100)/1000))*3)*'Технический лист'!$I$7)*2.3</f>
        <v>2803.1111558399989</v>
      </c>
      <c r="Q17" s="9">
        <f>((((Q6*0.00314)*0.18)*'Технический лист'!$O$9)+((((Q6+100)/1000)*((Q6+100)/1000))*3)*'Технический лист'!$I$7)*2.3</f>
        <v>2941.3843737599991</v>
      </c>
      <c r="R17" s="9">
        <f>((((R6*0.00314)*0.18)*'Технический лист'!$O$9)+((((R6+100)/1000)*((R6+100)/1000))*3)*'Технический лист'!$I$7)*2.3</f>
        <v>3082.4937676799996</v>
      </c>
      <c r="S17" s="9">
        <f>((((S6*0.00314)*0.18)*'Технический лист'!$O$9)+((((S6+100)/1000)*((S6+100)/1000))*3)*'Технический лист'!$I$7)*2.3</f>
        <v>3226.4393375999998</v>
      </c>
      <c r="T17" s="9">
        <f>((((T6*0.00314)*0.18)*'Технический лист'!$O$9)+((((T6+100)/1000)*((T6+100)/1000))*3)*'Технический лист'!$I$7)*2.3</f>
        <v>3373.2210835199994</v>
      </c>
      <c r="U17" s="9">
        <f>((((U6*0.00314)*0.18)*'Технический лист'!$O$9)+((((U6+100)/1000)*((U6+100)/1000))*3)*'Технический лист'!$I$7)*2.3</f>
        <v>3522.8390054399983</v>
      </c>
      <c r="V17" s="9">
        <f>((((V6*0.00314)*0.18)*'Технический лист'!$O$9)+((((V6+100)/1000)*((V6+100)/1000))*3)*'Технический лист'!$I$7)*2.3</f>
        <v>3675.2931033599993</v>
      </c>
      <c r="W17" s="9">
        <f>((((W6*0.00314)*0.18)*'Технический лист'!$O$9)+((((W6+100)/1000)*((W6+100)/1000))*3)*'Технический лист'!$I$7)*2.3</f>
        <v>3830.5833772799992</v>
      </c>
      <c r="X17" s="9">
        <f>((((X6*0.00314)*0.18)*'Технический лист'!$O$9)+((((X6+100)/1000)*((X6+100)/1000))*3)*'Технический лист'!$I$7)*2.3</f>
        <v>3988.7098271999989</v>
      </c>
    </row>
    <row r="18" spans="1:28">
      <c r="A18" s="4" t="s">
        <v>100</v>
      </c>
      <c r="B18" s="9">
        <v>1260</v>
      </c>
      <c r="C18" s="9">
        <v>1260</v>
      </c>
      <c r="D18" s="9">
        <v>1260</v>
      </c>
      <c r="E18" s="9">
        <v>1260</v>
      </c>
      <c r="F18" s="9">
        <v>1260</v>
      </c>
      <c r="G18" s="9">
        <v>1260</v>
      </c>
      <c r="H18" s="9">
        <v>1260</v>
      </c>
      <c r="I18" s="9">
        <v>1260</v>
      </c>
      <c r="J18" s="9">
        <v>1260</v>
      </c>
      <c r="K18" s="9">
        <v>1260</v>
      </c>
      <c r="L18" s="9">
        <v>1260</v>
      </c>
      <c r="M18" s="9">
        <v>1260</v>
      </c>
      <c r="N18" s="9">
        <v>1260</v>
      </c>
      <c r="O18" s="9">
        <v>1260</v>
      </c>
      <c r="P18" s="9">
        <v>1260</v>
      </c>
      <c r="Q18" s="9">
        <v>1260</v>
      </c>
      <c r="R18" s="9">
        <v>1260</v>
      </c>
      <c r="S18" s="9">
        <v>1260</v>
      </c>
      <c r="T18" s="9">
        <v>1260</v>
      </c>
      <c r="U18" s="9">
        <v>1260</v>
      </c>
      <c r="V18" s="9">
        <v>1260</v>
      </c>
      <c r="W18" s="9">
        <v>1260</v>
      </c>
      <c r="X18" s="9">
        <v>1260</v>
      </c>
    </row>
    <row r="20" spans="1:28">
      <c r="A20" s="41" t="s">
        <v>85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1" t="s">
        <v>85</v>
      </c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</row>
    <row r="21" spans="1:28">
      <c r="A21" s="3" t="s">
        <v>79</v>
      </c>
      <c r="B21" s="10">
        <v>100</v>
      </c>
      <c r="C21" s="10">
        <v>110</v>
      </c>
      <c r="D21" s="10">
        <v>115</v>
      </c>
      <c r="E21" s="10">
        <v>120</v>
      </c>
      <c r="F21" s="10">
        <v>125</v>
      </c>
      <c r="G21" s="10">
        <v>130</v>
      </c>
      <c r="H21" s="10">
        <v>140</v>
      </c>
      <c r="I21" s="10">
        <v>150</v>
      </c>
      <c r="J21" s="10">
        <v>160</v>
      </c>
      <c r="K21" s="10">
        <v>180</v>
      </c>
      <c r="L21" s="10">
        <v>200</v>
      </c>
      <c r="M21" s="10">
        <v>220</v>
      </c>
      <c r="N21" s="10">
        <v>250</v>
      </c>
      <c r="O21" s="10">
        <v>260</v>
      </c>
      <c r="P21" s="10">
        <v>270</v>
      </c>
      <c r="Q21" s="10">
        <v>280</v>
      </c>
      <c r="R21" s="10">
        <v>290</v>
      </c>
      <c r="S21" s="10">
        <v>300</v>
      </c>
      <c r="T21" s="10">
        <v>310</v>
      </c>
      <c r="U21" s="10">
        <v>320</v>
      </c>
      <c r="V21" s="10">
        <v>330</v>
      </c>
      <c r="W21" s="10">
        <v>340</v>
      </c>
      <c r="X21" s="10">
        <v>350</v>
      </c>
    </row>
    <row r="22" spans="1:28" hidden="1">
      <c r="A22" s="3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</row>
    <row r="23" spans="1:28">
      <c r="A23" s="4" t="s">
        <v>69</v>
      </c>
      <c r="B23" s="16">
        <f>((B21*0.00314)*'Технический лист'!$G$10)*2</f>
        <v>1436.651948051948</v>
      </c>
      <c r="C23" s="16">
        <f>((C21*0.00314)*'Технический лист'!$G$10)*2</f>
        <v>1580.3171428571427</v>
      </c>
      <c r="D23" s="16">
        <f>((D21*0.00314)*'Технический лист'!$G$10)*2</f>
        <v>1652.1497402597399</v>
      </c>
      <c r="E23" s="16">
        <f>((E21*0.00314)*'Технический лист'!$G$10)*2</f>
        <v>1723.9823376623376</v>
      </c>
      <c r="F23" s="16">
        <f>((F21*0.00314)*'Технический лист'!$G$10)*2</f>
        <v>1795.8149350649351</v>
      </c>
      <c r="G23" s="16">
        <f>((G21*0.00314)*'Технический лист'!$G$10)*2</f>
        <v>1867.6475324675323</v>
      </c>
      <c r="H23" s="16">
        <f>((H21*0.00314)*'Технический лист'!$G$10)*2</f>
        <v>2011.312727272727</v>
      </c>
      <c r="I23" s="16">
        <f>((I21*0.00314)*'Технический лист'!$G$10)*2</f>
        <v>2154.9779220779219</v>
      </c>
      <c r="J23" s="16">
        <f>((J21*0.00314)*'Технический лист'!$G$10)*2</f>
        <v>2298.6431168831164</v>
      </c>
      <c r="K23" s="16">
        <f>((K21*0.00314)*'Технический лист'!$G$10)*2</f>
        <v>2585.9735064935062</v>
      </c>
      <c r="L23" s="16">
        <f>((L21*0.00314)*'Технический лист'!$G$10)*2</f>
        <v>2873.303896103896</v>
      </c>
      <c r="M23" s="16">
        <f>((M21*0.00314)*'Технический лист'!$G$10)*2</f>
        <v>3160.6342857142854</v>
      </c>
      <c r="N23" s="16">
        <f>((N21*0.00314)*'Технический лист'!$G$10)*2</f>
        <v>3591.6298701298701</v>
      </c>
      <c r="O23" s="16">
        <f>((O21*0.00314)*'Технический лист'!$G$10)*2</f>
        <v>3735.2950649350646</v>
      </c>
      <c r="P23" s="16">
        <f>((P21*0.00314)*'Технический лист'!$G$10)*2</f>
        <v>3878.9602597402595</v>
      </c>
      <c r="Q23" s="16">
        <f>((Q21*0.00314)*'Технический лист'!$G$10)*2</f>
        <v>4022.625454545454</v>
      </c>
      <c r="R23" s="16">
        <f>((R21*0.00314)*'Технический лист'!$G$10)*2</f>
        <v>4166.2906493506489</v>
      </c>
      <c r="S23" s="16">
        <f>((S21*0.00314)*'Технический лист'!$G$10)*2</f>
        <v>4309.9558441558438</v>
      </c>
      <c r="T23" s="16">
        <f>((T21*0.00314)*'Технический лист'!$G$10)*2</f>
        <v>4453.6210389610387</v>
      </c>
      <c r="U23" s="16">
        <f>((U21*0.00314)*'Технический лист'!$G$10)*2</f>
        <v>4597.2862337662327</v>
      </c>
      <c r="V23" s="16">
        <f>((V21*0.00314)*'Технический лист'!$G$10)*2</f>
        <v>4740.9514285714286</v>
      </c>
      <c r="W23" s="16">
        <f>((W21*0.00314)*'Технический лист'!$G$10)*2</f>
        <v>4884.6166233766235</v>
      </c>
      <c r="X23" s="16">
        <f>((X21*0.00314)*'Технический лист'!$G$10)*2</f>
        <v>5028.2818181818175</v>
      </c>
    </row>
    <row r="24" spans="1:28">
      <c r="A24" s="4" t="s">
        <v>70</v>
      </c>
      <c r="B24" s="9">
        <f>((B23/2)*1.07)-10</f>
        <v>758.60879220779225</v>
      </c>
      <c r="C24" s="9">
        <f t="shared" ref="C24:N24" si="6">((C23/2)*1.07)-10</f>
        <v>835.46967142857136</v>
      </c>
      <c r="D24" s="9">
        <f t="shared" si="6"/>
        <v>873.90011103896086</v>
      </c>
      <c r="E24" s="9">
        <f t="shared" si="6"/>
        <v>912.3305506493507</v>
      </c>
      <c r="F24" s="9">
        <f t="shared" si="6"/>
        <v>950.76099025974031</v>
      </c>
      <c r="G24" s="9">
        <f t="shared" si="6"/>
        <v>989.19142987012981</v>
      </c>
      <c r="H24" s="9">
        <f t="shared" si="6"/>
        <v>1066.0523090909089</v>
      </c>
      <c r="I24" s="9">
        <f t="shared" si="6"/>
        <v>1142.9131883116884</v>
      </c>
      <c r="J24" s="9">
        <f t="shared" si="6"/>
        <v>1219.7740675324674</v>
      </c>
      <c r="K24" s="9">
        <f t="shared" si="6"/>
        <v>1373.4958259740258</v>
      </c>
      <c r="L24" s="9">
        <f t="shared" si="6"/>
        <v>1527.2175844155845</v>
      </c>
      <c r="M24" s="9">
        <f t="shared" si="6"/>
        <v>1680.9393428571427</v>
      </c>
      <c r="N24" s="9">
        <f t="shared" si="6"/>
        <v>1911.5219805194806</v>
      </c>
      <c r="O24" s="9">
        <f t="shared" ref="O24:X24" si="7">((O23/2)*1.07)-10</f>
        <v>1988.3828597402596</v>
      </c>
      <c r="P24" s="9">
        <f t="shared" si="7"/>
        <v>2065.2437389610391</v>
      </c>
      <c r="Q24" s="9">
        <f t="shared" si="7"/>
        <v>2142.1046181818178</v>
      </c>
      <c r="R24" s="9">
        <f t="shared" si="7"/>
        <v>2218.9654974025971</v>
      </c>
      <c r="S24" s="9">
        <f t="shared" si="7"/>
        <v>2295.8263766233767</v>
      </c>
      <c r="T24" s="9">
        <f t="shared" si="7"/>
        <v>2372.687255844156</v>
      </c>
      <c r="U24" s="9">
        <f t="shared" si="7"/>
        <v>2449.5481350649347</v>
      </c>
      <c r="V24" s="9">
        <f t="shared" si="7"/>
        <v>2526.4090142857144</v>
      </c>
      <c r="W24" s="9">
        <f t="shared" si="7"/>
        <v>2603.2698935064936</v>
      </c>
      <c r="X24" s="9">
        <f t="shared" si="7"/>
        <v>2680.1307727272724</v>
      </c>
    </row>
    <row r="25" spans="1:28">
      <c r="A25" s="4" t="s">
        <v>71</v>
      </c>
      <c r="B25" s="16">
        <f>(((B21*0.00314)*0.55)*'Технический лист'!$I$10)*2.05</f>
        <v>1117.9229857142857</v>
      </c>
      <c r="C25" s="16">
        <f>(((C21*0.00314)*0.55)*'Технический лист'!$I$10)*2.05</f>
        <v>1229.7152842857142</v>
      </c>
      <c r="D25" s="16">
        <f>(((D21*0.00314)*0.55)*'Технический лист'!$I$10)*2.05</f>
        <v>1285.6114335714285</v>
      </c>
      <c r="E25" s="16">
        <f>(((E21*0.00314)*0.55)*'Технический лист'!$I$10)*2.05</f>
        <v>1341.507582857143</v>
      </c>
      <c r="F25" s="16">
        <f>(((F21*0.00314)*0.55)*'Технический лист'!$I$10)*2.05</f>
        <v>1397.4037321428573</v>
      </c>
      <c r="G25" s="16">
        <f>(((G21*0.00314)*0.55)*'Технический лист'!$I$10)*2.05</f>
        <v>1453.2998814285713</v>
      </c>
      <c r="H25" s="16">
        <f>(((H21*0.00314)*0.55)*'Технический лист'!$I$10)*2.05</f>
        <v>1565.0921799999999</v>
      </c>
      <c r="I25" s="16">
        <f>(((I21*0.00314)*0.55)*'Технический лист'!$I$10)*2.05</f>
        <v>1676.8844785714282</v>
      </c>
      <c r="J25" s="16">
        <f>(((J21*0.00314)*0.55)*'Технический лист'!$I$10)*2.05</f>
        <v>1788.6767771428567</v>
      </c>
      <c r="K25" s="16">
        <f>(((K21*0.00314)*0.55)*'Технический лист'!$I$10)*2.05</f>
        <v>2012.2613742857143</v>
      </c>
      <c r="L25" s="16">
        <f>(((L21*0.00314)*0.55)*'Технический лист'!$I$10)*2.05</f>
        <v>2235.8459714285714</v>
      </c>
      <c r="M25" s="16">
        <f>(((M21*0.00314)*0.55)*'Технический лист'!$I$10)*2.05</f>
        <v>2459.4305685714285</v>
      </c>
      <c r="N25" s="16">
        <f>(((N21*0.00314)*0.55)*'Технический лист'!$I$10)*2.05</f>
        <v>2794.8074642857146</v>
      </c>
      <c r="O25" s="16">
        <f>(((O21*0.00314)*0.55)*'Технический лист'!$I$10)*2.05</f>
        <v>2906.5997628571427</v>
      </c>
      <c r="P25" s="16">
        <f>(((P21*0.00314)*0.55)*'Технический лист'!$I$10)*2.05</f>
        <v>3018.3920614285712</v>
      </c>
      <c r="Q25" s="16">
        <f>(((Q21*0.00314)*0.55)*'Технический лист'!$I$10)*2.05</f>
        <v>3130.1843599999997</v>
      </c>
      <c r="R25" s="16">
        <f>(((R21*0.00314)*0.55)*'Технический лист'!$I$10)*2.05</f>
        <v>3241.9766585714278</v>
      </c>
      <c r="S25" s="16">
        <f>(((S21*0.00314)*0.55)*'Технический лист'!$I$10)*2.05</f>
        <v>3353.7689571428564</v>
      </c>
      <c r="T25" s="16">
        <f>(((T21*0.00314)*0.55)*'Технический лист'!$I$10)*2.05</f>
        <v>3465.5612557142849</v>
      </c>
      <c r="U25" s="16">
        <f>(((U21*0.00314)*0.55)*'Технический лист'!$I$10)*2.05</f>
        <v>3577.3535542857135</v>
      </c>
      <c r="V25" s="16">
        <f>(((V21*0.00314)*0.55)*'Технический лист'!$I$10)*2.05</f>
        <v>3689.1458528571425</v>
      </c>
      <c r="W25" s="16">
        <f>(((W21*0.00314)*0.55)*'Технический лист'!$I$10)*2.05</f>
        <v>3800.9381514285719</v>
      </c>
      <c r="X25" s="16">
        <f>(((X21*0.00314)*0.55)*'Технический лист'!$I$10)*2.05</f>
        <v>3912.73045</v>
      </c>
    </row>
    <row r="26" spans="1:28">
      <c r="A26" s="4" t="s">
        <v>72</v>
      </c>
      <c r="B26" s="9">
        <f>((B25*2)/3)-6</f>
        <v>739.28199047619046</v>
      </c>
      <c r="C26" s="9">
        <f t="shared" ref="C26:N26" si="8">((C25*2)/3)-6</f>
        <v>813.81018952380953</v>
      </c>
      <c r="D26" s="9">
        <f t="shared" si="8"/>
        <v>851.074289047619</v>
      </c>
      <c r="E26" s="9">
        <f t="shared" si="8"/>
        <v>888.33838857142871</v>
      </c>
      <c r="F26" s="9">
        <f t="shared" si="8"/>
        <v>925.60248809523819</v>
      </c>
      <c r="G26" s="9">
        <f t="shared" si="8"/>
        <v>962.86658761904755</v>
      </c>
      <c r="H26" s="9">
        <f t="shared" si="8"/>
        <v>1037.3947866666665</v>
      </c>
      <c r="I26" s="9">
        <f t="shared" si="8"/>
        <v>1111.9229857142855</v>
      </c>
      <c r="J26" s="9">
        <f t="shared" si="8"/>
        <v>1186.4511847619044</v>
      </c>
      <c r="K26" s="9">
        <f t="shared" si="8"/>
        <v>1335.5075828571428</v>
      </c>
      <c r="L26" s="9">
        <f t="shared" si="8"/>
        <v>1484.5639809523809</v>
      </c>
      <c r="M26" s="9">
        <f t="shared" si="8"/>
        <v>1633.6203790476191</v>
      </c>
      <c r="N26" s="9">
        <f t="shared" si="8"/>
        <v>1857.2049761904764</v>
      </c>
      <c r="O26" s="9">
        <f t="shared" ref="O26:X26" si="9">((O25*2)/3)-6</f>
        <v>1931.7331752380951</v>
      </c>
      <c r="P26" s="9">
        <f t="shared" si="9"/>
        <v>2006.2613742857141</v>
      </c>
      <c r="Q26" s="9">
        <f t="shared" si="9"/>
        <v>2080.789573333333</v>
      </c>
      <c r="R26" s="9">
        <f t="shared" si="9"/>
        <v>2155.3177723809517</v>
      </c>
      <c r="S26" s="9">
        <f t="shared" si="9"/>
        <v>2229.8459714285709</v>
      </c>
      <c r="T26" s="9">
        <f t="shared" si="9"/>
        <v>2304.3741704761901</v>
      </c>
      <c r="U26" s="9">
        <f t="shared" si="9"/>
        <v>2378.9023695238088</v>
      </c>
      <c r="V26" s="9">
        <f t="shared" si="9"/>
        <v>2453.4305685714285</v>
      </c>
      <c r="W26" s="9">
        <f t="shared" si="9"/>
        <v>2527.9587676190481</v>
      </c>
      <c r="X26" s="9">
        <f t="shared" si="9"/>
        <v>2602.4869666666668</v>
      </c>
    </row>
    <row r="27" spans="1:28">
      <c r="A27" s="4" t="s">
        <v>73</v>
      </c>
      <c r="B27" s="17">
        <f>(((((B21+30)*(B21+30))/1000000)*'Технический лист'!$M$10)+(B21*0.000942)*'Технический лист'!$E$20)*2.03</f>
        <v>882.83988181818177</v>
      </c>
      <c r="C27" s="17">
        <f>(((((C21+30)*(C21+30))/1000000)*'Технический лист'!$M$10)+(C21*0.000942)*'Технический лист'!$E$20)*2.03</f>
        <v>978.17210909090898</v>
      </c>
      <c r="D27" s="17">
        <f>(((((D21+30)*(D21+30))/1000000)*'Технический лист'!$M$10)+(D21*0.000942)*'Технический лист'!$E$20)*2.03</f>
        <v>1026.3616068181816</v>
      </c>
      <c r="E27" s="17">
        <f>(((((E21+30)*(E21+30))/1000000)*'Технический лист'!$M$10)+(E21*0.000942)*'Технический лист'!$E$20)*2.03</f>
        <v>1074.9000272727271</v>
      </c>
      <c r="F27" s="17">
        <f>(((((F21+30)*(F21+30))/1000000)*'Технический лист'!$M$10)+(F21*0.000942)*'Технический лист'!$E$20)*2.03</f>
        <v>1123.7873704545455</v>
      </c>
      <c r="G27" s="17">
        <f>(((((G21+30)*(G21+30))/1000000)*'Технический лист'!$M$10)+(G21*0.000942)*'Технический лист'!$E$20)*2.03</f>
        <v>1173.0236363636361</v>
      </c>
      <c r="H27" s="17">
        <f>(((((H21+30)*(H21+30))/1000000)*'Технический лист'!$M$10)+(H21*0.000942)*'Технический лист'!$E$20)*2.03</f>
        <v>1272.5429363636363</v>
      </c>
      <c r="I27" s="17">
        <f>(((((I21+30)*(I21+30))/1000000)*'Технический лист'!$M$10)+(I21*0.000942)*'Технический лист'!$E$20)*2.03</f>
        <v>1373.4579272727271</v>
      </c>
      <c r="J27" s="17">
        <f>(((((J21+30)*(J21+30))/1000000)*'Технический лист'!$M$10)+(J21*0.000942)*'Технический лист'!$E$20)*2.03</f>
        <v>1475.768609090909</v>
      </c>
      <c r="K27" s="17">
        <f>(((((K21+30)*(K21+30))/1000000)*'Технический лист'!$M$10)+(K21*0.000942)*'Технический лист'!$E$20)*2.03</f>
        <v>1684.5770454545454</v>
      </c>
      <c r="L27" s="17">
        <f>(((((L21+30)*(L21+30))/1000000)*'Технический лист'!$M$10)+(L21*0.000942)*'Технический лист'!$E$20)*2.03</f>
        <v>1898.9682454545452</v>
      </c>
      <c r="M27" s="17">
        <f>(((((M21+30)*(M21+30))/1000000)*'Технический лист'!$M$10)+(M21*0.000942)*'Технический лист'!$E$20)*2.03</f>
        <v>2118.9422090909093</v>
      </c>
      <c r="N27" s="17">
        <f>(((((N21+30)*(N21+30))/1000000)*'Технический лист'!$M$10)+(N21*0.000942)*'Технический лист'!$E$20)*2.03</f>
        <v>2459.370836363636</v>
      </c>
      <c r="O27" s="17">
        <f>(((((O21+30)*(O21+30))/1000000)*'Технический лист'!$M$10)+(O21*0.000942)*'Технический лист'!$E$20)*2.03</f>
        <v>2575.6384272727269</v>
      </c>
      <c r="P27" s="17">
        <f>(((((P21+30)*(P21+30))/1000000)*'Технический лист'!$M$10)+(P21*0.000942)*'Технический лист'!$E$20)*2.03</f>
        <v>2693.3017090909088</v>
      </c>
      <c r="Q27" s="17">
        <f>(((((Q21+30)*(Q21+30))/1000000)*'Технический лист'!$M$10)+(Q21*0.000942)*'Технический лист'!$E$20)*2.03</f>
        <v>2812.3606818181815</v>
      </c>
      <c r="R27" s="17">
        <f>(((((R21+30)*(R21+30))/1000000)*'Технический лист'!$M$10)+(R21*0.000942)*'Технический лист'!$E$20)*2.03</f>
        <v>2932.8153454545445</v>
      </c>
      <c r="S27" s="17">
        <f>(((((S21+30)*(S21+30))/1000000)*'Технический лист'!$M$10)+(S21*0.000942)*'Технический лист'!$E$20)*2.03</f>
        <v>3054.6656999999996</v>
      </c>
      <c r="T27" s="17">
        <f>(((((T21+30)*(T21+30))/1000000)*'Технический лист'!$M$10)+(T21*0.000942)*'Технический лист'!$E$20)*2.03</f>
        <v>3177.9117454545449</v>
      </c>
      <c r="U27" s="17">
        <f>(((((U21+30)*(U21+30))/1000000)*'Технический лист'!$M$10)+(U21*0.000942)*'Технический лист'!$E$20)*2.03</f>
        <v>3302.5534818181814</v>
      </c>
      <c r="V27" s="17">
        <f>(((((V21+30)*(V21+30))/1000000)*'Технический лист'!$M$10)+(V21*0.000942)*'Технический лист'!$E$20)*2.03</f>
        <v>3428.5909090909086</v>
      </c>
      <c r="W27" s="17">
        <f>(((((W21+30)*(W21+30))/1000000)*'Технический лист'!$M$10)+(W21*0.000942)*'Технический лист'!$E$20)*2.03</f>
        <v>3556.0240272727269</v>
      </c>
      <c r="X27" s="17">
        <f>(((((X21+30)*(X21+30))/1000000)*'Технический лист'!$M$10)+(X21*0.000942)*'Технический лист'!$E$20)*2.03</f>
        <v>3684.852836363636</v>
      </c>
    </row>
    <row r="28" spans="1:28">
      <c r="A28" s="4" t="s">
        <v>74</v>
      </c>
      <c r="B28" s="9">
        <f>(((B21*0.00314)*0.35)*'Технический лист'!$O$8)+B27</f>
        <v>1207.9726090909089</v>
      </c>
      <c r="C28" s="9">
        <f>(((C21*0.00314)*0.35)*'Технический лист'!$O$8)+C27</f>
        <v>1335.8181090909088</v>
      </c>
      <c r="D28" s="9">
        <f>(((D21*0.00314)*0.35)*'Технический лист'!$O$8)+D27</f>
        <v>1400.2642431818181</v>
      </c>
      <c r="E28" s="9">
        <f>(((E21*0.00314)*0.35)*'Технический лист'!$O$8)+E27</f>
        <v>1465.0592999999999</v>
      </c>
      <c r="F28" s="9">
        <f>(((F21*0.00314)*0.35)*'Технический лист'!$O$8)+F27</f>
        <v>1530.2032795454545</v>
      </c>
      <c r="G28" s="9">
        <f>(((G21*0.00314)*0.35)*'Технический лист'!$O$8)+G27</f>
        <v>1595.6961818181815</v>
      </c>
      <c r="H28" s="9">
        <f>(((H21*0.00314)*0.35)*'Технический лист'!$O$8)+H27</f>
        <v>1727.7287545454544</v>
      </c>
      <c r="I28" s="9">
        <f>(((I21*0.00314)*0.35)*'Технический лист'!$O$8)+I27</f>
        <v>1861.1570181818179</v>
      </c>
      <c r="J28" s="9">
        <f>(((J21*0.00314)*0.35)*'Технический лист'!$O$8)+J27</f>
        <v>1995.9809727272725</v>
      </c>
      <c r="K28" s="9">
        <f>(((K21*0.00314)*0.35)*'Технический лист'!$O$8)+K27</f>
        <v>2269.8159545454546</v>
      </c>
      <c r="L28" s="9">
        <f>(((L21*0.00314)*0.35)*'Технический лист'!$O$8)+L27</f>
        <v>2549.2336999999998</v>
      </c>
      <c r="M28" s="9">
        <f>(((M21*0.00314)*0.35)*'Технический лист'!$O$8)+M27</f>
        <v>2834.2342090909092</v>
      </c>
      <c r="N28" s="9">
        <f>(((N21*0.00314)*0.35)*'Технический лист'!$O$8)+N27</f>
        <v>3272.2026545454542</v>
      </c>
      <c r="O28" s="9">
        <f>(((O21*0.00314)*0.35)*'Технический лист'!$O$8)+O27</f>
        <v>3420.9835181818175</v>
      </c>
      <c r="P28" s="9">
        <f>(((P21*0.00314)*0.35)*'Технический лист'!$O$8)+P27</f>
        <v>3571.1600727272726</v>
      </c>
      <c r="Q28" s="9">
        <f>(((Q21*0.00314)*0.35)*'Технический лист'!$O$8)+Q27</f>
        <v>3722.7323181818178</v>
      </c>
      <c r="R28" s="9">
        <f>(((R21*0.00314)*0.35)*'Технический лист'!$O$8)+R27</f>
        <v>3875.7002545454534</v>
      </c>
      <c r="S28" s="9">
        <f>(((S21*0.00314)*0.35)*'Технический лист'!$O$8)+S27</f>
        <v>4030.063881818181</v>
      </c>
      <c r="T28" s="9">
        <f>(((T21*0.00314)*0.35)*'Технический лист'!$O$8)+T27</f>
        <v>4185.8231999999989</v>
      </c>
      <c r="U28" s="9">
        <f>(((U21*0.00314)*0.35)*'Технический лист'!$O$8)+U27</f>
        <v>4342.9782090909084</v>
      </c>
      <c r="V28" s="9">
        <f>(((V21*0.00314)*0.35)*'Технический лист'!$O$8)+V27</f>
        <v>4501.5289090909082</v>
      </c>
      <c r="W28" s="9">
        <f>(((W21*0.00314)*0.35)*'Технический лист'!$O$8)+W27</f>
        <v>4661.4753000000001</v>
      </c>
      <c r="X28" s="9">
        <f>(((X21*0.00314)*0.35)*'Технический лист'!$O$8)+X27</f>
        <v>4822.8173818181813</v>
      </c>
    </row>
    <row r="29" spans="1:28" hidden="1">
      <c r="A29" s="4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</row>
    <row r="30" spans="1:28">
      <c r="A30" s="4" t="s">
        <v>75</v>
      </c>
      <c r="B30" s="9">
        <f>(((B21*0.00314)*((B21+500)/1000)*'Технический лист'!$K$10))*2.3</f>
        <v>1389.944244155844</v>
      </c>
      <c r="C30" s="9">
        <f>(((C21*0.00314)*((C21+500)/1000)*'Технический лист'!$K$10))*2.3</f>
        <v>1554.4209797142855</v>
      </c>
      <c r="D30" s="9">
        <f>(((D21*0.00314)*((D21+500)/1000)*'Технический лист'!$K$10))*2.3</f>
        <v>1638.3967777987009</v>
      </c>
      <c r="E30" s="9">
        <f>(((E21*0.00314)*((E21+500)/1000)*'Технический лист'!$K$10))*2.3</f>
        <v>1723.5308627532465</v>
      </c>
      <c r="F30" s="9">
        <f>(((F21*0.00314)*((F21+500)/1000)*'Технический лист'!$K$10))*2.3</f>
        <v>1809.8232345779218</v>
      </c>
      <c r="G30" s="9">
        <f>(((G21*0.00314)*((G21+500)/1000)*'Технический лист'!$K$10))*2.3</f>
        <v>1897.273893272727</v>
      </c>
      <c r="H30" s="9">
        <f>(((H21*0.00314)*((H21+500)/1000)*'Технический лист'!$K$10))*2.3</f>
        <v>2075.650071272727</v>
      </c>
      <c r="I30" s="9">
        <f>(((I21*0.00314)*((I21+500)/1000)*'Технический лист'!$K$10))*2.3</f>
        <v>2258.6593967532463</v>
      </c>
      <c r="J30" s="9">
        <f>(((J21*0.00314)*((J21+500)/1000)*'Технический лист'!$K$10))*2.3</f>
        <v>2446.3018697142852</v>
      </c>
      <c r="K30" s="9">
        <f>(((K21*0.00314)*((K21+500)/1000)*'Технический лист'!$K$10))*2.3</f>
        <v>2835.4862580779222</v>
      </c>
      <c r="L30" s="9">
        <f>(((L21*0.00314)*((L21+500)/1000)*'Технический лист'!$K$10))*2.3</f>
        <v>3243.2032363636358</v>
      </c>
      <c r="M30" s="9">
        <f>(((M21*0.00314)*((M21+500)/1000)*'Технический лист'!$K$10))*2.3</f>
        <v>3669.4528045714278</v>
      </c>
      <c r="N30" s="9">
        <f>(((N21*0.00314)*((N21+500)/1000)*'Технический лист'!$K$10))*2.3</f>
        <v>4343.5757629870122</v>
      </c>
      <c r="O30" s="9">
        <f>(((O21*0.00314)*((O21+500)/1000)*'Технический лист'!$K$10))*2.3</f>
        <v>4577.5497107532465</v>
      </c>
      <c r="P30" s="9">
        <f>(((P21*0.00314)*((P21+500)/1000)*'Технический лист'!$K$10))*2.3</f>
        <v>4816.1568059999991</v>
      </c>
      <c r="Q30" s="9">
        <f>(((Q21*0.00314)*((Q21+500)/1000)*'Технический лист'!$K$10))*2.3</f>
        <v>5059.3970487272727</v>
      </c>
      <c r="R30" s="9">
        <f>(((R21*0.00314)*((R21+500)/1000)*'Технический лист'!$K$10))*2.3</f>
        <v>5307.2704389350638</v>
      </c>
      <c r="S30" s="9">
        <f>(((S21*0.00314)*((S21+500)/1000)*'Технический лист'!$K$10))*2.3</f>
        <v>5559.776976623376</v>
      </c>
      <c r="T30" s="9">
        <f>(((T21*0.00314)*((T21+500)/1000)*'Технический лист'!$K$10))*2.3</f>
        <v>5816.9166617922074</v>
      </c>
      <c r="U30" s="9">
        <f>(((U21*0.00314)*((U21+500)/1000)*'Технический лист'!$K$10))*2.3</f>
        <v>6078.6894944415571</v>
      </c>
      <c r="V30" s="9">
        <f>(((V21*0.00314)*((V21+500)/1000)*'Технический лист'!$K$10))*2.3</f>
        <v>6345.095474571428</v>
      </c>
      <c r="W30" s="9">
        <f>(((W21*0.00314)*((W21+500)/1000)*'Технический лист'!$K$10))*2.3</f>
        <v>6616.1346021818172</v>
      </c>
      <c r="X30" s="9">
        <f>(((X21*0.00314)*((X21+500)/1000)*'Технический лист'!$K$10))*2.3</f>
        <v>6891.8068772727256</v>
      </c>
    </row>
    <row r="31" spans="1:28" hidden="1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8">
      <c r="A32" s="4" t="s">
        <v>76</v>
      </c>
      <c r="B32" s="9">
        <f>((((B21*0.00314)*0.16)*'Технический лист'!$O$8)+((((B21+100)/1000)*((B21+100)/1000))*3)*'Технический лист'!$I$8)*2.2</f>
        <v>1100.0992000000001</v>
      </c>
      <c r="C32" s="9">
        <f>((((C21*0.00314)*0.16)*'Технический лист'!$O$8)+((((C21+100)/1000)*((C21+100)/1000))*3)*'Технический лист'!$I$8)*2.2</f>
        <v>1212.0418914285713</v>
      </c>
      <c r="D32" s="9">
        <f>((((D21*0.00314)*0.16)*'Технический лист'!$O$8)+((((D21+100)/1000)*((D21+100)/1000))*3)*'Технический лист'!$I$8)*2.2</f>
        <v>1269.4628157142856</v>
      </c>
      <c r="E32" s="9">
        <f>((((E21*0.00314)*0.16)*'Технический лист'!$O$8)+((((E21+100)/1000)*((E21+100)/1000))*3)*'Технический лист'!$I$8)*2.2</f>
        <v>1327.8501257142859</v>
      </c>
      <c r="F32" s="9">
        <f>((((F21*0.00314)*0.16)*'Технический лист'!$O$8)+((((F21+100)/1000)*((F21+100)/1000))*3)*'Технический лист'!$I$8)*2.2</f>
        <v>1387.2038214285715</v>
      </c>
      <c r="G32" s="9">
        <f>((((G21*0.00314)*0.16)*'Технический лист'!$O$8)+((((G21+100)/1000)*((G21+100)/1000))*3)*'Технический лист'!$I$8)*2.2</f>
        <v>1447.523902857143</v>
      </c>
      <c r="H32" s="9">
        <f>((((H21*0.00314)*0.16)*'Технический лист'!$O$8)+((((H21+100)/1000)*((H21+100)/1000))*3)*'Технический лист'!$I$8)*2.2</f>
        <v>1571.0632228571428</v>
      </c>
      <c r="I32" s="9">
        <f>((((I21*0.00314)*0.16)*'Технический лист'!$O$8)+((((I21+100)/1000)*((I21+100)/1000))*3)*'Технический лист'!$I$8)*2.2</f>
        <v>1698.4680857142857</v>
      </c>
      <c r="J32" s="9">
        <f>((((J21*0.00314)*0.16)*'Технический лист'!$O$8)+((((J21+100)/1000)*((J21+100)/1000))*3)*'Технический лист'!$I$8)*2.2</f>
        <v>1829.7384914285717</v>
      </c>
      <c r="K32" s="9">
        <f>((((K21*0.00314)*0.16)*'Технический лист'!$O$8)+((((K21+100)/1000)*((K21+100)/1000))*3)*'Технический лист'!$I$8)*2.2</f>
        <v>2103.8759314285717</v>
      </c>
      <c r="L32" s="9">
        <f>((((L21*0.00314)*0.16)*'Технический лист'!$O$8)+((((L21+100)/1000)*((L21+100)/1000))*3)*'Технический лист'!$I$8)*2.2</f>
        <v>2393.4755428571434</v>
      </c>
      <c r="M32" s="9">
        <f>((((M21*0.00314)*0.16)*'Технический лист'!$O$8)+((((M21+100)/1000)*((M21+100)/1000))*3)*'Технический лист'!$I$8)*2.2</f>
        <v>2698.537325714286</v>
      </c>
      <c r="N32" s="9">
        <f>((((N21*0.00314)*0.16)*'Технический лист'!$O$8)+((((N21+100)/1000)*((N21+100)/1000))*3)*'Технический лист'!$I$8)*2.2</f>
        <v>3185.1215714285713</v>
      </c>
      <c r="O32" s="9">
        <f>((((O21*0.00314)*0.16)*'Технический лист'!$O$8)+((((O21+100)/1000)*((O21+100)/1000))*3)*'Технический лист'!$I$8)*2.2</f>
        <v>3355.047405714286</v>
      </c>
      <c r="P32" s="9">
        <f>((((P21*0.00314)*0.16)*'Технический лист'!$O$8)+((((P21+100)/1000)*((P21+100)/1000))*3)*'Технический лист'!$I$8)*2.2</f>
        <v>3528.8387828571426</v>
      </c>
      <c r="Q32" s="9">
        <f>((((Q21*0.00314)*0.16)*'Технический лист'!$O$8)+((((Q21+100)/1000)*((Q21+100)/1000))*3)*'Технический лист'!$I$8)*2.2</f>
        <v>3706.495702857143</v>
      </c>
      <c r="R32" s="9">
        <f>((((R21*0.00314)*0.16)*'Технический лист'!$O$8)+((((R21+100)/1000)*((R21+100)/1000))*3)*'Технический лист'!$I$8)*2.2</f>
        <v>3888.0181657142862</v>
      </c>
      <c r="S32" s="9">
        <f>((((S21*0.00314)*0.16)*'Технический лист'!$O$8)+((((S21+100)/1000)*((S21+100)/1000))*3)*'Технический лист'!$I$8)*2.2</f>
        <v>4073.4061714285722</v>
      </c>
      <c r="T32" s="9">
        <f>((((T21*0.00314)*0.16)*'Технический лист'!$O$8)+((((T21+100)/1000)*((T21+100)/1000))*3)*'Технический лист'!$I$8)*2.2</f>
        <v>4262.6597200000006</v>
      </c>
      <c r="U32" s="9">
        <f>((((U21*0.00314)*0.16)*'Технический лист'!$O$8)+((((U21+100)/1000)*((U21+100)/1000))*3)*'Технический лист'!$I$8)*2.2</f>
        <v>4455.7788114285713</v>
      </c>
      <c r="V32" s="9">
        <f>((((V21*0.00314)*0.16)*'Технический лист'!$O$8)+((((V21+100)/1000)*((V21+100)/1000))*3)*'Технический лист'!$I$8)*2.2</f>
        <v>4652.7634457142858</v>
      </c>
      <c r="W32" s="9">
        <f>((((W21*0.00314)*0.16)*'Технический лист'!$O$8)+((((W21+100)/1000)*((W21+100)/1000))*3)*'Технический лист'!$I$8)*2.2</f>
        <v>4853.6136228571422</v>
      </c>
      <c r="X32" s="9">
        <f>((((X21*0.00314)*0.16)*'Технический лист'!$O$8)+((((X21+100)/1000)*((X21+100)/1000))*3)*'Технический лист'!$I$8)*2.2</f>
        <v>5058.3293428571433</v>
      </c>
    </row>
    <row r="33" spans="1:24">
      <c r="A33" s="4" t="s">
        <v>100</v>
      </c>
      <c r="B33" s="9">
        <v>1500</v>
      </c>
      <c r="C33" s="9">
        <v>1500</v>
      </c>
      <c r="D33" s="9">
        <v>1500</v>
      </c>
      <c r="E33" s="9">
        <v>1500</v>
      </c>
      <c r="F33" s="9">
        <v>1500</v>
      </c>
      <c r="G33" s="9">
        <v>1500</v>
      </c>
      <c r="H33" s="9">
        <v>1500</v>
      </c>
      <c r="I33" s="9">
        <v>1500</v>
      </c>
      <c r="J33" s="9">
        <v>1500</v>
      </c>
      <c r="K33" s="9">
        <v>1500</v>
      </c>
      <c r="L33" s="9">
        <v>1500</v>
      </c>
      <c r="M33" s="9">
        <v>1500</v>
      </c>
      <c r="N33" s="9">
        <v>1500</v>
      </c>
      <c r="O33" s="9">
        <v>1500</v>
      </c>
      <c r="P33" s="9">
        <v>1500</v>
      </c>
      <c r="Q33" s="9">
        <v>1500</v>
      </c>
      <c r="R33" s="9">
        <v>1500</v>
      </c>
      <c r="S33" s="9">
        <v>1500</v>
      </c>
      <c r="T33" s="9">
        <v>1500</v>
      </c>
      <c r="U33" s="9">
        <v>1500</v>
      </c>
      <c r="V33" s="9">
        <v>1500</v>
      </c>
      <c r="W33" s="9">
        <v>1500</v>
      </c>
      <c r="X33" s="9">
        <v>1500</v>
      </c>
    </row>
  </sheetData>
  <mergeCells count="8">
    <mergeCell ref="P5:AD5"/>
    <mergeCell ref="O20:AB20"/>
    <mergeCell ref="A20:N20"/>
    <mergeCell ref="A1:C1"/>
    <mergeCell ref="D1:O1"/>
    <mergeCell ref="D2:O2"/>
    <mergeCell ref="D3:O3"/>
    <mergeCell ref="A5:O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D37"/>
  <sheetViews>
    <sheetView zoomScale="80" zoomScaleNormal="80" workbookViewId="0">
      <selection activeCell="B35" sqref="B35:X35"/>
    </sheetView>
  </sheetViews>
  <sheetFormatPr defaultRowHeight="14.4"/>
  <cols>
    <col min="1" max="1" width="20.6640625" customWidth="1"/>
    <col min="2" max="24" width="6.33203125" customWidth="1"/>
  </cols>
  <sheetData>
    <row r="1" spans="1:30" ht="45" customHeight="1">
      <c r="A1" s="32" t="s">
        <v>134</v>
      </c>
      <c r="B1" s="32"/>
      <c r="C1" s="32"/>
      <c r="D1" s="40" t="s">
        <v>94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1"/>
      <c r="Q1" s="1"/>
    </row>
    <row r="2" spans="1:30" ht="15" customHeight="1">
      <c r="D2" s="34" t="s">
        <v>95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1"/>
    </row>
    <row r="3" spans="1:30" ht="15" customHeight="1">
      <c r="D3" s="34" t="s">
        <v>112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30" ht="2.25" customHeight="1"/>
    <row r="5" spans="1:30">
      <c r="A5" s="41" t="s">
        <v>97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 t="s">
        <v>97</v>
      </c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</row>
    <row r="6" spans="1:30">
      <c r="A6" s="3" t="s">
        <v>78</v>
      </c>
      <c r="B6" s="10">
        <v>100</v>
      </c>
      <c r="C6" s="10">
        <v>110</v>
      </c>
      <c r="D6" s="10">
        <v>115</v>
      </c>
      <c r="E6" s="10">
        <v>120</v>
      </c>
      <c r="F6" s="10">
        <v>125</v>
      </c>
      <c r="G6" s="10">
        <v>130</v>
      </c>
      <c r="H6" s="10">
        <v>140</v>
      </c>
      <c r="I6" s="10">
        <v>150</v>
      </c>
      <c r="J6" s="10">
        <v>160</v>
      </c>
      <c r="K6" s="10">
        <v>180</v>
      </c>
      <c r="L6" s="10">
        <v>200</v>
      </c>
      <c r="M6" s="10">
        <v>220</v>
      </c>
      <c r="N6" s="10">
        <v>250</v>
      </c>
      <c r="O6" s="10">
        <v>260</v>
      </c>
      <c r="P6" s="10">
        <v>270</v>
      </c>
      <c r="Q6" s="10">
        <v>280</v>
      </c>
      <c r="R6" s="10">
        <v>290</v>
      </c>
      <c r="S6" s="10">
        <v>300</v>
      </c>
      <c r="T6" s="10">
        <v>310</v>
      </c>
      <c r="U6" s="10">
        <v>320</v>
      </c>
      <c r="V6" s="10">
        <v>330</v>
      </c>
      <c r="W6" s="10">
        <v>340</v>
      </c>
      <c r="X6" s="10">
        <v>350</v>
      </c>
    </row>
    <row r="7" spans="1:30" hidden="1">
      <c r="A7" s="3" t="s">
        <v>1</v>
      </c>
      <c r="B7" s="10">
        <f>B6+70</f>
        <v>170</v>
      </c>
      <c r="C7" s="10">
        <f t="shared" ref="C7:N7" si="0">C6+70</f>
        <v>180</v>
      </c>
      <c r="D7" s="10">
        <f t="shared" si="0"/>
        <v>185</v>
      </c>
      <c r="E7" s="10">
        <f t="shared" si="0"/>
        <v>190</v>
      </c>
      <c r="F7" s="10">
        <f t="shared" si="0"/>
        <v>195</v>
      </c>
      <c r="G7" s="10">
        <f t="shared" si="0"/>
        <v>200</v>
      </c>
      <c r="H7" s="10">
        <f t="shared" si="0"/>
        <v>210</v>
      </c>
      <c r="I7" s="10">
        <f t="shared" si="0"/>
        <v>220</v>
      </c>
      <c r="J7" s="10">
        <f t="shared" si="0"/>
        <v>230</v>
      </c>
      <c r="K7" s="10">
        <f t="shared" si="0"/>
        <v>250</v>
      </c>
      <c r="L7" s="10">
        <f t="shared" si="0"/>
        <v>270</v>
      </c>
      <c r="M7" s="10">
        <f t="shared" si="0"/>
        <v>290</v>
      </c>
      <c r="N7" s="10">
        <f t="shared" si="0"/>
        <v>320</v>
      </c>
      <c r="O7" s="10">
        <f t="shared" ref="O7:X7" si="1">O6+70</f>
        <v>330</v>
      </c>
      <c r="P7" s="10">
        <f t="shared" si="1"/>
        <v>340</v>
      </c>
      <c r="Q7" s="10">
        <f t="shared" si="1"/>
        <v>350</v>
      </c>
      <c r="R7" s="10">
        <f t="shared" si="1"/>
        <v>360</v>
      </c>
      <c r="S7" s="10">
        <f t="shared" si="1"/>
        <v>370</v>
      </c>
      <c r="T7" s="10">
        <f t="shared" si="1"/>
        <v>380</v>
      </c>
      <c r="U7" s="10">
        <f t="shared" si="1"/>
        <v>390</v>
      </c>
      <c r="V7" s="10">
        <f t="shared" si="1"/>
        <v>400</v>
      </c>
      <c r="W7" s="10">
        <f t="shared" si="1"/>
        <v>410</v>
      </c>
      <c r="X7" s="10">
        <f t="shared" si="1"/>
        <v>420</v>
      </c>
    </row>
    <row r="8" spans="1:30">
      <c r="A8" s="4" t="s">
        <v>89</v>
      </c>
      <c r="B8" s="16">
        <f>(((B6*0.00314)*'Технический лист'!$G$11)*1.25)*2.1</f>
        <v>291.50974999999994</v>
      </c>
      <c r="C8" s="16">
        <f>(((C6*0.00314)*'Технический лист'!$G$11)*1.25)*2.1</f>
        <v>320.66072499999996</v>
      </c>
      <c r="D8" s="16">
        <f>(((D6*0.00314)*'Технический лист'!$G$11)*1.25)*2.1</f>
        <v>335.23621249999997</v>
      </c>
      <c r="E8" s="16">
        <f>(((E6*0.00314)*'Технический лист'!$G$11)*1.25)*2.1</f>
        <v>349.81170000000003</v>
      </c>
      <c r="F8" s="16">
        <f>(((F6*0.00314)*'Технический лист'!$G$11)*1.25)*2.1</f>
        <v>364.38718750000004</v>
      </c>
      <c r="G8" s="16">
        <f>(((G6*0.00314)*'Технический лист'!$G$11)*1.25)*2.1</f>
        <v>378.96267499999993</v>
      </c>
      <c r="H8" s="16">
        <f>(((H6*0.00314)*'Технический лист'!$G$11)*1.25)*2.1</f>
        <v>408.11364999999995</v>
      </c>
      <c r="I8" s="16">
        <f>(((I6*0.00314)*'Технический лист'!$G$11)*1.25)*2.1</f>
        <v>437.26462499999997</v>
      </c>
      <c r="J8" s="16">
        <f>(((J6*0.00314)*'Технический лист'!$G$11)*1.25)*2.1</f>
        <v>466.41559999999987</v>
      </c>
      <c r="K8" s="16">
        <f>(((K6*0.00314)*'Технический лист'!$G$11)*1.25)*2.1</f>
        <v>524.71754999999996</v>
      </c>
      <c r="L8" s="16">
        <f>(((L6*0.00314)*'Технический лист'!$G$11)*1.25)*2.1</f>
        <v>583.01949999999988</v>
      </c>
      <c r="M8" s="16">
        <f>(((M6*0.00314)*'Технический лист'!$G$11)*1.25)*2.1</f>
        <v>641.32144999999991</v>
      </c>
      <c r="N8" s="16">
        <f>(((N6*0.00314)*'Технический лист'!$G$11)*1.25)*2.1</f>
        <v>728.77437500000008</v>
      </c>
      <c r="O8" s="16">
        <f>(((O6*0.00314)*'Технический лист'!$G$11)*1.25)*2.1</f>
        <v>757.92534999999987</v>
      </c>
      <c r="P8" s="16">
        <f>(((P6*0.00314)*'Технический лист'!$G$11)*1.25)*2.1</f>
        <v>787.076325</v>
      </c>
      <c r="Q8" s="16">
        <f>(((Q6*0.00314)*'Технический лист'!$G$11)*1.25)*2.1</f>
        <v>816.2272999999999</v>
      </c>
      <c r="R8" s="16">
        <f>(((R6*0.00314)*'Технический лист'!$G$11)*1.25)*2.1</f>
        <v>845.37827499999992</v>
      </c>
      <c r="S8" s="16">
        <f>(((S6*0.00314)*'Технический лист'!$G$11)*1.25)*2.1</f>
        <v>874.52924999999993</v>
      </c>
      <c r="T8" s="16">
        <f>(((T6*0.00314)*'Технический лист'!$G$11)*1.25)*2.1</f>
        <v>903.68022499999995</v>
      </c>
      <c r="U8" s="16">
        <f>(((U6*0.00314)*'Технический лист'!$G$11)*1.25)*2.1</f>
        <v>932.83119999999974</v>
      </c>
      <c r="V8" s="16">
        <f>(((V6*0.00314)*'Технический лист'!$G$11)*1.25)*2.1</f>
        <v>961.98217499999987</v>
      </c>
      <c r="W8" s="16">
        <f>(((W6*0.00314)*'Технический лист'!$G$11)*1.25)*2.1</f>
        <v>991.13315</v>
      </c>
      <c r="X8" s="16">
        <f>(((X6*0.00314)*'Технический лист'!$G$11)*1.25)*2.1</f>
        <v>1020.2841249999999</v>
      </c>
    </row>
    <row r="9" spans="1:30">
      <c r="A9" s="4" t="s">
        <v>90</v>
      </c>
      <c r="B9" s="9">
        <f>(B8/2)*1.07</f>
        <v>155.95771624999998</v>
      </c>
      <c r="C9" s="9">
        <f t="shared" ref="C9:N9" si="2">(C8/2)*1.07</f>
        <v>171.55348787499997</v>
      </c>
      <c r="D9" s="9">
        <f t="shared" si="2"/>
        <v>179.3513736875</v>
      </c>
      <c r="E9" s="9">
        <f t="shared" si="2"/>
        <v>187.14925950000003</v>
      </c>
      <c r="F9" s="9">
        <f t="shared" si="2"/>
        <v>194.94714531250003</v>
      </c>
      <c r="G9" s="9">
        <f t="shared" si="2"/>
        <v>202.74503112499997</v>
      </c>
      <c r="H9" s="9">
        <f t="shared" si="2"/>
        <v>218.34080274999999</v>
      </c>
      <c r="I9" s="9">
        <f t="shared" si="2"/>
        <v>233.93657437499999</v>
      </c>
      <c r="J9" s="9">
        <f t="shared" si="2"/>
        <v>249.53234599999993</v>
      </c>
      <c r="K9" s="9">
        <f t="shared" si="2"/>
        <v>280.72388925000001</v>
      </c>
      <c r="L9" s="9">
        <f t="shared" si="2"/>
        <v>311.91543249999995</v>
      </c>
      <c r="M9" s="9">
        <f t="shared" si="2"/>
        <v>343.10697574999995</v>
      </c>
      <c r="N9" s="9">
        <f t="shared" si="2"/>
        <v>389.89429062500005</v>
      </c>
      <c r="O9" s="9">
        <f t="shared" ref="O9:X9" si="3">(O8/2)*1.07</f>
        <v>405.49006224999994</v>
      </c>
      <c r="P9" s="9">
        <f t="shared" si="3"/>
        <v>421.08583387500005</v>
      </c>
      <c r="Q9" s="9">
        <f t="shared" si="3"/>
        <v>436.68160549999999</v>
      </c>
      <c r="R9" s="9">
        <f t="shared" si="3"/>
        <v>452.27737712499999</v>
      </c>
      <c r="S9" s="9">
        <f t="shared" si="3"/>
        <v>467.87314874999998</v>
      </c>
      <c r="T9" s="9">
        <f t="shared" si="3"/>
        <v>483.46892037499998</v>
      </c>
      <c r="U9" s="9">
        <f t="shared" si="3"/>
        <v>499.06469199999987</v>
      </c>
      <c r="V9" s="9">
        <f t="shared" si="3"/>
        <v>514.66046362499992</v>
      </c>
      <c r="W9" s="9">
        <f t="shared" si="3"/>
        <v>530.25623525000003</v>
      </c>
      <c r="X9" s="9">
        <f t="shared" si="3"/>
        <v>545.85200687500003</v>
      </c>
    </row>
    <row r="10" spans="1:30">
      <c r="A10" s="4" t="s">
        <v>71</v>
      </c>
      <c r="B10" s="16">
        <f>((B6*0.00314)*0.5)*'Технический лист'!$I$11*2.4</f>
        <v>255.72159999999997</v>
      </c>
      <c r="C10" s="16">
        <f>((C6*0.00314)*0.5)*'Технический лист'!$I$11*2.4</f>
        <v>281.29375999999996</v>
      </c>
      <c r="D10" s="16">
        <f>((D6*0.00314)*0.5)*'Технический лист'!$I$11*2.4</f>
        <v>294.07983999999993</v>
      </c>
      <c r="E10" s="16">
        <f>((E6*0.00314)*0.5)*'Технический лист'!$I$11*2.4</f>
        <v>306.86591999999996</v>
      </c>
      <c r="F10" s="16">
        <f>((F6*0.00314)*0.5)*'Технический лист'!$I$11*2.4</f>
        <v>319.65199999999999</v>
      </c>
      <c r="G10" s="16">
        <f>((G6*0.00314)*0.5)*'Технический лист'!$I$11*2.4</f>
        <v>332.43807999999996</v>
      </c>
      <c r="H10" s="16">
        <f>((H6*0.00314)*0.5)*'Технический лист'!$I$11*2.4</f>
        <v>358.01023999999995</v>
      </c>
      <c r="I10" s="16">
        <f>((I6*0.00314)*0.5)*'Технический лист'!$I$11*2.4</f>
        <v>383.58239999999995</v>
      </c>
      <c r="J10" s="16">
        <f>((J6*0.00314)*0.5)*'Технический лист'!$I$11*2.4</f>
        <v>409.15455999999989</v>
      </c>
      <c r="K10" s="16">
        <f>((K6*0.00314)*0.5)*'Технический лист'!$I$11*2.4</f>
        <v>460.29888</v>
      </c>
      <c r="L10" s="16">
        <f>((L6*0.00314)*0.5)*'Технический лист'!$I$11*2.4</f>
        <v>511.44319999999993</v>
      </c>
      <c r="M10" s="16">
        <f>((M6*0.00314)*0.5)*'Технический лист'!$I$11*2.4</f>
        <v>562.58751999999993</v>
      </c>
      <c r="N10" s="16">
        <f>((N6*0.00314)*0.5)*'Технический лист'!$I$11*2.4</f>
        <v>639.30399999999997</v>
      </c>
      <c r="O10" s="16">
        <f>((O6*0.00314)*0.5)*'Технический лист'!$I$11*2.4</f>
        <v>664.87615999999991</v>
      </c>
      <c r="P10" s="16">
        <f>((P6*0.00314)*0.5)*'Технический лист'!$I$11*2.4</f>
        <v>690.44831999999997</v>
      </c>
      <c r="Q10" s="16">
        <f>((Q6*0.00314)*0.5)*'Технический лист'!$I$11*2.4</f>
        <v>716.02047999999991</v>
      </c>
      <c r="R10" s="16">
        <f>((R6*0.00314)*0.5)*'Технический лист'!$I$11*2.4</f>
        <v>741.59263999999985</v>
      </c>
      <c r="S10" s="16">
        <f>((S6*0.00314)*0.5)*'Технический лист'!$I$11*2.4</f>
        <v>767.1647999999999</v>
      </c>
      <c r="T10" s="16">
        <f>((T6*0.00314)*0.5)*'Технический лист'!$I$11*2.4</f>
        <v>792.73696000000007</v>
      </c>
      <c r="U10" s="16">
        <f>((U6*0.00314)*0.5)*'Технический лист'!$I$11*2.4</f>
        <v>818.30911999999978</v>
      </c>
      <c r="V10" s="16">
        <f>((V6*0.00314)*0.5)*'Технический лист'!$I$11*2.4</f>
        <v>843.88127999999995</v>
      </c>
      <c r="W10" s="16">
        <f>((W6*0.00314)*0.5)*'Технический лист'!$I$11*2.4</f>
        <v>869.45344</v>
      </c>
      <c r="X10" s="16">
        <f>((X6*0.00314)*0.5)*'Технический лист'!$I$11*2.4</f>
        <v>895.02559999999994</v>
      </c>
    </row>
    <row r="11" spans="1:30">
      <c r="A11" s="4" t="s">
        <v>72</v>
      </c>
      <c r="B11" s="9">
        <f>(B10*2)/3</f>
        <v>170.48106666666664</v>
      </c>
      <c r="C11" s="9">
        <f t="shared" ref="C11:N11" si="4">(C10*2)/3</f>
        <v>187.52917333333332</v>
      </c>
      <c r="D11" s="9">
        <f t="shared" si="4"/>
        <v>196.05322666666663</v>
      </c>
      <c r="E11" s="9">
        <f t="shared" si="4"/>
        <v>204.57727999999997</v>
      </c>
      <c r="F11" s="9">
        <f t="shared" si="4"/>
        <v>213.10133333333332</v>
      </c>
      <c r="G11" s="9">
        <f t="shared" si="4"/>
        <v>221.62538666666663</v>
      </c>
      <c r="H11" s="9">
        <f t="shared" si="4"/>
        <v>238.67349333333331</v>
      </c>
      <c r="I11" s="9">
        <f t="shared" si="4"/>
        <v>255.72159999999997</v>
      </c>
      <c r="J11" s="9">
        <f t="shared" si="4"/>
        <v>272.76970666666659</v>
      </c>
      <c r="K11" s="9">
        <f t="shared" si="4"/>
        <v>306.86592000000002</v>
      </c>
      <c r="L11" s="9">
        <f t="shared" si="4"/>
        <v>340.96213333333327</v>
      </c>
      <c r="M11" s="9">
        <f t="shared" si="4"/>
        <v>375.05834666666664</v>
      </c>
      <c r="N11" s="9">
        <f t="shared" si="4"/>
        <v>426.20266666666663</v>
      </c>
      <c r="O11" s="9">
        <f t="shared" ref="O11:X11" si="5">(O10*2)/3</f>
        <v>443.25077333333326</v>
      </c>
      <c r="P11" s="9">
        <f t="shared" si="5"/>
        <v>460.29888</v>
      </c>
      <c r="Q11" s="9">
        <f t="shared" si="5"/>
        <v>477.34698666666662</v>
      </c>
      <c r="R11" s="9">
        <f t="shared" si="5"/>
        <v>494.39509333333325</v>
      </c>
      <c r="S11" s="9">
        <f t="shared" si="5"/>
        <v>511.44319999999993</v>
      </c>
      <c r="T11" s="9">
        <f t="shared" si="5"/>
        <v>528.49130666666667</v>
      </c>
      <c r="U11" s="9">
        <f t="shared" si="5"/>
        <v>545.53941333333319</v>
      </c>
      <c r="V11" s="9">
        <f t="shared" si="5"/>
        <v>562.58751999999993</v>
      </c>
      <c r="W11" s="9">
        <f t="shared" si="5"/>
        <v>579.63562666666667</v>
      </c>
      <c r="X11" s="9">
        <f t="shared" si="5"/>
        <v>596.68373333333329</v>
      </c>
    </row>
    <row r="12" spans="1:30">
      <c r="A12" s="4" t="s">
        <v>73</v>
      </c>
      <c r="B12" s="16">
        <f>((((B6+10)*(B6+10))/1000000)*'Технический лист'!$M$11)+(B6*0.00052)*'Технический лист'!$M$11*2.5</f>
        <v>238.53853333333333</v>
      </c>
      <c r="C12" s="16">
        <f>((((C6+10)*(C6+10))/1000000)*'Технический лист'!$M$11)+(C6*0.00052)*'Технический лист'!$M$11*2.5</f>
        <v>264.22213333333332</v>
      </c>
      <c r="D12" s="16">
        <f>((((D6+10)*(D6+10))/1000000)*'Технический лист'!$M$11)+(D6*0.00052)*'Технический лист'!$M$11*2.5</f>
        <v>277.18983333333335</v>
      </c>
      <c r="E12" s="16">
        <f>((((E6+10)*(E6+10))/1000000)*'Технический лист'!$M$11)+(E6*0.00052)*'Технический лист'!$M$11*2.5</f>
        <v>290.24146666666667</v>
      </c>
      <c r="F12" s="16">
        <f>((((F6+10)*(F6+10))/1000000)*'Технический лист'!$M$11)+(F6*0.00052)*'Технический лист'!$M$11*2.5</f>
        <v>303.37703333333332</v>
      </c>
      <c r="G12" s="16">
        <f>((((G6+10)*(G6+10))/1000000)*'Технический лист'!$M$11)+(G6*0.00052)*'Технический лист'!$M$11*2.5</f>
        <v>316.5965333333333</v>
      </c>
      <c r="H12" s="16">
        <f>((((H6+10)*(H6+10))/1000000)*'Технический лист'!$M$11)+(H6*0.00052)*'Технический лист'!$M$11*2.5</f>
        <v>343.28733333333332</v>
      </c>
      <c r="I12" s="16">
        <f>((((I6+10)*(I6+10))/1000000)*'Технический лист'!$M$11)+(I6*0.00052)*'Технический лист'!$M$11*2.5</f>
        <v>370.31386666666668</v>
      </c>
      <c r="J12" s="16">
        <f>((((J6+10)*(J6+10))/1000000)*'Технический лист'!$M$11)+(J6*0.00052)*'Технический лист'!$M$11*2.5</f>
        <v>397.67613333333333</v>
      </c>
      <c r="K12" s="16">
        <f>((((K6+10)*(K6+10))/1000000)*'Технический лист'!$M$11)+(K6*0.00052)*'Технический лист'!$M$11*2.5</f>
        <v>453.40786666666668</v>
      </c>
      <c r="L12" s="16">
        <f>((((L6+10)*(L6+10))/1000000)*'Технический лист'!$M$11)+(L6*0.00052)*'Технический лист'!$M$11*2.5</f>
        <v>510.48253333333332</v>
      </c>
      <c r="M12" s="16">
        <f>((((M6+10)*(M6+10))/1000000)*'Технический лист'!$M$11)+(M6*0.00052)*'Технический лист'!$M$11*2.5</f>
        <v>568.90013333333332</v>
      </c>
      <c r="N12" s="16">
        <f>((((N6+10)*(N6+10))/1000000)*'Технический лист'!$M$11)+(N6*0.00052)*'Технический лист'!$M$11*2.5</f>
        <v>659.04453333333322</v>
      </c>
      <c r="O12" s="16">
        <f>((((O6+10)*(O6+10))/1000000)*'Технический лист'!$M$11)+(O6*0.00052)*'Технический лист'!$M$11*2.5</f>
        <v>689.76413333333335</v>
      </c>
      <c r="P12" s="16">
        <f>((((P6+10)*(P6+10))/1000000)*'Технический лист'!$M$11)+(P6*0.00052)*'Технический лист'!$M$11*2.5</f>
        <v>720.8194666666667</v>
      </c>
      <c r="Q12" s="16">
        <f>((((Q6+10)*(Q6+10))/1000000)*'Технический лист'!$M$11)+(Q6*0.00052)*'Технический лист'!$M$11*2.5</f>
        <v>752.21053333333339</v>
      </c>
      <c r="R12" s="16">
        <f>((((R6+10)*(R6+10))/1000000)*'Технический лист'!$M$11)+(R6*0.00052)*'Технический лист'!$M$11*2.5</f>
        <v>783.93733333333341</v>
      </c>
      <c r="S12" s="16">
        <f>((((S6+10)*(S6+10))/1000000)*'Технический лист'!$M$11)+(S6*0.00052)*'Технический лист'!$M$11*2.5</f>
        <v>815.99986666666678</v>
      </c>
      <c r="T12" s="16">
        <f>((((T6+10)*(T6+10))/1000000)*'Технический лист'!$M$11)+(T6*0.00052)*'Технический лист'!$M$11*2.5</f>
        <v>848.39813333333336</v>
      </c>
      <c r="U12" s="16">
        <f>((((U6+10)*(U6+10))/1000000)*'Технический лист'!$M$11)+(U6*0.00052)*'Технический лист'!$M$11*2.5</f>
        <v>881.13213333333329</v>
      </c>
      <c r="V12" s="16">
        <f>((((V6+10)*(V6+10))/1000000)*'Технический лист'!$M$11)+(V6*0.00052)*'Технический лист'!$M$11*2.5</f>
        <v>914.20186666666655</v>
      </c>
      <c r="W12" s="16">
        <f>((((W6+10)*(W6+10))/1000000)*'Технический лист'!$M$11)+(W6*0.00052)*'Технический лист'!$M$11*2.5</f>
        <v>947.60733333333326</v>
      </c>
      <c r="X12" s="16">
        <f>((((X6+10)*(X6+10))/1000000)*'Технический лист'!$M$11)+(X6*0.00052)*'Технический лист'!$M$11*2.5</f>
        <v>981.34853333333331</v>
      </c>
    </row>
    <row r="13" spans="1:30">
      <c r="A13" s="4" t="s">
        <v>74</v>
      </c>
      <c r="B13" s="9">
        <f>(((B6*0.00314)*0.45)*'Технический лист'!$M$11)+B12</f>
        <v>475.73413333333338</v>
      </c>
      <c r="C13" s="9">
        <f>(((C6*0.00314)*0.45)*'Технический лист'!$M$11)+C12</f>
        <v>525.13729333333333</v>
      </c>
      <c r="D13" s="9">
        <f>(((D6*0.00314)*0.45)*'Технический лист'!$M$11)+D12</f>
        <v>549.96477333333337</v>
      </c>
      <c r="E13" s="9">
        <f>(((E6*0.00314)*0.45)*'Технический лист'!$M$11)+E12</f>
        <v>574.87618666666663</v>
      </c>
      <c r="F13" s="9">
        <f>(((F6*0.00314)*0.45)*'Технический лист'!$M$11)+F12</f>
        <v>599.87153333333333</v>
      </c>
      <c r="G13" s="9">
        <f>(((G6*0.00314)*0.45)*'Технический лист'!$M$11)+G12</f>
        <v>624.95081333333337</v>
      </c>
      <c r="H13" s="9">
        <f>(((H6*0.00314)*0.45)*'Технический лист'!$M$11)+H12</f>
        <v>675.36117333333334</v>
      </c>
      <c r="I13" s="9">
        <f>(((I6*0.00314)*0.45)*'Технический лист'!$M$11)+I12</f>
        <v>726.10726666666665</v>
      </c>
      <c r="J13" s="9">
        <f>(((J6*0.00314)*0.45)*'Технический лист'!$M$11)+J12</f>
        <v>777.18909333333329</v>
      </c>
      <c r="K13" s="9">
        <f>(((K6*0.00314)*0.45)*'Технический лист'!$M$11)+K12</f>
        <v>880.3599466666667</v>
      </c>
      <c r="L13" s="9">
        <f>(((L6*0.00314)*0.45)*'Технический лист'!$M$11)+L12</f>
        <v>984.87373333333335</v>
      </c>
      <c r="M13" s="9">
        <f>(((M6*0.00314)*0.45)*'Технический лист'!$M$11)+M12</f>
        <v>1090.7304533333333</v>
      </c>
      <c r="N13" s="9">
        <f>(((N6*0.00314)*0.45)*'Технический лист'!$M$11)+N12</f>
        <v>1252.0335333333333</v>
      </c>
      <c r="O13" s="9">
        <f>(((O6*0.00314)*0.45)*'Технический лист'!$M$11)+O12</f>
        <v>1306.4726933333336</v>
      </c>
      <c r="P13" s="9">
        <f>(((P6*0.00314)*0.45)*'Технический лист'!$M$11)+P12</f>
        <v>1361.2475866666668</v>
      </c>
      <c r="Q13" s="9">
        <f>(((Q6*0.00314)*0.45)*'Технический лист'!$M$11)+Q12</f>
        <v>1416.3582133333334</v>
      </c>
      <c r="R13" s="9">
        <f>(((R6*0.00314)*0.45)*'Технический лист'!$M$11)+R12</f>
        <v>1471.8045733333333</v>
      </c>
      <c r="S13" s="9">
        <f>(((S6*0.00314)*0.45)*'Технический лист'!$M$11)+S12</f>
        <v>1527.5866666666668</v>
      </c>
      <c r="T13" s="9">
        <f>(((T6*0.00314)*0.45)*'Технический лист'!$M$11)+T12</f>
        <v>1583.7044933333334</v>
      </c>
      <c r="U13" s="9">
        <f>(((U6*0.00314)*0.45)*'Технический лист'!$M$11)+U12</f>
        <v>1640.1580533333331</v>
      </c>
      <c r="V13" s="9">
        <f>(((V6*0.00314)*0.45)*'Технический лист'!$M$11)+V12</f>
        <v>1696.9473466666666</v>
      </c>
      <c r="W13" s="9">
        <f>(((W6*0.00314)*0.45)*'Технический лист'!$M$11)+W12</f>
        <v>1754.0723733333334</v>
      </c>
      <c r="X13" s="9">
        <f>(((X6*0.00314)*0.45)*'Технический лист'!$M$11)+X12</f>
        <v>1811.5331333333334</v>
      </c>
    </row>
    <row r="14" spans="1:30" hidden="1">
      <c r="A14" s="4" t="s">
        <v>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</row>
    <row r="15" spans="1:30">
      <c r="A15" s="4" t="s">
        <v>75</v>
      </c>
      <c r="B15" s="9">
        <f>((B6*0.00314)*((B6+500)/1000)*'Технический лист'!$K$11)*2.75</f>
        <v>351.61719999999997</v>
      </c>
      <c r="C15" s="9">
        <f>((C6*0.00314)*((C6+500)/1000)*'Технический лист'!$K$11)*2.75</f>
        <v>393.22523533333333</v>
      </c>
      <c r="D15" s="9">
        <f>((D6*0.00314)*((D6+500)/1000)*'Технический лист'!$K$11)*2.75</f>
        <v>414.46877449999999</v>
      </c>
      <c r="E15" s="9">
        <f>((E6*0.00314)*((E6+500)/1000)*'Технический лист'!$K$11)*2.75</f>
        <v>436.00532800000002</v>
      </c>
      <c r="F15" s="9">
        <f>((F6*0.00314)*((F6+500)/1000)*'Технический лист'!$K$11)*2.75</f>
        <v>457.83489583333335</v>
      </c>
      <c r="G15" s="9">
        <f>((G6*0.00314)*((G6+500)/1000)*'Технический лист'!$K$11)*2.75</f>
        <v>479.95747799999998</v>
      </c>
      <c r="H15" s="9">
        <f>((H6*0.00314)*((H6+500)/1000)*'Технический лист'!$K$11)*2.75</f>
        <v>525.08168533333321</v>
      </c>
      <c r="I15" s="9">
        <f>((I6*0.00314)*((I6+500)/1000)*'Технический лист'!$K$11)*2.75</f>
        <v>571.37794999999994</v>
      </c>
      <c r="J15" s="9">
        <f>((J6*0.00314)*((J6+500)/1000)*'Технический лист'!$K$11)*2.75</f>
        <v>618.84627199999989</v>
      </c>
      <c r="K15" s="9">
        <f>((K6*0.00314)*((K6+500)/1000)*'Технический лист'!$K$11)*2.75</f>
        <v>717.2990880000001</v>
      </c>
      <c r="L15" s="9">
        <f>((L6*0.00314)*((L6+500)/1000)*'Технический лист'!$K$11)*2.75</f>
        <v>820.44013333333328</v>
      </c>
      <c r="M15" s="9">
        <f>((M6*0.00314)*((M6+500)/1000)*'Технический лист'!$K$11)*2.75</f>
        <v>928.26940799999988</v>
      </c>
      <c r="N15" s="9">
        <f>((N6*0.00314)*((N6+500)/1000)*'Технический лист'!$K$11)*2.75</f>
        <v>1098.80375</v>
      </c>
      <c r="O15" s="9">
        <f>((O6*0.00314)*((O6+500)/1000)*'Технический лист'!$K$11)*2.75</f>
        <v>1157.9926453333333</v>
      </c>
      <c r="P15" s="9">
        <f>((P6*0.00314)*((P6+500)/1000)*'Технический лист'!$K$11)*2.75</f>
        <v>1218.3535979999999</v>
      </c>
      <c r="Q15" s="9">
        <f>((Q6*0.00314)*((Q6+500)/1000)*'Технический лист'!$K$11)*2.75</f>
        <v>1279.886608</v>
      </c>
      <c r="R15" s="9">
        <f>((R6*0.00314)*((R6+500)/1000)*'Технический лист'!$K$11)*2.75</f>
        <v>1342.5916753333331</v>
      </c>
      <c r="S15" s="9">
        <f>((S6*0.00314)*((S6+500)/1000)*'Технический лист'!$K$11)*2.75</f>
        <v>1406.4687999999999</v>
      </c>
      <c r="T15" s="9">
        <f>((T6*0.00314)*((T6+500)/1000)*'Технический лист'!$K$11)*2.75</f>
        <v>1471.5179819999998</v>
      </c>
      <c r="U15" s="9">
        <f>((U6*0.00314)*((U6+500)/1000)*'Технический лист'!$K$11)*2.75</f>
        <v>1537.739221333333</v>
      </c>
      <c r="V15" s="9">
        <f>((V6*0.00314)*((V6+500)/1000)*'Технический лист'!$K$11)*2.75</f>
        <v>1605.1325179999999</v>
      </c>
      <c r="W15" s="9">
        <f>((W6*0.00314)*((W6+500)/1000)*'Технический лист'!$K$11)*2.75</f>
        <v>1673.697872</v>
      </c>
      <c r="X15" s="9">
        <f>((X6*0.00314)*((X6+500)/1000)*'Технический лист'!$K$11)*2.75</f>
        <v>1743.4352833333332</v>
      </c>
    </row>
    <row r="16" spans="1:30" ht="0.75" hidden="1" customHeight="1">
      <c r="A16" s="4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28">
      <c r="A17" s="4" t="s">
        <v>102</v>
      </c>
      <c r="B17" s="9">
        <v>468</v>
      </c>
      <c r="C17" s="9">
        <v>505</v>
      </c>
      <c r="D17" s="9">
        <v>520</v>
      </c>
      <c r="E17" s="9">
        <v>520</v>
      </c>
      <c r="F17" s="9">
        <v>530</v>
      </c>
      <c r="G17" s="9">
        <v>550</v>
      </c>
      <c r="H17" s="9">
        <v>595</v>
      </c>
      <c r="I17" s="9">
        <v>595</v>
      </c>
      <c r="J17" s="9">
        <v>658</v>
      </c>
      <c r="K17" s="9">
        <v>658</v>
      </c>
      <c r="L17" s="9">
        <v>795</v>
      </c>
      <c r="M17" s="9">
        <v>795</v>
      </c>
      <c r="N17" s="9">
        <v>970</v>
      </c>
      <c r="O17" s="9">
        <v>970</v>
      </c>
      <c r="P17" s="9">
        <v>970</v>
      </c>
      <c r="Q17" s="9">
        <v>1050</v>
      </c>
      <c r="R17" s="9">
        <v>1050</v>
      </c>
      <c r="S17" s="9">
        <v>1100</v>
      </c>
      <c r="T17" s="9">
        <v>1100</v>
      </c>
      <c r="U17" s="9">
        <v>1100</v>
      </c>
      <c r="V17" s="9">
        <v>1100</v>
      </c>
      <c r="W17" s="9">
        <v>1100</v>
      </c>
      <c r="X17" s="9">
        <v>1100</v>
      </c>
    </row>
    <row r="18" spans="1:28">
      <c r="A18" s="4" t="s">
        <v>99</v>
      </c>
      <c r="B18" s="9">
        <v>520</v>
      </c>
      <c r="C18" s="9">
        <v>520</v>
      </c>
      <c r="D18" s="9">
        <v>520</v>
      </c>
      <c r="E18" s="9">
        <v>520</v>
      </c>
      <c r="F18" s="9">
        <v>520</v>
      </c>
      <c r="G18" s="9">
        <v>520</v>
      </c>
      <c r="H18" s="9">
        <v>520</v>
      </c>
      <c r="I18" s="9">
        <v>520</v>
      </c>
      <c r="J18" s="9">
        <v>520</v>
      </c>
      <c r="K18" s="9">
        <v>520</v>
      </c>
      <c r="L18" s="9">
        <v>520</v>
      </c>
      <c r="M18" s="9">
        <v>520</v>
      </c>
      <c r="N18" s="9">
        <v>520</v>
      </c>
      <c r="O18" s="9">
        <v>520</v>
      </c>
      <c r="P18" s="9">
        <v>520</v>
      </c>
      <c r="Q18" s="9">
        <v>520</v>
      </c>
      <c r="R18" s="9">
        <v>520</v>
      </c>
      <c r="S18" s="9">
        <v>520</v>
      </c>
      <c r="T18" s="9">
        <v>520</v>
      </c>
      <c r="U18" s="9">
        <v>520</v>
      </c>
      <c r="V18" s="9">
        <v>520</v>
      </c>
      <c r="W18" s="9">
        <v>520</v>
      </c>
      <c r="X18" s="9">
        <v>520</v>
      </c>
    </row>
    <row r="19" spans="1:28">
      <c r="A19" s="4" t="s">
        <v>100</v>
      </c>
      <c r="B19" s="9">
        <v>585</v>
      </c>
      <c r="C19" s="9">
        <v>585</v>
      </c>
      <c r="D19" s="9">
        <v>585</v>
      </c>
      <c r="E19" s="9">
        <v>585</v>
      </c>
      <c r="F19" s="9">
        <v>585</v>
      </c>
      <c r="G19" s="9">
        <v>585</v>
      </c>
      <c r="H19" s="9">
        <v>585</v>
      </c>
      <c r="I19" s="9">
        <v>585</v>
      </c>
      <c r="J19" s="9">
        <v>585</v>
      </c>
      <c r="K19" s="9">
        <v>585</v>
      </c>
      <c r="L19" s="9">
        <v>585</v>
      </c>
      <c r="M19" s="9">
        <v>585</v>
      </c>
      <c r="N19" s="9">
        <v>585</v>
      </c>
      <c r="O19" s="9">
        <v>585</v>
      </c>
      <c r="P19" s="9">
        <v>585</v>
      </c>
      <c r="Q19" s="9">
        <v>585</v>
      </c>
      <c r="R19" s="9">
        <v>585</v>
      </c>
      <c r="S19" s="9">
        <v>585</v>
      </c>
      <c r="T19" s="9">
        <v>585</v>
      </c>
      <c r="U19" s="9">
        <v>585</v>
      </c>
      <c r="V19" s="9">
        <v>585</v>
      </c>
      <c r="W19" s="9">
        <v>585</v>
      </c>
      <c r="X19" s="9">
        <v>585</v>
      </c>
    </row>
    <row r="20" spans="1:28">
      <c r="A20" s="4" t="s">
        <v>101</v>
      </c>
      <c r="B20" s="9">
        <v>1144</v>
      </c>
      <c r="C20" s="9">
        <v>1144</v>
      </c>
      <c r="D20" s="9">
        <v>1144</v>
      </c>
      <c r="E20" s="9">
        <v>1144</v>
      </c>
      <c r="F20" s="9">
        <v>1144</v>
      </c>
      <c r="G20" s="9">
        <v>1144</v>
      </c>
      <c r="H20" s="9">
        <v>1144</v>
      </c>
      <c r="I20" s="9">
        <v>1144</v>
      </c>
      <c r="J20" s="9">
        <v>1475</v>
      </c>
      <c r="K20" s="9">
        <v>1475</v>
      </c>
      <c r="L20" s="9">
        <v>1475</v>
      </c>
      <c r="M20" s="9">
        <v>1900</v>
      </c>
      <c r="N20" s="9">
        <v>1900</v>
      </c>
      <c r="O20" s="9">
        <v>1900</v>
      </c>
      <c r="P20" s="9">
        <v>2120</v>
      </c>
      <c r="Q20" s="9">
        <v>2120</v>
      </c>
      <c r="R20" s="9">
        <v>2120</v>
      </c>
      <c r="S20" s="9">
        <v>2505</v>
      </c>
      <c r="T20" s="9">
        <v>2505</v>
      </c>
      <c r="U20" s="9">
        <v>2820</v>
      </c>
      <c r="V20" s="9">
        <v>2820</v>
      </c>
      <c r="W20" s="9">
        <v>2820</v>
      </c>
      <c r="X20" s="9">
        <v>2820</v>
      </c>
    </row>
    <row r="21" spans="1:28">
      <c r="A21" s="4" t="s">
        <v>91</v>
      </c>
      <c r="B21" s="16">
        <v>155</v>
      </c>
      <c r="C21" s="16">
        <v>155</v>
      </c>
      <c r="D21" s="16">
        <v>155</v>
      </c>
      <c r="E21" s="16">
        <v>155</v>
      </c>
      <c r="F21" s="16">
        <v>155</v>
      </c>
      <c r="G21" s="16">
        <v>155</v>
      </c>
      <c r="H21" s="16">
        <v>155</v>
      </c>
      <c r="I21" s="16">
        <v>155</v>
      </c>
      <c r="J21" s="16">
        <v>155</v>
      </c>
      <c r="K21" s="16">
        <v>155</v>
      </c>
      <c r="L21" s="16">
        <v>155</v>
      </c>
      <c r="M21" s="16">
        <v>155</v>
      </c>
      <c r="N21" s="16">
        <v>155</v>
      </c>
      <c r="O21" s="16">
        <v>155</v>
      </c>
      <c r="P21" s="16">
        <v>155</v>
      </c>
      <c r="Q21" s="16">
        <v>155</v>
      </c>
      <c r="R21" s="16">
        <v>155</v>
      </c>
      <c r="S21" s="16">
        <v>155</v>
      </c>
      <c r="T21" s="16">
        <v>155</v>
      </c>
      <c r="U21" s="16">
        <v>155</v>
      </c>
      <c r="V21" s="16">
        <v>155</v>
      </c>
      <c r="W21" s="16">
        <v>155</v>
      </c>
      <c r="X21" s="16">
        <v>155</v>
      </c>
    </row>
    <row r="23" spans="1:28">
      <c r="A23" s="41" t="s">
        <v>98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1" t="s">
        <v>98</v>
      </c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</row>
    <row r="24" spans="1:28">
      <c r="A24" s="3" t="s">
        <v>79</v>
      </c>
      <c r="B24" s="10">
        <v>100</v>
      </c>
      <c r="C24" s="10">
        <v>110</v>
      </c>
      <c r="D24" s="10">
        <v>115</v>
      </c>
      <c r="E24" s="10">
        <v>120</v>
      </c>
      <c r="F24" s="10">
        <v>125</v>
      </c>
      <c r="G24" s="10">
        <v>130</v>
      </c>
      <c r="H24" s="10">
        <v>140</v>
      </c>
      <c r="I24" s="10">
        <v>150</v>
      </c>
      <c r="J24" s="10">
        <v>160</v>
      </c>
      <c r="K24" s="10">
        <v>180</v>
      </c>
      <c r="L24" s="10">
        <v>200</v>
      </c>
      <c r="M24" s="10">
        <v>220</v>
      </c>
      <c r="N24" s="10">
        <v>250</v>
      </c>
      <c r="O24" s="10">
        <v>260</v>
      </c>
      <c r="P24" s="10">
        <v>270</v>
      </c>
      <c r="Q24" s="10">
        <v>280</v>
      </c>
      <c r="R24" s="10">
        <v>290</v>
      </c>
      <c r="S24" s="10">
        <v>300</v>
      </c>
      <c r="T24" s="10">
        <v>310</v>
      </c>
      <c r="U24" s="10">
        <v>320</v>
      </c>
      <c r="V24" s="10">
        <v>330</v>
      </c>
      <c r="W24" s="10">
        <v>340</v>
      </c>
      <c r="X24" s="10">
        <v>350</v>
      </c>
    </row>
    <row r="25" spans="1:28" hidden="1">
      <c r="A25" s="3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8">
      <c r="A26" s="4" t="s">
        <v>89</v>
      </c>
      <c r="B26" s="17">
        <f>(((B24*0.00314)*'Технический лист'!$G$14)*1.25)*2.15</f>
        <v>355.83395833333333</v>
      </c>
      <c r="C26" s="17">
        <f>(((C24*0.00314)*'Технический лист'!$G$14)*1.25)*2.15</f>
        <v>391.4173541666666</v>
      </c>
      <c r="D26" s="17">
        <f>(((D24*0.00314)*'Технический лист'!$G$14)*1.25)*2.15</f>
        <v>409.20905208333323</v>
      </c>
      <c r="E26" s="17">
        <f>(((E24*0.00314)*'Технический лист'!$G$14)*1.25)*2.15</f>
        <v>427.00074999999998</v>
      </c>
      <c r="F26" s="17">
        <f>(((F24*0.00314)*'Технический лист'!$G$14)*1.25)*2.15</f>
        <v>444.79244791666662</v>
      </c>
      <c r="G26" s="17">
        <f>(((G24*0.00314)*'Технический лист'!$G$14)*1.25)*2.15</f>
        <v>462.58414583333325</v>
      </c>
      <c r="H26" s="17">
        <f>(((H24*0.00314)*'Технический лист'!$G$14)*1.25)*2.15</f>
        <v>498.16754166666652</v>
      </c>
      <c r="I26" s="17">
        <f>(((I24*0.00314)*'Технический лист'!$G$14)*1.25)*2.15</f>
        <v>533.75093749999985</v>
      </c>
      <c r="J26" s="17">
        <f>(((J24*0.00314)*'Технический лист'!$G$14)*1.25)*2.15</f>
        <v>569.33433333333323</v>
      </c>
      <c r="K26" s="17">
        <f>(((K24*0.00314)*'Технический лист'!$G$14)*1.25)*2.15</f>
        <v>640.50112499999989</v>
      </c>
      <c r="L26" s="17">
        <f>(((L24*0.00314)*'Технический лист'!$G$14)*1.25)*2.15</f>
        <v>711.66791666666666</v>
      </c>
      <c r="M26" s="17">
        <f>(((M24*0.00314)*'Технический лист'!$G$14)*1.25)*2.15</f>
        <v>782.8347083333332</v>
      </c>
      <c r="N26" s="17">
        <f>(((N24*0.00314)*'Технический лист'!$G$14)*1.25)*2.15</f>
        <v>889.58489583333323</v>
      </c>
      <c r="O26" s="17">
        <f>(((O24*0.00314)*'Технический лист'!$G$14)*1.25)*2.15</f>
        <v>925.16829166666651</v>
      </c>
      <c r="P26" s="17">
        <f>(((P24*0.00314)*'Технический лист'!$G$14)*1.25)*2.15</f>
        <v>960.75168749999989</v>
      </c>
      <c r="Q26" s="17">
        <f>(((Q24*0.00314)*'Технический лист'!$G$14)*1.25)*2.15</f>
        <v>996.33508333333305</v>
      </c>
      <c r="R26" s="17">
        <f>(((R24*0.00314)*'Технический лист'!$G$14)*1.25)*2.15</f>
        <v>1031.9184791666664</v>
      </c>
      <c r="S26" s="17">
        <f>(((S24*0.00314)*'Технический лист'!$G$14)*1.25)*2.15</f>
        <v>1067.5018749999997</v>
      </c>
      <c r="T26" s="17">
        <f>(((T24*0.00314)*'Технический лист'!$G$14)*1.25)*2.15</f>
        <v>1103.0852708333332</v>
      </c>
      <c r="U26" s="17">
        <f>(((U24*0.00314)*'Технический лист'!$G$14)*1.25)*2.15</f>
        <v>1138.6686666666665</v>
      </c>
      <c r="V26" s="17">
        <f>(((V24*0.00314)*'Технический лист'!$G$14)*1.25)*2.15</f>
        <v>1174.2520624999997</v>
      </c>
      <c r="W26" s="17">
        <f>(((W24*0.00314)*'Технический лист'!$G$14)*1.25)*2.15</f>
        <v>1209.8354583333332</v>
      </c>
      <c r="X26" s="17">
        <f>(((X24*0.00314)*'Технический лист'!$G$14)*1.25)*2.15</f>
        <v>1245.4188541666667</v>
      </c>
    </row>
    <row r="27" spans="1:28">
      <c r="A27" s="4" t="s">
        <v>90</v>
      </c>
      <c r="B27" s="9">
        <f>(B26/2)*1.07</f>
        <v>190.37116770833333</v>
      </c>
      <c r="C27" s="9">
        <f t="shared" ref="C27:N27" si="6">(C26/2)*1.07</f>
        <v>209.40828447916664</v>
      </c>
      <c r="D27" s="9">
        <f t="shared" si="6"/>
        <v>218.92684286458328</v>
      </c>
      <c r="E27" s="9">
        <f t="shared" si="6"/>
        <v>228.44540125</v>
      </c>
      <c r="F27" s="9">
        <f t="shared" si="6"/>
        <v>237.96395963541664</v>
      </c>
      <c r="G27" s="9">
        <f t="shared" si="6"/>
        <v>247.48251802083331</v>
      </c>
      <c r="H27" s="9">
        <f t="shared" si="6"/>
        <v>266.51963479166659</v>
      </c>
      <c r="I27" s="9">
        <f t="shared" si="6"/>
        <v>285.55675156249993</v>
      </c>
      <c r="J27" s="9">
        <f t="shared" si="6"/>
        <v>304.59386833333332</v>
      </c>
      <c r="K27" s="9">
        <f t="shared" si="6"/>
        <v>342.66810187499993</v>
      </c>
      <c r="L27" s="9">
        <f t="shared" si="6"/>
        <v>380.74233541666666</v>
      </c>
      <c r="M27" s="9">
        <f t="shared" si="6"/>
        <v>418.81656895833328</v>
      </c>
      <c r="N27" s="9">
        <f t="shared" si="6"/>
        <v>475.92791927083329</v>
      </c>
      <c r="O27" s="9">
        <f t="shared" ref="O27:X27" si="7">(O26/2)*1.07</f>
        <v>494.96503604166662</v>
      </c>
      <c r="P27" s="9">
        <f t="shared" si="7"/>
        <v>514.00215281249996</v>
      </c>
      <c r="Q27" s="9">
        <f t="shared" si="7"/>
        <v>533.03926958333318</v>
      </c>
      <c r="R27" s="9">
        <f t="shared" si="7"/>
        <v>552.07638635416652</v>
      </c>
      <c r="S27" s="9">
        <f t="shared" si="7"/>
        <v>571.11350312499985</v>
      </c>
      <c r="T27" s="9">
        <f t="shared" si="7"/>
        <v>590.1506198958333</v>
      </c>
      <c r="U27" s="9">
        <f t="shared" si="7"/>
        <v>609.18773666666664</v>
      </c>
      <c r="V27" s="9">
        <f t="shared" si="7"/>
        <v>628.22485343749986</v>
      </c>
      <c r="W27" s="9">
        <f t="shared" si="7"/>
        <v>647.26197020833331</v>
      </c>
      <c r="X27" s="9">
        <f t="shared" si="7"/>
        <v>666.29908697916676</v>
      </c>
    </row>
    <row r="28" spans="1:28">
      <c r="A28" s="4" t="s">
        <v>71</v>
      </c>
      <c r="B28" s="16">
        <f>((B24*0.00314)*0.55)*'Технический лист'!$I$14*2.85</f>
        <v>367.50560000000002</v>
      </c>
      <c r="C28" s="16">
        <f>((C24*0.00314)*0.55)*'Технический лист'!$I$14*2.85</f>
        <v>404.25616000000002</v>
      </c>
      <c r="D28" s="16">
        <f>((D24*0.00314)*0.55)*'Технический лист'!$I$14*2.85</f>
        <v>422.63144</v>
      </c>
      <c r="E28" s="16">
        <f>((E24*0.00314)*0.55)*'Технический лист'!$I$14*2.85</f>
        <v>441.00672000000003</v>
      </c>
      <c r="F28" s="16">
        <f>((F24*0.00314)*0.55)*'Технический лист'!$I$14*2.85</f>
        <v>459.38200000000012</v>
      </c>
      <c r="G28" s="16">
        <f>((G24*0.00314)*0.55)*'Технический лист'!$I$14*2.85</f>
        <v>477.75727999999998</v>
      </c>
      <c r="H28" s="16">
        <f>((H24*0.00314)*0.55)*'Технический лист'!$I$14*2.85</f>
        <v>514.50783999999999</v>
      </c>
      <c r="I28" s="16">
        <f>((I24*0.00314)*0.55)*'Технический лист'!$I$14*2.85</f>
        <v>551.25839999999994</v>
      </c>
      <c r="J28" s="16">
        <f>((J24*0.00314)*0.55)*'Технический лист'!$I$14*2.85</f>
        <v>588.00896</v>
      </c>
      <c r="K28" s="16">
        <f>((K24*0.00314)*0.55)*'Технический лист'!$I$14*2.85</f>
        <v>661.51008000000002</v>
      </c>
      <c r="L28" s="16">
        <f>((L24*0.00314)*0.55)*'Технический лист'!$I$14*2.85</f>
        <v>735.01120000000003</v>
      </c>
      <c r="M28" s="16">
        <f>((M24*0.00314)*0.55)*'Технический лист'!$I$14*2.85</f>
        <v>808.51232000000005</v>
      </c>
      <c r="N28" s="16">
        <f>((N24*0.00314)*0.55)*'Технический лист'!$I$14*2.85</f>
        <v>918.76400000000024</v>
      </c>
      <c r="O28" s="16">
        <f>((O24*0.00314)*0.55)*'Технический лист'!$I$14*2.85</f>
        <v>955.51455999999996</v>
      </c>
      <c r="P28" s="16">
        <f>((P24*0.00314)*0.55)*'Технический лист'!$I$14*2.85</f>
        <v>992.26512000000002</v>
      </c>
      <c r="Q28" s="16">
        <f>((Q24*0.00314)*0.55)*'Технический лист'!$I$14*2.85</f>
        <v>1029.01568</v>
      </c>
      <c r="R28" s="16">
        <f>((R24*0.00314)*0.55)*'Технический лист'!$I$14*2.85</f>
        <v>1065.7662399999999</v>
      </c>
      <c r="S28" s="16">
        <f>((S24*0.00314)*0.55)*'Технический лист'!$I$14*2.85</f>
        <v>1102.5167999999999</v>
      </c>
      <c r="T28" s="16">
        <f>((T24*0.00314)*0.55)*'Технический лист'!$I$14*2.85</f>
        <v>1139.2673600000001</v>
      </c>
      <c r="U28" s="16">
        <f>((U24*0.00314)*0.55)*'Технический лист'!$I$14*2.85</f>
        <v>1176.01792</v>
      </c>
      <c r="V28" s="16">
        <f>((V24*0.00314)*0.55)*'Технический лист'!$I$14*2.85</f>
        <v>1212.76848</v>
      </c>
      <c r="W28" s="16">
        <f>((W24*0.00314)*0.55)*'Технический лист'!$I$14*2.85</f>
        <v>1249.5190400000004</v>
      </c>
      <c r="X28" s="16">
        <f>((X24*0.00314)*0.55)*'Технический лист'!$I$14*2.85</f>
        <v>1286.2696000000001</v>
      </c>
    </row>
    <row r="29" spans="1:28">
      <c r="A29" s="4" t="s">
        <v>72</v>
      </c>
      <c r="B29" s="9">
        <f>(B28*2)/3</f>
        <v>245.00373333333334</v>
      </c>
      <c r="C29" s="9">
        <f t="shared" ref="C29:N29" si="8">(C28*2)/3</f>
        <v>269.5041066666667</v>
      </c>
      <c r="D29" s="9">
        <f t="shared" si="8"/>
        <v>281.75429333333335</v>
      </c>
      <c r="E29" s="9">
        <f t="shared" si="8"/>
        <v>294.00448</v>
      </c>
      <c r="F29" s="9">
        <f t="shared" si="8"/>
        <v>306.25466666666676</v>
      </c>
      <c r="G29" s="9">
        <f t="shared" si="8"/>
        <v>318.5048533333333</v>
      </c>
      <c r="H29" s="9">
        <f t="shared" si="8"/>
        <v>343.00522666666666</v>
      </c>
      <c r="I29" s="9">
        <f t="shared" si="8"/>
        <v>367.50559999999996</v>
      </c>
      <c r="J29" s="9">
        <f t="shared" si="8"/>
        <v>392.00597333333332</v>
      </c>
      <c r="K29" s="9">
        <f t="shared" si="8"/>
        <v>441.00672000000003</v>
      </c>
      <c r="L29" s="9">
        <f t="shared" si="8"/>
        <v>490.00746666666669</v>
      </c>
      <c r="M29" s="9">
        <f t="shared" si="8"/>
        <v>539.0082133333334</v>
      </c>
      <c r="N29" s="9">
        <f t="shared" si="8"/>
        <v>612.50933333333353</v>
      </c>
      <c r="O29" s="9">
        <f t="shared" ref="O29:X29" si="9">(O28*2)/3</f>
        <v>637.0097066666666</v>
      </c>
      <c r="P29" s="9">
        <f t="shared" si="9"/>
        <v>661.51008000000002</v>
      </c>
      <c r="Q29" s="9">
        <f t="shared" si="9"/>
        <v>686.01045333333332</v>
      </c>
      <c r="R29" s="9">
        <f t="shared" si="9"/>
        <v>710.51082666666662</v>
      </c>
      <c r="S29" s="9">
        <f t="shared" si="9"/>
        <v>735.01119999999992</v>
      </c>
      <c r="T29" s="9">
        <f t="shared" si="9"/>
        <v>759.51157333333333</v>
      </c>
      <c r="U29" s="9">
        <f t="shared" si="9"/>
        <v>784.01194666666663</v>
      </c>
      <c r="V29" s="9">
        <f t="shared" si="9"/>
        <v>808.51231999999993</v>
      </c>
      <c r="W29" s="9">
        <f t="shared" si="9"/>
        <v>833.01269333333357</v>
      </c>
      <c r="X29" s="9">
        <f t="shared" si="9"/>
        <v>857.51306666666676</v>
      </c>
    </row>
    <row r="30" spans="1:28">
      <c r="A30" s="4" t="s">
        <v>73</v>
      </c>
      <c r="B30" s="17">
        <f>((((B24+30)*(B24+30))/1000000)*'Технический лист'!$E$19)+(B24*0.0006)*'Технический лист'!$M$11*2.71</f>
        <v>315.20119999999997</v>
      </c>
      <c r="C30" s="17">
        <f>((((C24+30)*(C24+30))/1000000)*'Технический лист'!$E$19)+(C24*0.0006)*'Технический лист'!$M$11*2.71</f>
        <v>349.24631999999997</v>
      </c>
      <c r="D30" s="17">
        <f>((((D24+30)*(D24+30))/1000000)*'Технический лист'!$E$19)+(D24*0.0006)*'Технический лист'!$M$11*2.71</f>
        <v>366.45637999999997</v>
      </c>
      <c r="E30" s="17">
        <f>((((E24+30)*(E24+30))/1000000)*'Технический лист'!$E$19)+(E24*0.0006)*'Технический лист'!$M$11*2.71</f>
        <v>383.79143999999997</v>
      </c>
      <c r="F30" s="17">
        <f>((((F24+30)*(F24+30))/1000000)*'Технический лист'!$E$19)+(F24*0.0006)*'Технический лист'!$M$11*2.71</f>
        <v>401.25150000000002</v>
      </c>
      <c r="G30" s="17">
        <f>((((G24+30)*(G24+30))/1000000)*'Технический лист'!$E$19)+(G24*0.0006)*'Технический лист'!$M$11*2.71</f>
        <v>418.83656000000002</v>
      </c>
      <c r="H30" s="17">
        <f>((((H24+30)*(H24+30))/1000000)*'Технический лист'!$E$19)+(H24*0.0006)*'Технический лист'!$M$11*2.71</f>
        <v>454.38167999999996</v>
      </c>
      <c r="I30" s="17">
        <f>((((I24+30)*(I24+30))/1000000)*'Технический лист'!$E$19)+(I24*0.0006)*'Технический лист'!$M$11*2.71</f>
        <v>490.42680000000001</v>
      </c>
      <c r="J30" s="17">
        <f>((((J24+30)*(J24+30))/1000000)*'Технический лист'!$E$19)+(J24*0.0006)*'Технический лист'!$M$11*2.71</f>
        <v>526.97191999999995</v>
      </c>
      <c r="K30" s="17">
        <f>((((K24+30)*(K24+30))/1000000)*'Технический лист'!$E$19)+(K24*0.0006)*'Технический лист'!$M$11*2.71</f>
        <v>601.56215999999995</v>
      </c>
      <c r="L30" s="17">
        <f>((((L24+30)*(L24+30))/1000000)*'Технический лист'!$E$19)+(L24*0.0006)*'Технический лист'!$M$11*2.71</f>
        <v>678.15239999999994</v>
      </c>
      <c r="M30" s="17">
        <f>((((M24+30)*(M24+30))/1000000)*'Технический лист'!$E$19)+(M24*0.0006)*'Технический лист'!$M$11*2.71</f>
        <v>756.74263999999994</v>
      </c>
      <c r="N30" s="17">
        <f>((((N24+30)*(N24+30))/1000000)*'Технический лист'!$E$19)+(N24*0.0006)*'Технический лист'!$M$11*2.71</f>
        <v>878.37800000000004</v>
      </c>
      <c r="O30" s="17">
        <f>((((O24+30)*(O24+30))/1000000)*'Технический лист'!$E$19)+(O24*0.0006)*'Технический лист'!$M$11*2.71</f>
        <v>919.92312000000004</v>
      </c>
      <c r="P30" s="17">
        <f>((((P24+30)*(P24+30))/1000000)*'Технический лист'!$E$19)+(P24*0.0006)*'Технический лист'!$M$11*2.71</f>
        <v>961.96823999999992</v>
      </c>
      <c r="Q30" s="17">
        <f>((((Q24+30)*(Q24+30))/1000000)*'Технический лист'!$E$19)+(Q24*0.0006)*'Технический лист'!$M$11*2.71</f>
        <v>1004.5133599999999</v>
      </c>
      <c r="R30" s="17">
        <f>((((R24+30)*(R24+30))/1000000)*'Технический лист'!$E$19)+(R24*0.0006)*'Технический лист'!$M$11*2.71</f>
        <v>1047.5584799999999</v>
      </c>
      <c r="S30" s="17">
        <f>((((S24+30)*(S24+30))/1000000)*'Технический лист'!$E$19)+(S24*0.0006)*'Технический лист'!$M$11*2.71</f>
        <v>1091.1035999999999</v>
      </c>
      <c r="T30" s="17">
        <f>((((T24+30)*(T24+30))/1000000)*'Технический лист'!$E$19)+(T24*0.0006)*'Технический лист'!$M$11*2.71</f>
        <v>1135.1487199999999</v>
      </c>
      <c r="U30" s="17">
        <f>((((U24+30)*(U24+30))/1000000)*'Технический лист'!$E$19)+(U24*0.0006)*'Технический лист'!$M$11*2.71</f>
        <v>1179.6938399999999</v>
      </c>
      <c r="V30" s="17">
        <f>((((V24+30)*(V24+30))/1000000)*'Технический лист'!$E$19)+(V24*0.0006)*'Технический лист'!$M$11*2.71</f>
        <v>1224.7389599999999</v>
      </c>
      <c r="W30" s="17">
        <f>((((W24+30)*(W24+30))/1000000)*'Технический лист'!$E$19)+(W24*0.0006)*'Технический лист'!$M$11*2.71</f>
        <v>1270.2840799999999</v>
      </c>
      <c r="X30" s="17">
        <f>((((X24+30)*(X24+30))/1000000)*'Технический лист'!$E$19)+(X24*0.0006)*'Технический лист'!$M$11*2.71</f>
        <v>1316.3291999999999</v>
      </c>
    </row>
    <row r="31" spans="1:28">
      <c r="A31" s="4" t="s">
        <v>74</v>
      </c>
      <c r="B31" s="20">
        <f>(((B24*0.00314)*0.35)*'Технический лист'!$O$8)+B30</f>
        <v>640.33392727272724</v>
      </c>
      <c r="C31" s="20">
        <f>(((C24*0.00314)*0.35)*'Технический лист'!$O$8)+C30</f>
        <v>706.89231999999993</v>
      </c>
      <c r="D31" s="20">
        <f>(((D24*0.00314)*0.35)*'Технический лист'!$O$8)+D30</f>
        <v>740.35901636363633</v>
      </c>
      <c r="E31" s="20">
        <f>(((E24*0.00314)*0.35)*'Технический лист'!$O$8)+E30</f>
        <v>773.95071272727273</v>
      </c>
      <c r="F31" s="20">
        <f>(((F24*0.00314)*0.35)*'Технический лист'!$O$8)+F30</f>
        <v>807.66740909090913</v>
      </c>
      <c r="G31" s="20">
        <f>(((G24*0.00314)*0.35)*'Технический лист'!$O$8)+G30</f>
        <v>841.50910545454542</v>
      </c>
      <c r="H31" s="9">
        <f>(((H24*0.00314)*0.35)*'Технический лист'!$O$8)+H30</f>
        <v>909.56749818181811</v>
      </c>
      <c r="I31" s="9">
        <f>(((I24*0.00314)*0.35)*'Технический лист'!$O$8)+I30</f>
        <v>978.1258909090908</v>
      </c>
      <c r="J31" s="9">
        <f>(((J24*0.00314)*0.35)*'Технический лист'!$O$8)+J30</f>
        <v>1047.1842836363635</v>
      </c>
      <c r="K31" s="9">
        <f>(((K24*0.00314)*0.35)*'Технический лист'!$O$8)+K30</f>
        <v>1186.8010690909091</v>
      </c>
      <c r="L31" s="9">
        <f>(((L24*0.00314)*0.35)*'Технический лист'!$O$8)+L30</f>
        <v>1328.4178545454545</v>
      </c>
      <c r="M31" s="9">
        <f>(((M24*0.00314)*0.35)*'Технический лист'!$O$8)+M30</f>
        <v>1472.0346399999999</v>
      </c>
      <c r="N31" s="9">
        <f>(((N24*0.00314)*0.35)*'Технический лист'!$O$8)+N30</f>
        <v>1691.2098181818183</v>
      </c>
      <c r="O31" s="9">
        <f>(((O24*0.00314)*0.35)*'Технический лист'!$O$8)+O30</f>
        <v>1765.2682109090908</v>
      </c>
      <c r="P31" s="9">
        <f>(((P24*0.00314)*0.35)*'Технический лист'!$O$8)+P30</f>
        <v>1839.8266036363634</v>
      </c>
      <c r="Q31" s="9">
        <f>(((Q24*0.00314)*0.35)*'Технический лист'!$O$8)+Q30</f>
        <v>1914.8849963636362</v>
      </c>
      <c r="R31" s="9">
        <f>(((R24*0.00314)*0.35)*'Технический лист'!$O$8)+R30</f>
        <v>1990.443389090909</v>
      </c>
      <c r="S31" s="9">
        <f>(((S24*0.00314)*0.35)*'Технический лист'!$O$8)+S30</f>
        <v>2066.5017818181814</v>
      </c>
      <c r="T31" s="9">
        <f>(((T24*0.00314)*0.35)*'Технический лист'!$O$8)+T30</f>
        <v>2143.0601745454542</v>
      </c>
      <c r="U31" s="9">
        <f>(((U24*0.00314)*0.35)*'Технический лист'!$O$8)+U30</f>
        <v>2220.118567272727</v>
      </c>
      <c r="V31" s="9">
        <f>(((V24*0.00314)*0.35)*'Технический лист'!$O$8)+V30</f>
        <v>2297.6769599999998</v>
      </c>
      <c r="W31" s="9">
        <f>(((W24*0.00314)*0.35)*'Технический лист'!$O$8)+W30</f>
        <v>2375.7353527272726</v>
      </c>
      <c r="X31" s="9">
        <f>(((X24*0.00314)*0.35)*'Технический лист'!$O$8)+X30</f>
        <v>2454.2937454545454</v>
      </c>
    </row>
    <row r="32" spans="1:28" hidden="1">
      <c r="A32" s="4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</row>
    <row r="33" spans="1:24">
      <c r="A33" s="4" t="s">
        <v>75</v>
      </c>
      <c r="B33" s="9">
        <f>(((B24*0.00314)*((B24+500)/1000)*'Технический лист'!$K$14))*3.59</f>
        <v>505.01247999999987</v>
      </c>
      <c r="C33" s="9">
        <f>(((C24*0.00314)*((C24+500)/1000)*'Технический лист'!$K$14))*3.59</f>
        <v>564.77229013333329</v>
      </c>
      <c r="D33" s="9">
        <f>(((D24*0.00314)*((D24+500)/1000)*'Технический лист'!$K$14))*3.59</f>
        <v>595.28346079999994</v>
      </c>
      <c r="E33" s="9">
        <f>(((E24*0.00314)*((E24+500)/1000)*'Технический лист'!$K$14))*3.59</f>
        <v>626.21547520000001</v>
      </c>
      <c r="F33" s="9">
        <f>(((F24*0.00314)*((F24+500)/1000)*'Технический лист'!$K$14))*3.59</f>
        <v>657.56833333333327</v>
      </c>
      <c r="G33" s="9">
        <f>(((G24*0.00314)*((G24+500)/1000)*'Технический лист'!$K$14))*3.59</f>
        <v>689.34203519999994</v>
      </c>
      <c r="H33" s="9">
        <f>(((H24*0.00314)*((H24+500)/1000)*'Технический лист'!$K$14))*3.59</f>
        <v>754.15197013333318</v>
      </c>
      <c r="I33" s="9">
        <f>(((I24*0.00314)*((I24+500)/1000)*'Технический лист'!$K$14))*3.59</f>
        <v>820.64527999999996</v>
      </c>
      <c r="J33" s="9">
        <f>(((J24*0.00314)*((J24+500)/1000)*'Технический лист'!$K$14))*3.59</f>
        <v>888.82196479999982</v>
      </c>
      <c r="K33" s="9">
        <f>(((K24*0.00314)*((K24+500)/1000)*'Технический лист'!$K$14))*3.59</f>
        <v>1030.2254591999999</v>
      </c>
      <c r="L33" s="9">
        <f>(((L24*0.00314)*((L24+500)/1000)*'Технический лист'!$K$14))*3.59</f>
        <v>1178.3624533333334</v>
      </c>
      <c r="M33" s="9">
        <f>(((M24*0.00314)*((M24+500)/1000)*'Технический лист'!$K$14))*3.59</f>
        <v>1333.2329471999999</v>
      </c>
      <c r="N33" s="9">
        <f>(((N24*0.00314)*((N24+500)/1000)*'Технический лист'!$K$14))*3.59</f>
        <v>1578.1639999999998</v>
      </c>
      <c r="O33" s="9">
        <f>(((O24*0.00314)*((O24+500)/1000)*'Технический лист'!$K$14))*3.59</f>
        <v>1663.1744341333333</v>
      </c>
      <c r="P33" s="9">
        <f>(((P24*0.00314)*((P24+500)/1000)*'Технический лист'!$K$14))*3.59</f>
        <v>1749.8682431999998</v>
      </c>
      <c r="Q33" s="9">
        <f>(((Q24*0.00314)*((Q24+500)/1000)*'Технический лист'!$K$14))*3.59</f>
        <v>1838.2454271999998</v>
      </c>
      <c r="R33" s="9">
        <f>(((R24*0.00314)*((R24+500)/1000)*'Технический лист'!$K$14))*3.59</f>
        <v>1928.3059861333331</v>
      </c>
      <c r="S33" s="9">
        <f>(((S24*0.00314)*((S24+500)/1000)*'Технический лист'!$K$14))*3.59</f>
        <v>2020.0499199999999</v>
      </c>
      <c r="T33" s="9">
        <f>(((T24*0.00314)*((T24+500)/1000)*'Технический лист'!$K$14))*3.59</f>
        <v>2113.4772288000004</v>
      </c>
      <c r="U33" s="9">
        <f>(((U24*0.00314)*((U24+500)/1000)*'Технический лист'!$K$14))*3.59</f>
        <v>2208.5879125333331</v>
      </c>
      <c r="V33" s="9">
        <f>(((V24*0.00314)*((V24+500)/1000)*'Технический лист'!$K$14))*3.59</f>
        <v>2305.3819711999995</v>
      </c>
      <c r="W33" s="9">
        <f>(((W24*0.00314)*((W24+500)/1000)*'Технический лист'!$K$14))*3.59</f>
        <v>2403.8594047999995</v>
      </c>
      <c r="X33" s="9">
        <f>(((X24*0.00314)*((X24+500)/1000)*'Технический лист'!$K$14))*3.59</f>
        <v>2504.0202133333332</v>
      </c>
    </row>
    <row r="34" spans="1:24" hidden="1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>
      <c r="A35" s="4" t="s">
        <v>102</v>
      </c>
      <c r="B35" s="9">
        <f>(((B24*0.00314)*0.16)*'Технический лист'!$M$14)+((((B24+100)/1000)*((B24+100)/1000))*3)*'Технический лист'!$M$14*3</f>
        <v>716.55253333333349</v>
      </c>
      <c r="C35" s="9">
        <f>(((C24*0.00314)*0.16)*'Технический лист'!$M$14)+((((C24+100)/1000)*((C24+100)/1000))*3)*'Технический лист'!$M$14*3</f>
        <v>789.77978666666661</v>
      </c>
      <c r="D35" s="9">
        <f>(((D24*0.00314)*0.16)*'Технический лист'!$M$14)+((((D24+100)/1000)*((D24+100)/1000))*3)*'Технический лист'!$M$14*3</f>
        <v>827.57241333333332</v>
      </c>
      <c r="E35" s="9">
        <f>(((E24*0.00314)*0.16)*'Технический лист'!$M$14)+((((E24+100)/1000)*((E24+100)/1000))*3)*'Технический лист'!$M$14*3</f>
        <v>866.15104000000008</v>
      </c>
      <c r="F35" s="9">
        <f>(((F24*0.00314)*0.16)*'Технический лист'!$M$14)+((((F24+100)/1000)*((F24+100)/1000))*3)*'Технический лист'!$M$14*3</f>
        <v>905.51566666666668</v>
      </c>
      <c r="G35" s="9">
        <f>(((G24*0.00314)*0.16)*'Технический лист'!$M$14)+((((G24+100)/1000)*((G24+100)/1000))*3)*'Технический лист'!$M$14*3</f>
        <v>945.66629333333344</v>
      </c>
      <c r="H35" s="9">
        <f>(((H24*0.00314)*0.16)*'Технический лист'!$M$14)+((((H24+100)/1000)*((H24+100)/1000))*3)*'Технический лист'!$M$14*3</f>
        <v>1028.3255466666667</v>
      </c>
      <c r="I35" s="9">
        <f>(((I24*0.00314)*0.16)*'Технический лист'!$M$14)+((((I24+100)/1000)*((I24+100)/1000))*3)*'Технический лист'!$M$14*3</f>
        <v>1114.1288</v>
      </c>
      <c r="J35" s="9">
        <f>(((J24*0.00314)*0.16)*'Технический лист'!$M$14)+((((J24+100)/1000)*((J24+100)/1000))*3)*'Технический лист'!$M$14*3</f>
        <v>1203.0760533333337</v>
      </c>
      <c r="K35" s="9">
        <f>(((K24*0.00314)*0.16)*'Технический лист'!$M$14)+((((K24+100)/1000)*((K24+100)/1000))*3)*'Технический лист'!$M$14*3</f>
        <v>1390.40256</v>
      </c>
      <c r="L35" s="9">
        <f>(((L24*0.00314)*0.16)*'Технический лист'!$M$14)+((((L24+100)/1000)*((L24+100)/1000))*3)*'Технический лист'!$M$14*3</f>
        <v>1590.3050666666668</v>
      </c>
      <c r="M35" s="9">
        <f>(((M24*0.00314)*0.16)*'Технический лист'!$M$14)+((((M24+100)/1000)*((M24+100)/1000))*3)*'Технический лист'!$M$14*3</f>
        <v>1802.7835733333334</v>
      </c>
      <c r="N35" s="9">
        <f>(((N24*0.00314)*0.16)*'Технический лист'!$M$14)+((((N24+100)/1000)*((N24+100)/1000))*3)*'Технический лист'!$M$14*3</f>
        <v>2145.0813333333331</v>
      </c>
      <c r="O35" s="9">
        <f>(((O24*0.00314)*0.16)*'Технический лист'!$M$14)+((((O24+100)/1000)*((O24+100)/1000))*3)*'Технический лист'!$M$14*3</f>
        <v>2265.4685866666669</v>
      </c>
      <c r="P35" s="9">
        <f>(((P24*0.00314)*0.16)*'Технический лист'!$M$14)+((((P24+100)/1000)*((P24+100)/1000))*3)*'Технический лист'!$M$14*3</f>
        <v>2388.9998400000004</v>
      </c>
      <c r="Q35" s="9">
        <f>(((Q24*0.00314)*0.16)*'Технический лист'!$M$14)+((((Q24+100)/1000)*((Q24+100)/1000))*3)*'Технический лист'!$M$14*3</f>
        <v>2515.6750933333337</v>
      </c>
      <c r="R35" s="9">
        <f>(((R24*0.00314)*0.16)*'Технический лист'!$M$14)+((((R24+100)/1000)*((R24+100)/1000))*3)*'Технический лист'!$M$14*3</f>
        <v>2645.4943466666673</v>
      </c>
      <c r="S35" s="9">
        <f>(((S24*0.00314)*0.16)*'Технический лист'!$M$14)+((((S24+100)/1000)*((S24+100)/1000))*3)*'Технический лист'!$M$14*3</f>
        <v>2778.4576000000006</v>
      </c>
      <c r="T35" s="9">
        <f>(((T24*0.00314)*0.16)*'Технический лист'!$M$14)+((((T24+100)/1000)*((T24+100)/1000))*3)*'Технический лист'!$M$14*3</f>
        <v>2914.5648533333333</v>
      </c>
      <c r="U35" s="9">
        <f>(((U24*0.00314)*0.16)*'Технический лист'!$M$14)+((((U24+100)/1000)*((U24+100)/1000))*3)*'Технический лист'!$M$14*3</f>
        <v>3053.8161066666667</v>
      </c>
      <c r="V35" s="9">
        <f>(((V24*0.00314)*0.16)*'Технический лист'!$M$14)+((((V24+100)/1000)*((V24+100)/1000))*3)*'Технический лист'!$M$14*3</f>
        <v>3196.2113599999998</v>
      </c>
      <c r="W35" s="9">
        <f>(((W24*0.00314)*0.16)*'Технический лист'!$M$14)+((((W24+100)/1000)*((W24+100)/1000))*3)*'Технический лист'!$M$14*3</f>
        <v>3341.7506133333336</v>
      </c>
      <c r="X35" s="9">
        <f>(((X24*0.00314)*0.16)*'Технический лист'!$M$14)+((((X24+100)/1000)*((X24+100)/1000))*3)*'Технический лист'!$M$14*3</f>
        <v>3490.4338666666667</v>
      </c>
    </row>
    <row r="36" spans="1:24">
      <c r="A36" s="4" t="s">
        <v>99</v>
      </c>
      <c r="B36" s="9">
        <v>675</v>
      </c>
      <c r="C36" s="9">
        <v>675</v>
      </c>
      <c r="D36" s="9">
        <v>675</v>
      </c>
      <c r="E36" s="9">
        <v>675</v>
      </c>
      <c r="F36" s="9">
        <v>675</v>
      </c>
      <c r="G36" s="9">
        <v>675</v>
      </c>
      <c r="H36" s="9">
        <v>675</v>
      </c>
      <c r="I36" s="9">
        <v>675</v>
      </c>
      <c r="J36" s="9">
        <v>675</v>
      </c>
      <c r="K36" s="9">
        <v>675</v>
      </c>
      <c r="L36" s="9">
        <v>675</v>
      </c>
      <c r="M36" s="9">
        <v>675</v>
      </c>
      <c r="N36" s="9">
        <v>675</v>
      </c>
      <c r="O36" s="9">
        <v>675</v>
      </c>
      <c r="P36" s="9">
        <v>675</v>
      </c>
      <c r="Q36" s="9">
        <v>675</v>
      </c>
      <c r="R36" s="9">
        <v>675</v>
      </c>
      <c r="S36" s="9">
        <v>675</v>
      </c>
      <c r="T36" s="9">
        <v>675</v>
      </c>
      <c r="U36" s="9">
        <v>675</v>
      </c>
      <c r="V36" s="9">
        <v>675</v>
      </c>
      <c r="W36" s="9">
        <v>675</v>
      </c>
      <c r="X36" s="9">
        <v>675</v>
      </c>
    </row>
    <row r="37" spans="1:24">
      <c r="A37" s="4" t="s">
        <v>100</v>
      </c>
      <c r="B37" s="9">
        <v>780</v>
      </c>
      <c r="C37" s="9">
        <v>780</v>
      </c>
      <c r="D37" s="9">
        <v>780</v>
      </c>
      <c r="E37" s="9">
        <v>780</v>
      </c>
      <c r="F37" s="9">
        <v>780</v>
      </c>
      <c r="G37" s="9">
        <v>780</v>
      </c>
      <c r="H37" s="9">
        <v>780</v>
      </c>
      <c r="I37" s="9">
        <v>780</v>
      </c>
      <c r="J37" s="9">
        <v>780</v>
      </c>
      <c r="K37" s="9">
        <v>780</v>
      </c>
      <c r="L37" s="9">
        <v>780</v>
      </c>
      <c r="M37" s="9">
        <v>780</v>
      </c>
      <c r="N37" s="9">
        <v>780</v>
      </c>
      <c r="O37" s="9">
        <v>780</v>
      </c>
      <c r="P37" s="9">
        <v>780</v>
      </c>
      <c r="Q37" s="9">
        <v>780</v>
      </c>
      <c r="R37" s="9">
        <v>780</v>
      </c>
      <c r="S37" s="9">
        <v>780</v>
      </c>
      <c r="T37" s="9">
        <v>780</v>
      </c>
      <c r="U37" s="9">
        <v>780</v>
      </c>
      <c r="V37" s="9">
        <v>780</v>
      </c>
      <c r="W37" s="9">
        <v>780</v>
      </c>
      <c r="X37" s="9">
        <v>780</v>
      </c>
    </row>
  </sheetData>
  <mergeCells count="8">
    <mergeCell ref="P5:AD5"/>
    <mergeCell ref="O23:AB23"/>
    <mergeCell ref="A23:N23"/>
    <mergeCell ref="A1:C1"/>
    <mergeCell ref="D1:O1"/>
    <mergeCell ref="D2:O2"/>
    <mergeCell ref="D3:O3"/>
    <mergeCell ref="A5:O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1"/>
  <sheetViews>
    <sheetView zoomScale="80" zoomScaleNormal="80" workbookViewId="0">
      <selection activeCell="B8" sqref="B8:S8"/>
    </sheetView>
  </sheetViews>
  <sheetFormatPr defaultRowHeight="14.4"/>
  <cols>
    <col min="1" max="1" width="26.6640625" customWidth="1"/>
    <col min="2" max="19" width="6.33203125" customWidth="1"/>
  </cols>
  <sheetData>
    <row r="1" spans="1:19" ht="45" customHeight="1">
      <c r="A1" s="32"/>
      <c r="B1" s="32"/>
      <c r="C1" s="32"/>
      <c r="D1" s="40" t="s">
        <v>94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1"/>
      <c r="Q1" s="1"/>
    </row>
    <row r="2" spans="1:19" ht="15" customHeight="1">
      <c r="D2" s="34" t="s">
        <v>95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1"/>
    </row>
    <row r="3" spans="1:19" ht="15" customHeight="1">
      <c r="D3" s="34" t="s">
        <v>112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9" ht="2.25" customHeight="1"/>
    <row r="5" spans="1:19">
      <c r="A5" s="41" t="s">
        <v>2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1:19">
      <c r="A6" s="3" t="s">
        <v>0</v>
      </c>
      <c r="B6" s="10">
        <v>100</v>
      </c>
      <c r="C6" s="10">
        <v>110</v>
      </c>
      <c r="D6" s="10">
        <v>115</v>
      </c>
      <c r="E6" s="10">
        <v>120</v>
      </c>
      <c r="F6" s="10">
        <v>125</v>
      </c>
      <c r="G6" s="10">
        <v>130</v>
      </c>
      <c r="H6" s="10">
        <v>140</v>
      </c>
      <c r="I6" s="10">
        <v>150</v>
      </c>
      <c r="J6" s="10">
        <v>160</v>
      </c>
      <c r="K6" s="10">
        <v>180</v>
      </c>
      <c r="L6" s="10">
        <v>200</v>
      </c>
      <c r="M6" s="10">
        <v>220</v>
      </c>
      <c r="N6" s="10">
        <v>250</v>
      </c>
      <c r="O6" s="10">
        <v>260</v>
      </c>
      <c r="P6" s="10">
        <v>270</v>
      </c>
      <c r="Q6" s="10">
        <v>280</v>
      </c>
      <c r="R6" s="10">
        <v>290</v>
      </c>
      <c r="S6" s="10">
        <v>300</v>
      </c>
    </row>
    <row r="7" spans="1:19">
      <c r="A7" s="3" t="s">
        <v>1</v>
      </c>
      <c r="B7" s="10">
        <f>B6+70</f>
        <v>170</v>
      </c>
      <c r="C7" s="10">
        <f t="shared" ref="C7:N7" si="0">C6+70</f>
        <v>180</v>
      </c>
      <c r="D7" s="10">
        <f t="shared" si="0"/>
        <v>185</v>
      </c>
      <c r="E7" s="10">
        <f t="shared" si="0"/>
        <v>190</v>
      </c>
      <c r="F7" s="10">
        <f t="shared" si="0"/>
        <v>195</v>
      </c>
      <c r="G7" s="10">
        <f t="shared" si="0"/>
        <v>200</v>
      </c>
      <c r="H7" s="10">
        <f t="shared" si="0"/>
        <v>210</v>
      </c>
      <c r="I7" s="10">
        <f t="shared" si="0"/>
        <v>220</v>
      </c>
      <c r="J7" s="10">
        <f t="shared" si="0"/>
        <v>230</v>
      </c>
      <c r="K7" s="10">
        <f t="shared" si="0"/>
        <v>250</v>
      </c>
      <c r="L7" s="10">
        <f t="shared" si="0"/>
        <v>270</v>
      </c>
      <c r="M7" s="10">
        <f t="shared" si="0"/>
        <v>290</v>
      </c>
      <c r="N7" s="10">
        <f t="shared" si="0"/>
        <v>320</v>
      </c>
      <c r="O7" s="10">
        <f t="shared" ref="O7:S7" si="1">O6+70</f>
        <v>330</v>
      </c>
      <c r="P7" s="10">
        <f t="shared" si="1"/>
        <v>340</v>
      </c>
      <c r="Q7" s="10">
        <f t="shared" si="1"/>
        <v>350</v>
      </c>
      <c r="R7" s="10">
        <f t="shared" si="1"/>
        <v>360</v>
      </c>
      <c r="S7" s="10">
        <f t="shared" si="1"/>
        <v>370</v>
      </c>
    </row>
    <row r="8" spans="1:19">
      <c r="A8" s="4" t="s">
        <v>4</v>
      </c>
      <c r="B8" s="16">
        <f>(((B6*0.00314)*'Технический лист'!$G$3)+310+((B7*0.00314)*'Технический лист'!$G$11))*1.95</f>
        <v>1592.28277</v>
      </c>
      <c r="C8" s="16">
        <f>(((C6*0.00314)*'Технический лист'!$G$3)+310+((C7*0.00314)*'Технический лист'!$G$11))*1.95</f>
        <v>1675.9025399999998</v>
      </c>
      <c r="D8" s="16">
        <f>(((D6*0.00314)*'Технический лист'!$G$3)+310+((D7*0.00314)*'Технический лист'!$G$11))*1.95</f>
        <v>1717.7124249999999</v>
      </c>
      <c r="E8" s="16">
        <f>(((E6*0.00314)*'Технический лист'!$G$3)+310+((E7*0.00314)*'Технический лист'!$G$11))*1.95</f>
        <v>1759.5223099999998</v>
      </c>
      <c r="F8" s="16">
        <f>(((F6*0.00314)*'Технический лист'!$G$3)+310+((F7*0.00314)*'Технический лист'!$G$11))*1.95</f>
        <v>1801.332195</v>
      </c>
      <c r="G8" s="16">
        <f>(((G6*0.00314)*'Технический лист'!$G$3)+310+((G7*0.00314)*'Технический лист'!$G$11))*1.95</f>
        <v>1843.1420800000001</v>
      </c>
      <c r="H8" s="16">
        <f>(((H6*0.00314)*'Технический лист'!$G$3)+310+((H7*0.00314)*'Технический лист'!$G$11))*1.95</f>
        <v>1926.7618499999996</v>
      </c>
      <c r="I8" s="16">
        <f>(((I6*0.00314)*'Технический лист'!$G$3)+310+((I7*0.00314)*'Технический лист'!$G$11))*1.95</f>
        <v>2010.3816200000001</v>
      </c>
      <c r="J8" s="16">
        <f>(((J6*0.00314)*'Технический лист'!$G$3)+310+((J7*0.00314)*'Технический лист'!$G$11))*1.95</f>
        <v>2094.0013899999999</v>
      </c>
      <c r="K8" s="16">
        <f>(((K6*0.00314)*'Технический лист'!$G$3)+310+((K7*0.00314)*'Технический лист'!$G$11))*1.95</f>
        <v>2261.2409299999999</v>
      </c>
      <c r="L8" s="16">
        <f>(((L6*0.00314)*'Технический лист'!$G$3)+310+((L7*0.00314)*'Технический лист'!$G$11))*1.95</f>
        <v>2428.48047</v>
      </c>
      <c r="M8" s="16">
        <f>(((M6*0.00314)*'Технический лист'!$G$3)+310+((M7*0.00314)*'Технический лист'!$G$11))*1.95</f>
        <v>2595.72001</v>
      </c>
      <c r="N8" s="16">
        <f>(((N6*0.00314)*'Технический лист'!$G$3)+310+((N7*0.00314)*'Технический лист'!$G$11))*1.95</f>
        <v>2846.5793199999998</v>
      </c>
      <c r="O8" s="16">
        <f>(((O6*0.00314)*'Технический лист'!$G$3)+310+((O7*0.00314)*'Технический лист'!$G$11))*1.95</f>
        <v>2930.1990900000001</v>
      </c>
      <c r="P8" s="16">
        <f>(((P6*0.00314)*'Технический лист'!$G$3)+310+((P7*0.00314)*'Технический лист'!$G$11))*1.95</f>
        <v>3013.8188599999999</v>
      </c>
      <c r="Q8" s="16">
        <f>(((Q6*0.00314)*'Технический лист'!$G$3)+310+((Q7*0.00314)*'Технический лист'!$G$11))*1.95</f>
        <v>3097.4386299999996</v>
      </c>
      <c r="R8" s="16">
        <f>(((R6*0.00314)*'Технический лист'!$G$3)+310+((R7*0.00314)*'Технический лист'!$G$11))*1.95</f>
        <v>3181.0583999999999</v>
      </c>
      <c r="S8" s="16">
        <f>(((S6*0.00314)*'Технический лист'!$G$3)+310+((S7*0.00314)*'Технический лист'!$G$11))*1.95</f>
        <v>3264.6781700000001</v>
      </c>
    </row>
    <row r="9" spans="1:19">
      <c r="A9" s="4" t="s">
        <v>3</v>
      </c>
      <c r="B9" s="9">
        <f>((B8/2)*1.07)-10</f>
        <v>841.87128195000003</v>
      </c>
      <c r="C9" s="9">
        <f t="shared" ref="C9:N9" si="2">((C8/2)*1.07)-10</f>
        <v>886.6078589</v>
      </c>
      <c r="D9" s="9">
        <f t="shared" si="2"/>
        <v>908.97614737499998</v>
      </c>
      <c r="E9" s="9">
        <f t="shared" si="2"/>
        <v>931.34443584999997</v>
      </c>
      <c r="F9" s="9">
        <f t="shared" si="2"/>
        <v>953.71272432500007</v>
      </c>
      <c r="G9" s="9">
        <f t="shared" si="2"/>
        <v>976.08101280000005</v>
      </c>
      <c r="H9" s="9">
        <f t="shared" si="2"/>
        <v>1020.8175897499998</v>
      </c>
      <c r="I9" s="9">
        <f t="shared" si="2"/>
        <v>1065.5541667000002</v>
      </c>
      <c r="J9" s="9">
        <f t="shared" si="2"/>
        <v>1110.29074365</v>
      </c>
      <c r="K9" s="9">
        <f t="shared" si="2"/>
        <v>1199.7638975500001</v>
      </c>
      <c r="L9" s="9">
        <f t="shared" si="2"/>
        <v>1289.2370514500001</v>
      </c>
      <c r="M9" s="9">
        <f t="shared" si="2"/>
        <v>1378.71020535</v>
      </c>
      <c r="N9" s="9">
        <f t="shared" si="2"/>
        <v>1512.9199361999999</v>
      </c>
      <c r="O9" s="9">
        <f t="shared" ref="O9:S9" si="3">((O8/2)*1.07)-10</f>
        <v>1557.6565131500001</v>
      </c>
      <c r="P9" s="9">
        <f t="shared" si="3"/>
        <v>1602.3930901000001</v>
      </c>
      <c r="Q9" s="9">
        <f t="shared" si="3"/>
        <v>1647.1296670499999</v>
      </c>
      <c r="R9" s="9">
        <f t="shared" si="3"/>
        <v>1691.8662440000001</v>
      </c>
      <c r="S9" s="9">
        <f t="shared" si="3"/>
        <v>1736.6028209500003</v>
      </c>
    </row>
    <row r="10" spans="1:19">
      <c r="A10" s="4" t="s">
        <v>5</v>
      </c>
      <c r="B10" s="16">
        <f>((((B6*0.00314)*0.5)*'Технический лист'!$I$3)+310+(((B7*0.00314)*0.5)*'Технический лист'!$I$11))*1.95</f>
        <v>1472.65976</v>
      </c>
      <c r="C10" s="16">
        <f>((((C6*0.00314)*0.5)*'Технический лист'!$I$3)+310+(((C7*0.00314)*0.5)*'Технический лист'!$I$11))*1.95</f>
        <v>1544.93157</v>
      </c>
      <c r="D10" s="16">
        <f>((((D6*0.00314)*0.5)*'Технический лист'!$I$3)+310+(((D7*0.00314)*0.5)*'Технический лист'!$I$11))*1.95</f>
        <v>1581.0674749999998</v>
      </c>
      <c r="E10" s="16">
        <f>((((E6*0.00314)*0.5)*'Технический лист'!$I$3)+310+(((E7*0.00314)*0.5)*'Технический лист'!$I$11))*1.95</f>
        <v>1617.2033799999999</v>
      </c>
      <c r="F10" s="16">
        <f>((((F6*0.00314)*0.5)*'Технический лист'!$I$3)+310+(((F7*0.00314)*0.5)*'Технический лист'!$I$11))*1.95</f>
        <v>1653.3392849999998</v>
      </c>
      <c r="G10" s="16">
        <f>((((G6*0.00314)*0.5)*'Технический лист'!$I$3)+310+(((G7*0.00314)*0.5)*'Технический лист'!$I$11))*1.95</f>
        <v>1689.4751899999999</v>
      </c>
      <c r="H10" s="16">
        <f>((((H6*0.00314)*0.5)*'Технический лист'!$I$3)+310+(((H7*0.00314)*0.5)*'Технический лист'!$I$11))*1.95</f>
        <v>1761.7470000000001</v>
      </c>
      <c r="I10" s="16">
        <f>((((I6*0.00314)*0.5)*'Технический лист'!$I$3)+310+(((I7*0.00314)*0.5)*'Технический лист'!$I$11))*1.95</f>
        <v>1834.01881</v>
      </c>
      <c r="J10" s="16">
        <f>((((J6*0.00314)*0.5)*'Технический лист'!$I$3)+310+(((J7*0.00314)*0.5)*'Технический лист'!$I$11))*1.95</f>
        <v>1906.2906199999998</v>
      </c>
      <c r="K10" s="16">
        <f>((((K6*0.00314)*0.5)*'Технический лист'!$I$3)+310+(((K7*0.00314)*0.5)*'Технический лист'!$I$11))*1.95</f>
        <v>2050.8342399999997</v>
      </c>
      <c r="L10" s="16">
        <f>((((L6*0.00314)*0.5)*'Технический лист'!$I$3)+310+(((L7*0.00314)*0.5)*'Технический лист'!$I$11))*1.95</f>
        <v>2195.3778600000001</v>
      </c>
      <c r="M10" s="16">
        <f>((((M6*0.00314)*0.5)*'Технический лист'!$I$3)+310+(((M7*0.00314)*0.5)*'Технический лист'!$I$11))*1.95</f>
        <v>2339.92148</v>
      </c>
      <c r="N10" s="16">
        <f>((((N6*0.00314)*0.5)*'Технический лист'!$I$3)+310+(((N7*0.00314)*0.5)*'Технический лист'!$I$11))*1.95</f>
        <v>2556.7369100000001</v>
      </c>
      <c r="O10" s="16">
        <f>((((O6*0.00314)*0.5)*'Технический лист'!$I$3)+310+(((O7*0.00314)*0.5)*'Технический лист'!$I$11))*1.95</f>
        <v>2629.0087199999998</v>
      </c>
      <c r="P10" s="16">
        <f>((((P6*0.00314)*0.5)*'Технический лист'!$I$3)+310+(((P7*0.00314)*0.5)*'Технический лист'!$I$11))*1.95</f>
        <v>2701.28053</v>
      </c>
      <c r="Q10" s="16">
        <f>((((Q6*0.00314)*0.5)*'Технический лист'!$I$3)+310+(((Q7*0.00314)*0.5)*'Технический лист'!$I$11))*1.95</f>
        <v>2773.5523400000002</v>
      </c>
      <c r="R10" s="16">
        <f>((((R6*0.00314)*0.5)*'Технический лист'!$I$3)+310+(((R7*0.00314)*0.5)*'Технический лист'!$I$11))*1.95</f>
        <v>2845.8241499999999</v>
      </c>
      <c r="S10" s="16">
        <f>((((S6*0.00314)*0.5)*'Технический лист'!$I$3)+310+(((S7*0.00314)*0.5)*'Технический лист'!$I$11))*1.95</f>
        <v>2918.0959600000001</v>
      </c>
    </row>
    <row r="11" spans="1:19">
      <c r="A11" s="4" t="s">
        <v>96</v>
      </c>
      <c r="B11" s="9">
        <f>((B10*2)/3)-7</f>
        <v>974.77317333333338</v>
      </c>
      <c r="C11" s="9">
        <f t="shared" ref="C11:N11" si="4">((C10*2)/3)-7</f>
        <v>1022.9543799999999</v>
      </c>
      <c r="D11" s="9">
        <f t="shared" si="4"/>
        <v>1047.0449833333332</v>
      </c>
      <c r="E11" s="9">
        <f t="shared" si="4"/>
        <v>1071.1355866666665</v>
      </c>
      <c r="F11" s="9">
        <f t="shared" si="4"/>
        <v>1095.2261899999999</v>
      </c>
      <c r="G11" s="9">
        <f t="shared" si="4"/>
        <v>1119.3167933333332</v>
      </c>
      <c r="H11" s="9">
        <f t="shared" si="4"/>
        <v>1167.498</v>
      </c>
      <c r="I11" s="9">
        <f t="shared" si="4"/>
        <v>1215.6792066666667</v>
      </c>
      <c r="J11" s="9">
        <f t="shared" si="4"/>
        <v>1263.8604133333331</v>
      </c>
      <c r="K11" s="9">
        <f t="shared" si="4"/>
        <v>1360.2228266666664</v>
      </c>
      <c r="L11" s="9">
        <f t="shared" si="4"/>
        <v>1456.5852400000001</v>
      </c>
      <c r="M11" s="9">
        <f t="shared" si="4"/>
        <v>1552.9476533333334</v>
      </c>
      <c r="N11" s="9">
        <f t="shared" si="4"/>
        <v>1697.4912733333333</v>
      </c>
      <c r="O11" s="9">
        <f t="shared" ref="O11:S11" si="5">((O10*2)/3)-7</f>
        <v>1745.67248</v>
      </c>
      <c r="P11" s="9">
        <f t="shared" si="5"/>
        <v>1793.8536866666666</v>
      </c>
      <c r="Q11" s="9">
        <f t="shared" si="5"/>
        <v>1842.0348933333335</v>
      </c>
      <c r="R11" s="9">
        <f t="shared" si="5"/>
        <v>1890.2160999999999</v>
      </c>
      <c r="S11" s="9">
        <f t="shared" si="5"/>
        <v>1938.3973066666667</v>
      </c>
    </row>
    <row r="12" spans="1:19">
      <c r="A12" s="4" t="s">
        <v>6</v>
      </c>
      <c r="B12" s="16">
        <f>((((B6*0.00314)*0.22)*'Технический лист'!$M$3)+100+(((B7*0.00314)*0.21)*'Технический лист'!$O$11)+(((B6+30)*(B6+30)/1000000)*'Технический лист'!$E$18))*1.95</f>
        <v>820.74200519999999</v>
      </c>
      <c r="C12" s="16">
        <f>((((C6*0.00314)*0.22)*'Технический лист'!$M$3)+100+(((C7*0.00314)*0.21)*'Технический лист'!$O$11)+(((C6+30)*(C6+30)/1000000)*'Технический лист'!$E$18))*1.95</f>
        <v>879.90973200000008</v>
      </c>
      <c r="D12" s="16">
        <f>((((D6*0.00314)*0.22)*'Технический лист'!$M$3)+100+(((D7*0.00314)*0.21)*'Технический лист'!$O$11)+(((D6+30)*(D6+30)/1000000)*'Технический лист'!$E$18))*1.95</f>
        <v>909.96159539999996</v>
      </c>
      <c r="E12" s="16">
        <f>((((E6*0.00314)*0.22)*'Технический лист'!$M$3)+100+(((E7*0.00314)*0.21)*'Технический лист'!$O$11)+(((E6+30)*(E6+30)/1000000)*'Технический лист'!$E$18))*1.95</f>
        <v>940.32545880000009</v>
      </c>
      <c r="F12" s="16">
        <f>((((F6*0.00314)*0.22)*'Технический лист'!$M$3)+100+(((F7*0.00314)*0.21)*'Технический лист'!$O$11)+(((F6+30)*(F6+30)/1000000)*'Технический лист'!$E$18))*1.95</f>
        <v>971.0013222</v>
      </c>
      <c r="G12" s="16">
        <f>((((G6*0.00314)*0.22)*'Технический лист'!$M$3)+100+(((G7*0.00314)*0.21)*'Технический лист'!$O$11)+(((G6+30)*(G6+30)/1000000)*'Технический лист'!$E$18))*1.95</f>
        <v>1001.9891855999999</v>
      </c>
      <c r="H12" s="16">
        <f>((((H6*0.00314)*0.22)*'Технический лист'!$M$3)+100+(((H7*0.00314)*0.21)*'Технический лист'!$O$11)+(((H6+30)*(H6+30)/1000000)*'Технический лист'!$E$18))*1.95</f>
        <v>1064.9009123999999</v>
      </c>
      <c r="I12" s="16">
        <f>((((I6*0.00314)*0.22)*'Технический лист'!$M$3)+100+(((I7*0.00314)*0.21)*'Технический лист'!$O$11)+(((I6+30)*(I6+30)/1000000)*'Технический лист'!$E$18))*1.95</f>
        <v>1129.0606391999997</v>
      </c>
      <c r="J12" s="16">
        <f>((((J6*0.00314)*0.22)*'Технический лист'!$M$3)+100+(((J7*0.00314)*0.21)*'Технический лист'!$O$11)+(((J6+30)*(J6+30)/1000000)*'Технический лист'!$E$18))*1.95</f>
        <v>1194.4683659999998</v>
      </c>
      <c r="K12" s="16">
        <f>((((K6*0.00314)*0.22)*'Технический лист'!$M$3)+100+(((K7*0.00314)*0.21)*'Технический лист'!$O$11)+(((K6+30)*(K6+30)/1000000)*'Технический лист'!$E$18))*1.95</f>
        <v>1329.0278195999999</v>
      </c>
      <c r="L12" s="16">
        <f>((((L6*0.00314)*0.22)*'Технический лист'!$M$3)+100+(((L7*0.00314)*0.21)*'Технический лист'!$O$11)+(((L6+30)*(L6+30)/1000000)*'Технический лист'!$E$18))*1.95</f>
        <v>1468.5792732</v>
      </c>
      <c r="M12" s="16">
        <f>((((M6*0.00314)*0.22)*'Технический лист'!$M$3)+100+(((M7*0.00314)*0.21)*'Технический лист'!$O$11)+(((M6+30)*(M6+30)/1000000)*'Технический лист'!$E$18))*1.95</f>
        <v>1613.1227268</v>
      </c>
      <c r="N12" s="16">
        <f>((((N6*0.00314)*0.22)*'Технический лист'!$M$3)+100+(((N7*0.00314)*0.21)*'Технический лист'!$O$11)+(((N6+30)*(N6+30)/1000000)*'Технический лист'!$E$18))*1.95</f>
        <v>1839.2979071999998</v>
      </c>
      <c r="O12" s="16">
        <f>((((O6*0.00314)*0.22)*'Технический лист'!$M$3)+100+(((O7*0.00314)*0.21)*'Технический лист'!$O$11)+(((O6+30)*(O6+30)/1000000)*'Технический лист'!$E$18))*1.95</f>
        <v>1917.1856340000002</v>
      </c>
      <c r="P12" s="16">
        <f>((((P6*0.00314)*0.22)*'Технический лист'!$M$3)+100+(((P7*0.00314)*0.21)*'Технический лист'!$O$11)+(((P6+30)*(P6+30)/1000000)*'Технический лист'!$E$18))*1.95</f>
        <v>1996.3213607999999</v>
      </c>
      <c r="Q12" s="16">
        <f>((((Q6*0.00314)*0.22)*'Технический лист'!$M$3)+100+(((Q7*0.00314)*0.21)*'Технический лист'!$O$11)+(((Q6+30)*(Q6+30)/1000000)*'Технический лист'!$E$18))*1.95</f>
        <v>2076.7050875999998</v>
      </c>
      <c r="R12" s="16">
        <f>((((R6*0.00314)*0.22)*'Технический лист'!$M$3)+100+(((R7*0.00314)*0.21)*'Технический лист'!$O$11)+(((R6+30)*(R6+30)/1000000)*'Технический лист'!$E$18))*1.95</f>
        <v>2158.3368144000001</v>
      </c>
      <c r="S12" s="16">
        <f>((((S6*0.00314)*0.22)*'Технический лист'!$M$3)+100+(((S7*0.00314)*0.21)*'Технический лист'!$O$11)+(((S6+30)*(S6+30)/1000000)*'Технический лист'!$E$18))*1.95</f>
        <v>2241.2165411999999</v>
      </c>
    </row>
    <row r="13" spans="1:19">
      <c r="A13" s="4" t="s">
        <v>7</v>
      </c>
      <c r="B13" s="9">
        <f>(B12*2.2)+24</f>
        <v>1829.6324114400002</v>
      </c>
      <c r="C13" s="9">
        <f t="shared" ref="C13:N13" si="6">(C12*2.2)+24</f>
        <v>1959.8014104000003</v>
      </c>
      <c r="D13" s="9">
        <f t="shared" si="6"/>
        <v>2025.9155098800002</v>
      </c>
      <c r="E13" s="9">
        <f t="shared" si="6"/>
        <v>2092.7160093600005</v>
      </c>
      <c r="F13" s="9">
        <f t="shared" si="6"/>
        <v>2160.20290884</v>
      </c>
      <c r="G13" s="9">
        <f t="shared" si="6"/>
        <v>2228.3762083199999</v>
      </c>
      <c r="H13" s="9">
        <f t="shared" si="6"/>
        <v>2366.78200728</v>
      </c>
      <c r="I13" s="9">
        <f t="shared" si="6"/>
        <v>2507.9334062399998</v>
      </c>
      <c r="J13" s="9">
        <f t="shared" si="6"/>
        <v>2651.8304051999999</v>
      </c>
      <c r="K13" s="9">
        <f t="shared" si="6"/>
        <v>2947.86120312</v>
      </c>
      <c r="L13" s="9">
        <f t="shared" si="6"/>
        <v>3254.8744010400001</v>
      </c>
      <c r="M13" s="9">
        <f t="shared" si="6"/>
        <v>3572.8699989600004</v>
      </c>
      <c r="N13" s="9">
        <f t="shared" si="6"/>
        <v>4070.4553958400002</v>
      </c>
      <c r="O13" s="9">
        <f t="shared" ref="O13:S13" si="7">(O12*2.2)+24</f>
        <v>4241.8083948000003</v>
      </c>
      <c r="P13" s="9">
        <f t="shared" si="7"/>
        <v>4415.9069937599998</v>
      </c>
      <c r="Q13" s="9">
        <f t="shared" si="7"/>
        <v>4592.7511927200003</v>
      </c>
      <c r="R13" s="9">
        <f t="shared" si="7"/>
        <v>4772.340991680001</v>
      </c>
      <c r="S13" s="9">
        <f t="shared" si="7"/>
        <v>4954.6763906400001</v>
      </c>
    </row>
    <row r="14" spans="1:19">
      <c r="A14" s="4" t="s">
        <v>8</v>
      </c>
      <c r="B14" s="16">
        <f>((((B6*0.00314)*0.2)*'Технический лист'!$M$3)+50+(((B7*0.00314)*0.22)*'Технический лист'!$O$11))*1.95</f>
        <v>603.15040240000008</v>
      </c>
      <c r="C14" s="16">
        <f>((((C6*0.00314)*0.2)*'Технический лист'!$M$3)+50+(((C7*0.00314)*0.22)*'Технический лист'!$O$11))*1.95</f>
        <v>643.54424159999996</v>
      </c>
      <c r="D14" s="16">
        <f>((((D6*0.00314)*0.2)*'Технический лист'!$M$3)+50+(((D7*0.00314)*0.22)*'Технический лист'!$O$11))*1.95</f>
        <v>663.74116119999996</v>
      </c>
      <c r="E14" s="16">
        <f>((((E6*0.00314)*0.2)*'Технический лист'!$M$3)+50+(((E7*0.00314)*0.22)*'Технический лист'!$O$11))*1.95</f>
        <v>683.93808079999997</v>
      </c>
      <c r="F14" s="16">
        <f>((((F6*0.00314)*0.2)*'Технический лист'!$M$3)+50+(((F7*0.00314)*0.22)*'Технический лист'!$O$11))*1.95</f>
        <v>704.13500039999997</v>
      </c>
      <c r="G14" s="16">
        <f>((((G6*0.00314)*0.2)*'Технический лист'!$M$3)+50+(((G7*0.00314)*0.22)*'Технический лист'!$O$11))*1.95</f>
        <v>724.33191999999997</v>
      </c>
      <c r="H14" s="16">
        <f>((((H6*0.00314)*0.2)*'Технический лист'!$M$3)+50+(((H7*0.00314)*0.22)*'Технический лист'!$O$11))*1.95</f>
        <v>764.72575919999997</v>
      </c>
      <c r="I14" s="16">
        <f>((((I6*0.00314)*0.2)*'Технический лист'!$M$3)+50+(((I7*0.00314)*0.22)*'Технический лист'!$O$11))*1.95</f>
        <v>805.11959839999997</v>
      </c>
      <c r="J14" s="16">
        <f>((((J6*0.00314)*0.2)*'Технический лист'!$M$3)+50+(((J7*0.00314)*0.22)*'Технический лист'!$O$11))*1.95</f>
        <v>845.51343759999997</v>
      </c>
      <c r="K14" s="16">
        <f>((((K6*0.00314)*0.2)*'Технический лист'!$M$3)+50+(((K7*0.00314)*0.22)*'Технический лист'!$O$11))*1.95</f>
        <v>926.30111600000021</v>
      </c>
      <c r="L14" s="16">
        <f>((((L6*0.00314)*0.2)*'Технический лист'!$M$3)+50+(((L7*0.00314)*0.22)*'Технический лист'!$O$11))*1.95</f>
        <v>1007.0887944000001</v>
      </c>
      <c r="M14" s="16">
        <f>((((M6*0.00314)*0.2)*'Технический лист'!$M$3)+50+(((M7*0.00314)*0.22)*'Технический лист'!$O$11))*1.95</f>
        <v>1087.8764727999999</v>
      </c>
      <c r="N14" s="16">
        <f>((((N6*0.00314)*0.2)*'Технический лист'!$M$3)+50+(((N7*0.00314)*0.22)*'Технический лист'!$O$11))*1.95</f>
        <v>1209.0579904000001</v>
      </c>
      <c r="O14" s="16">
        <f>((((O6*0.00314)*0.2)*'Технический лист'!$M$3)+50+(((O7*0.00314)*0.22)*'Технический лист'!$O$11))*1.95</f>
        <v>1249.4518296000001</v>
      </c>
      <c r="P14" s="16">
        <f>((((P6*0.00314)*0.2)*'Технический лист'!$M$3)+50+(((P7*0.00314)*0.22)*'Технический лист'!$O$11))*1.95</f>
        <v>1289.8456688000001</v>
      </c>
      <c r="Q14" s="16">
        <f>((((Q6*0.00314)*0.2)*'Технический лист'!$M$3)+50+(((Q7*0.00314)*0.22)*'Технический лист'!$O$11))*1.95</f>
        <v>1330.2395079999999</v>
      </c>
      <c r="R14" s="16">
        <f>((((R6*0.00314)*0.2)*'Технический лист'!$M$3)+50+(((R7*0.00314)*0.22)*'Технический лист'!$O$11))*1.95</f>
        <v>1370.6333472000001</v>
      </c>
      <c r="S14" s="16">
        <f>((((S6*0.00314)*0.2)*'Технический лист'!$M$3)+50+(((S7*0.00314)*0.22)*'Технический лист'!$O$11))*1.95</f>
        <v>1411.0271864000001</v>
      </c>
    </row>
    <row r="15" spans="1:19">
      <c r="A15" s="4" t="s">
        <v>9</v>
      </c>
      <c r="B15" s="9">
        <f>((((B6*0.00314)*((B6+545)/1000))*'Технический лист'!$K$3)+370+((B7*0.00314)*((B7+450)/1000))*'Технический лист'!$K$11)*1.95</f>
        <v>1894.8533473999998</v>
      </c>
      <c r="C15" s="9">
        <f>((((C6*0.00314)*((C6+545)/1000))*'Технический лист'!$K$3)+370+((C7*0.00314)*((C7+450)/1000))*'Технический лист'!$K$11)*1.95</f>
        <v>2014.1749017</v>
      </c>
      <c r="D15" s="9">
        <f>((((D6*0.00314)*((D6+545)/1000))*'Технический лист'!$K$3)+370+((D7*0.00314)*((D7+450)/1000))*'Технический лист'!$K$11)*1.95</f>
        <v>2075.0024164999995</v>
      </c>
      <c r="E15" s="9">
        <f>((((E6*0.00314)*((E6+545)/1000))*'Технический лист'!$K$3)+370+((E7*0.00314)*((E7+450)/1000))*'Технический лист'!$K$11)*1.95</f>
        <v>2136.6077564000002</v>
      </c>
      <c r="F15" s="9">
        <f>((((F6*0.00314)*((F6+545)/1000))*'Технический лист'!$K$3)+370+((F7*0.00314)*((F7+450)/1000))*'Технический лист'!$K$11)*1.95</f>
        <v>2198.9909213999999</v>
      </c>
      <c r="G15" s="9">
        <f>((((G6*0.00314)*((G6+545)/1000))*'Технический лист'!$K$3)+370+((G7*0.00314)*((G7+450)/1000))*'Технический лист'!$K$11)*1.95</f>
        <v>2262.1519115000001</v>
      </c>
      <c r="H15" s="9">
        <f>((((H6*0.00314)*((H6+545)/1000))*'Технический лист'!$K$3)+370+((H7*0.00314)*((H7+450)/1000))*'Технический лист'!$K$11)*1.95</f>
        <v>2390.8073669999999</v>
      </c>
      <c r="I15" s="9">
        <f>((((I6*0.00314)*((I6+545)/1000))*'Технический лист'!$K$3)+370+((I7*0.00314)*((I7+450)/1000))*'Технический лист'!$K$11)*1.95</f>
        <v>2522.5741228999996</v>
      </c>
      <c r="J15" s="9">
        <f>((((J6*0.00314)*((J6+545)/1000))*'Технический лист'!$K$3)+370+((J7*0.00314)*((J7+450)/1000))*'Технический лист'!$K$11)*1.95</f>
        <v>2657.4521791999996</v>
      </c>
      <c r="K15" s="9">
        <f>((((K6*0.00314)*((K6+545)/1000))*'Технический лист'!$K$3)+370+((K7*0.00314)*((K7+450)/1000))*'Технический лист'!$K$11)*1.95</f>
        <v>2936.5421929999998</v>
      </c>
      <c r="L15" s="9">
        <f>((((L6*0.00314)*((L6+545)/1000))*'Технический лист'!$K$3)+370+((L7*0.00314)*((L7+450)/1000))*'Технический лист'!$K$11)*1.95</f>
        <v>3228.0774083999995</v>
      </c>
      <c r="M15" s="9">
        <f>((((M6*0.00314)*((M6+545)/1000))*'Технический лист'!$K$3)+370+((M7*0.00314)*((M7+450)/1000))*'Технический лист'!$K$11)*1.95</f>
        <v>3532.0578253999997</v>
      </c>
      <c r="N15" s="9">
        <f>((((N6*0.00314)*((N6+545)/1000))*'Технический лист'!$K$3)+370+((N7*0.00314)*((N7+450)/1000))*'Технический лист'!$K$11)*1.95</f>
        <v>4011.3632038999995</v>
      </c>
      <c r="O15" s="9">
        <f>((((O6*0.00314)*((O6+545)/1000))*'Технический лист'!$K$3)+370+((O7*0.00314)*((O7+450)/1000))*'Технический лист'!$K$11)*1.95</f>
        <v>4177.3542642000002</v>
      </c>
      <c r="P15" s="9">
        <f>((((P6*0.00314)*((P6+545)/1000))*'Технический лист'!$K$3)+370+((P7*0.00314)*((P7+450)/1000))*'Технический лист'!$K$11)*1.95</f>
        <v>4346.4566249</v>
      </c>
      <c r="Q15" s="9">
        <f>((((Q6*0.00314)*((Q6+545)/1000))*'Технический лист'!$K$3)+370+((Q7*0.00314)*((Q7+450)/1000))*'Технический лист'!$K$11)*1.95</f>
        <v>4518.6702859999996</v>
      </c>
      <c r="R15" s="9">
        <f>((((R6*0.00314)*((R6+545)/1000))*'Технический лист'!$K$3)+370+((R7*0.00314)*((R7+450)/1000))*'Технический лист'!$K$11)*1.95</f>
        <v>4693.9952474999991</v>
      </c>
      <c r="S15" s="9">
        <f>((((S6*0.00314)*((S6+545)/1000))*'Технический лист'!$K$3)+370+((S7*0.00314)*((S7+450)/1000))*'Технический лист'!$K$11)*1.95</f>
        <v>4872.4315093999994</v>
      </c>
    </row>
    <row r="16" spans="1:19" ht="0.75" hidden="1" customHeight="1">
      <c r="A16" s="4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>
      <c r="A17" s="4" t="s">
        <v>118</v>
      </c>
      <c r="B17" s="16">
        <v>1800</v>
      </c>
      <c r="C17" s="16">
        <v>1800</v>
      </c>
      <c r="D17" s="16">
        <v>1800</v>
      </c>
      <c r="E17" s="16">
        <v>1800</v>
      </c>
      <c r="F17" s="16">
        <v>1800</v>
      </c>
      <c r="G17" s="16">
        <v>1800</v>
      </c>
      <c r="H17" s="16">
        <v>1800</v>
      </c>
      <c r="I17" s="16">
        <v>1800</v>
      </c>
      <c r="J17" s="16">
        <v>1800</v>
      </c>
      <c r="K17" s="16">
        <v>1800</v>
      </c>
      <c r="L17" s="16">
        <v>1800</v>
      </c>
      <c r="M17" s="16">
        <v>1800</v>
      </c>
      <c r="N17" s="16">
        <v>1800</v>
      </c>
      <c r="O17" s="16">
        <v>1800</v>
      </c>
      <c r="P17" s="16">
        <v>1800</v>
      </c>
      <c r="Q17" s="16">
        <v>1800</v>
      </c>
      <c r="R17" s="16">
        <v>1800</v>
      </c>
      <c r="S17" s="16">
        <v>1800</v>
      </c>
    </row>
    <row r="19" spans="1:19">
      <c r="A19" s="41" t="s">
        <v>10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19">
      <c r="A20" s="3" t="s">
        <v>0</v>
      </c>
      <c r="B20" s="10">
        <v>100</v>
      </c>
      <c r="C20" s="10">
        <v>110</v>
      </c>
      <c r="D20" s="10">
        <v>115</v>
      </c>
      <c r="E20" s="10">
        <v>120</v>
      </c>
      <c r="F20" s="10">
        <v>125</v>
      </c>
      <c r="G20" s="10">
        <v>130</v>
      </c>
      <c r="H20" s="10">
        <v>140</v>
      </c>
      <c r="I20" s="10">
        <v>150</v>
      </c>
      <c r="J20" s="10">
        <v>160</v>
      </c>
      <c r="K20" s="10">
        <v>180</v>
      </c>
      <c r="L20" s="10">
        <v>200</v>
      </c>
      <c r="M20" s="10">
        <v>220</v>
      </c>
      <c r="N20" s="10">
        <v>250</v>
      </c>
      <c r="O20" s="10">
        <v>260</v>
      </c>
      <c r="P20" s="10">
        <v>270</v>
      </c>
      <c r="Q20" s="10">
        <v>280</v>
      </c>
      <c r="R20" s="10">
        <v>290</v>
      </c>
      <c r="S20" s="10">
        <v>300</v>
      </c>
    </row>
    <row r="21" spans="1:19">
      <c r="A21" s="3" t="s">
        <v>1</v>
      </c>
      <c r="B21" s="10">
        <f t="shared" ref="B21:N21" si="8">B20+70</f>
        <v>170</v>
      </c>
      <c r="C21" s="10">
        <f t="shared" si="8"/>
        <v>180</v>
      </c>
      <c r="D21" s="10">
        <f t="shared" si="8"/>
        <v>185</v>
      </c>
      <c r="E21" s="10">
        <f t="shared" si="8"/>
        <v>190</v>
      </c>
      <c r="F21" s="10">
        <f t="shared" si="8"/>
        <v>195</v>
      </c>
      <c r="G21" s="10">
        <f t="shared" si="8"/>
        <v>200</v>
      </c>
      <c r="H21" s="10">
        <f t="shared" si="8"/>
        <v>210</v>
      </c>
      <c r="I21" s="10">
        <f t="shared" si="8"/>
        <v>220</v>
      </c>
      <c r="J21" s="10">
        <f t="shared" si="8"/>
        <v>230</v>
      </c>
      <c r="K21" s="10">
        <f t="shared" si="8"/>
        <v>250</v>
      </c>
      <c r="L21" s="10">
        <f t="shared" si="8"/>
        <v>270</v>
      </c>
      <c r="M21" s="10">
        <f t="shared" si="8"/>
        <v>290</v>
      </c>
      <c r="N21" s="10">
        <f t="shared" si="8"/>
        <v>320</v>
      </c>
      <c r="O21" s="10">
        <f t="shared" ref="O21:S21" si="9">O20+70</f>
        <v>330</v>
      </c>
      <c r="P21" s="10">
        <f t="shared" si="9"/>
        <v>340</v>
      </c>
      <c r="Q21" s="10">
        <f t="shared" si="9"/>
        <v>350</v>
      </c>
      <c r="R21" s="10">
        <f t="shared" si="9"/>
        <v>360</v>
      </c>
      <c r="S21" s="10">
        <f t="shared" si="9"/>
        <v>370</v>
      </c>
    </row>
    <row r="22" spans="1:19">
      <c r="A22" s="4" t="s">
        <v>4</v>
      </c>
      <c r="B22" s="16">
        <f>(((B20*0.00314)*'Технический лист'!$G$3)+310+((B21*0.00314)*'Технический лист'!$G$5))*1.95</f>
        <v>2406.6213600000001</v>
      </c>
      <c r="C22" s="16">
        <f>(((C20*0.00314)*'Технический лист'!$G$3)+310+((C21*0.00314)*'Технический лист'!$G$5))*1.95</f>
        <v>2538.1433999999999</v>
      </c>
      <c r="D22" s="16">
        <f>(((D20*0.00314)*'Технический лист'!$G$3)+310+((D21*0.00314)*'Технический лист'!$G$5))*1.95</f>
        <v>2603.9044199999998</v>
      </c>
      <c r="E22" s="16">
        <f>(((E20*0.00314)*'Технический лист'!$G$3)+310+((E21*0.00314)*'Технический лист'!$G$5))*1.95</f>
        <v>2669.6654400000002</v>
      </c>
      <c r="F22" s="16">
        <f>(((F20*0.00314)*'Технический лист'!$G$3)+310+((F21*0.00314)*'Технический лист'!$G$5))*1.95</f>
        <v>2735.4264599999997</v>
      </c>
      <c r="G22" s="16">
        <f>(((G20*0.00314)*'Технический лист'!$G$3)+310+((G21*0.00314)*'Технический лист'!$G$5))*1.95</f>
        <v>2801.1874800000005</v>
      </c>
      <c r="H22" s="16">
        <f>(((H20*0.00314)*'Технический лист'!$G$3)+310+((H21*0.00314)*'Технический лист'!$G$5))*1.95</f>
        <v>2932.7095199999994</v>
      </c>
      <c r="I22" s="16">
        <f>(((I20*0.00314)*'Технический лист'!$G$3)+310+((I21*0.00314)*'Технический лист'!$G$5))*1.95</f>
        <v>3064.2315599999997</v>
      </c>
      <c r="J22" s="16">
        <f>(((J20*0.00314)*'Технический лист'!$G$3)+310+((J21*0.00314)*'Технический лист'!$G$5))*1.95</f>
        <v>3195.7536</v>
      </c>
      <c r="K22" s="16">
        <f>(((K20*0.00314)*'Технический лист'!$G$3)+310+((K21*0.00314)*'Технический лист'!$G$5))*1.95</f>
        <v>3458.7976800000001</v>
      </c>
      <c r="L22" s="16">
        <f>(((L20*0.00314)*'Технический лист'!$G$3)+310+((L21*0.00314)*'Технический лист'!$G$5))*1.95</f>
        <v>3721.8417600000002</v>
      </c>
      <c r="M22" s="16">
        <f>(((M20*0.00314)*'Технический лист'!$G$3)+310+((M21*0.00314)*'Технический лист'!$G$5))*1.95</f>
        <v>3984.8858399999999</v>
      </c>
      <c r="N22" s="16">
        <f>(((N20*0.00314)*'Технический лист'!$G$3)+310+((N21*0.00314)*'Технический лист'!$G$5))*1.95</f>
        <v>4379.4519600000003</v>
      </c>
      <c r="O22" s="16">
        <f>(((O20*0.00314)*'Технический лист'!$G$3)+310+((O21*0.00314)*'Технический лист'!$G$5))*1.95</f>
        <v>4510.9740000000002</v>
      </c>
      <c r="P22" s="16">
        <f>(((P20*0.00314)*'Технический лист'!$G$3)+310+((P21*0.00314)*'Технический лист'!$G$5))*1.95</f>
        <v>4642.49604</v>
      </c>
      <c r="Q22" s="16">
        <f>(((Q20*0.00314)*'Технический лист'!$G$3)+310+((Q21*0.00314)*'Технический лист'!$G$5))*1.95</f>
        <v>4774.0180799999998</v>
      </c>
      <c r="R22" s="16">
        <f>(((R20*0.00314)*'Технический лист'!$G$3)+310+((R21*0.00314)*'Технический лист'!$G$5))*1.95</f>
        <v>4905.5401200000006</v>
      </c>
      <c r="S22" s="16">
        <f>(((S20*0.00314)*'Технический лист'!$G$3)+310+((S21*0.00314)*'Технический лист'!$G$5))*1.95</f>
        <v>5037.0621599999995</v>
      </c>
    </row>
    <row r="23" spans="1:19">
      <c r="A23" s="4" t="s">
        <v>3</v>
      </c>
      <c r="B23" s="9">
        <f>((B22/2)*1.07)-10</f>
        <v>1277.5424276000001</v>
      </c>
      <c r="C23" s="9">
        <f t="shared" ref="C23:N23" si="10">((C22/2)*1.07)-10</f>
        <v>1347.9067190000001</v>
      </c>
      <c r="D23" s="9">
        <f t="shared" si="10"/>
        <v>1383.0888646999999</v>
      </c>
      <c r="E23" s="9">
        <f t="shared" si="10"/>
        <v>1418.2710104000003</v>
      </c>
      <c r="F23" s="9">
        <f t="shared" si="10"/>
        <v>1453.4531560999999</v>
      </c>
      <c r="G23" s="9">
        <f t="shared" si="10"/>
        <v>1488.6353018000004</v>
      </c>
      <c r="H23" s="9">
        <f t="shared" si="10"/>
        <v>1558.9995931999997</v>
      </c>
      <c r="I23" s="9">
        <f t="shared" si="10"/>
        <v>1629.3638845999999</v>
      </c>
      <c r="J23" s="9">
        <f t="shared" si="10"/>
        <v>1699.7281760000001</v>
      </c>
      <c r="K23" s="9">
        <f t="shared" si="10"/>
        <v>1840.4567588000002</v>
      </c>
      <c r="L23" s="9">
        <f t="shared" si="10"/>
        <v>1981.1853416000004</v>
      </c>
      <c r="M23" s="9">
        <f t="shared" si="10"/>
        <v>2121.9139244000003</v>
      </c>
      <c r="N23" s="9">
        <f t="shared" si="10"/>
        <v>2333.0067986000004</v>
      </c>
      <c r="O23" s="9">
        <f t="shared" ref="O23:S23" si="11">((O22/2)*1.07)-10</f>
        <v>2403.3710900000001</v>
      </c>
      <c r="P23" s="9">
        <f t="shared" si="11"/>
        <v>2473.7353814000003</v>
      </c>
      <c r="Q23" s="9">
        <f t="shared" si="11"/>
        <v>2544.0996728</v>
      </c>
      <c r="R23" s="9">
        <f t="shared" si="11"/>
        <v>2614.4639642000006</v>
      </c>
      <c r="S23" s="9">
        <f t="shared" si="11"/>
        <v>2684.8282555999999</v>
      </c>
    </row>
    <row r="24" spans="1:19">
      <c r="A24" s="4" t="s">
        <v>5</v>
      </c>
      <c r="B24" s="16">
        <f>((((B20*0.00314)*0.5)*'Технический лист'!$I$3)+310+(((B21*0.00314)*0.5)*'Технический лист'!$I$5))*1.95</f>
        <v>2048.9769300000003</v>
      </c>
      <c r="C24" s="16">
        <f>((((C20*0.00314)*0.5)*'Технический лист'!$I$3)+310+(((C21*0.00314)*0.5)*'Технический лист'!$I$5))*1.95</f>
        <v>2155.1497499999996</v>
      </c>
      <c r="D24" s="16">
        <f>((((D20*0.00314)*0.5)*'Технический лист'!$I$3)+310+(((D21*0.00314)*0.5)*'Технический лист'!$I$5))*1.95</f>
        <v>2208.2361599999999</v>
      </c>
      <c r="E24" s="16">
        <f>((((E20*0.00314)*0.5)*'Технический лист'!$I$3)+310+(((E21*0.00314)*0.5)*'Технический лист'!$I$5))*1.95</f>
        <v>2261.3225699999998</v>
      </c>
      <c r="F24" s="16">
        <f>((((F20*0.00314)*0.5)*'Технический лист'!$I$3)+310+(((F21*0.00314)*0.5)*'Технический лист'!$I$5))*1.95</f>
        <v>2314.4089800000002</v>
      </c>
      <c r="G24" s="16">
        <f>((((G20*0.00314)*0.5)*'Технический лист'!$I$3)+310+(((G21*0.00314)*0.5)*'Технический лист'!$I$5))*1.95</f>
        <v>2367.4953899999996</v>
      </c>
      <c r="H24" s="16">
        <f>((((H20*0.00314)*0.5)*'Технический лист'!$I$3)+310+(((H21*0.00314)*0.5)*'Технический лист'!$I$5))*1.95</f>
        <v>2473.6682100000003</v>
      </c>
      <c r="I24" s="16">
        <f>((((I20*0.00314)*0.5)*'Технический лист'!$I$3)+310+(((I21*0.00314)*0.5)*'Технический лист'!$I$5))*1.95</f>
        <v>2579.84103</v>
      </c>
      <c r="J24" s="16">
        <f>((((J20*0.00314)*0.5)*'Технический лист'!$I$3)+310+(((J21*0.00314)*0.5)*'Технический лист'!$I$5))*1.95</f>
        <v>2686.0138499999994</v>
      </c>
      <c r="K24" s="16">
        <f>((((K20*0.00314)*0.5)*'Технический лист'!$I$3)+310+(((K21*0.00314)*0.5)*'Технический лист'!$I$5))*1.95</f>
        <v>2898.3594900000003</v>
      </c>
      <c r="L24" s="16">
        <f>((((L20*0.00314)*0.5)*'Технический лист'!$I$3)+310+(((L21*0.00314)*0.5)*'Технический лист'!$I$5))*1.95</f>
        <v>3110.7051300000003</v>
      </c>
      <c r="M24" s="16">
        <f>((((M20*0.00314)*0.5)*'Технический лист'!$I$3)+310+(((M21*0.00314)*0.5)*'Технический лист'!$I$5))*1.95</f>
        <v>3323.0507699999998</v>
      </c>
      <c r="N24" s="16">
        <f>((((N20*0.00314)*0.5)*'Технический лист'!$I$3)+310+(((N21*0.00314)*0.5)*'Технический лист'!$I$5))*1.95</f>
        <v>3641.5692299999996</v>
      </c>
      <c r="O24" s="16">
        <f>((((O20*0.00314)*0.5)*'Технический лист'!$I$3)+310+(((O21*0.00314)*0.5)*'Технический лист'!$I$5))*1.95</f>
        <v>3747.7420499999998</v>
      </c>
      <c r="P24" s="16">
        <f>((((P20*0.00314)*0.5)*'Технический лист'!$I$3)+310+(((P21*0.00314)*0.5)*'Технический лист'!$I$5))*1.95</f>
        <v>3853.9148700000005</v>
      </c>
      <c r="Q24" s="16">
        <f>((((Q20*0.00314)*0.5)*'Технический лист'!$I$3)+310+(((Q21*0.00314)*0.5)*'Технический лист'!$I$5))*1.95</f>
        <v>3960.0876899999998</v>
      </c>
      <c r="R24" s="16">
        <f>((((R20*0.00314)*0.5)*'Технический лист'!$I$3)+310+(((R21*0.00314)*0.5)*'Технический лист'!$I$5))*1.95</f>
        <v>4066.2605100000005</v>
      </c>
      <c r="S24" s="16">
        <f>((((S20*0.00314)*0.5)*'Технический лист'!$I$3)+310+(((S21*0.00314)*0.5)*'Технический лист'!$I$5))*1.95</f>
        <v>4172.4333299999989</v>
      </c>
    </row>
    <row r="25" spans="1:19">
      <c r="A25" s="4" t="s">
        <v>96</v>
      </c>
      <c r="B25" s="9">
        <f>((B24*2)/3)-7</f>
        <v>1358.9846200000002</v>
      </c>
      <c r="C25" s="9">
        <f t="shared" ref="C25:N25" si="12">((C24*2)/3)-7</f>
        <v>1429.7664999999997</v>
      </c>
      <c r="D25" s="9">
        <f t="shared" si="12"/>
        <v>1465.15744</v>
      </c>
      <c r="E25" s="9">
        <f t="shared" si="12"/>
        <v>1500.54838</v>
      </c>
      <c r="F25" s="9">
        <f t="shared" si="12"/>
        <v>1535.9393200000002</v>
      </c>
      <c r="G25" s="9">
        <f t="shared" si="12"/>
        <v>1571.3302599999997</v>
      </c>
      <c r="H25" s="9">
        <f t="shared" si="12"/>
        <v>1642.1121400000002</v>
      </c>
      <c r="I25" s="9">
        <f t="shared" si="12"/>
        <v>1712.89402</v>
      </c>
      <c r="J25" s="9">
        <f t="shared" si="12"/>
        <v>1783.6758999999995</v>
      </c>
      <c r="K25" s="9">
        <f t="shared" si="12"/>
        <v>1925.2396600000002</v>
      </c>
      <c r="L25" s="9">
        <f t="shared" si="12"/>
        <v>2066.8034200000002</v>
      </c>
      <c r="M25" s="9">
        <f t="shared" si="12"/>
        <v>2208.3671799999997</v>
      </c>
      <c r="N25" s="9">
        <f t="shared" si="12"/>
        <v>2420.7128199999997</v>
      </c>
      <c r="O25" s="9">
        <f t="shared" ref="O25:S25" si="13">((O24*2)/3)-7</f>
        <v>2491.4946999999997</v>
      </c>
      <c r="P25" s="9">
        <f t="shared" si="13"/>
        <v>2562.2765800000002</v>
      </c>
      <c r="Q25" s="9">
        <f t="shared" si="13"/>
        <v>2633.0584599999997</v>
      </c>
      <c r="R25" s="9">
        <f t="shared" si="13"/>
        <v>2703.8403400000002</v>
      </c>
      <c r="S25" s="9">
        <f t="shared" si="13"/>
        <v>2774.6222199999993</v>
      </c>
    </row>
    <row r="26" spans="1:19">
      <c r="A26" s="4" t="s">
        <v>6</v>
      </c>
      <c r="B26" s="16">
        <f>((((B20*0.00314)*0.22)*'Технический лист'!$M$3)+100+(((B21*0.00314)*0.21)*'Технический лист'!$O$5)+(((B20+30)*(B20+30)/1000000)*'Технический лист'!$E$18))*1.95</f>
        <v>1025.6347296000001</v>
      </c>
      <c r="C26" s="16">
        <f>((((C20*0.00314)*0.22)*'Технический лист'!$M$3)+100+(((C21*0.00314)*0.21)*'Технический лист'!$O$5)+(((C20+30)*(C20+30)/1000000)*'Технический лист'!$E$18))*1.95</f>
        <v>1096.8549696</v>
      </c>
      <c r="D26" s="16">
        <f>((((D20*0.00314)*0.22)*'Технический лист'!$M$3)+100+(((D21*0.00314)*0.21)*'Технический лист'!$O$5)+(((D20+30)*(D20+30)/1000000)*'Технический лист'!$E$18))*1.95</f>
        <v>1132.9330895999999</v>
      </c>
      <c r="E26" s="16">
        <f>((((E20*0.00314)*0.22)*'Технический лист'!$M$3)+100+(((E21*0.00314)*0.21)*'Технический лист'!$O$5)+(((E20+30)*(E20+30)/1000000)*'Технический лист'!$E$18))*1.95</f>
        <v>1169.3232096000002</v>
      </c>
      <c r="F26" s="16">
        <f>((((F20*0.00314)*0.22)*'Технический лист'!$M$3)+100+(((F21*0.00314)*0.21)*'Технический лист'!$O$5)+(((F20+30)*(F20+30)/1000000)*'Технический лист'!$E$18))*1.95</f>
        <v>1206.0253295999998</v>
      </c>
      <c r="G26" s="16">
        <f>((((G20*0.00314)*0.22)*'Технический лист'!$M$3)+100+(((G21*0.00314)*0.21)*'Технический лист'!$O$5)+(((G20+30)*(G20+30)/1000000)*'Технический лист'!$E$18))*1.95</f>
        <v>1243.0394495999999</v>
      </c>
      <c r="H26" s="16">
        <f>((((H20*0.00314)*0.22)*'Технический лист'!$M$3)+100+(((H21*0.00314)*0.21)*'Технический лист'!$O$5)+(((H20+30)*(H20+30)/1000000)*'Технический лист'!$E$18))*1.95</f>
        <v>1318.0036895999999</v>
      </c>
      <c r="I26" s="16">
        <f>((((I20*0.00314)*0.22)*'Технический лист'!$M$3)+100+(((I21*0.00314)*0.21)*'Технический лист'!$O$5)+(((I20+30)*(I20+30)/1000000)*'Технический лист'!$E$18))*1.95</f>
        <v>1394.2159295999998</v>
      </c>
      <c r="J26" s="16">
        <f>((((J20*0.00314)*0.22)*'Технический лист'!$M$3)+100+(((J21*0.00314)*0.21)*'Технический лист'!$O$5)+(((J20+30)*(J20+30)/1000000)*'Технический лист'!$E$18))*1.95</f>
        <v>1471.6761695999999</v>
      </c>
      <c r="K26" s="16">
        <f>((((K20*0.00314)*0.22)*'Технический лист'!$M$3)+100+(((K21*0.00314)*0.21)*'Технический лист'!$O$5)+(((K20+30)*(K20+30)/1000000)*'Технический лист'!$E$18))*1.95</f>
        <v>1630.3406496</v>
      </c>
      <c r="L26" s="16">
        <f>((((L20*0.00314)*0.22)*'Технический лист'!$M$3)+100+(((L21*0.00314)*0.21)*'Технический лист'!$O$5)+(((L20+30)*(L20+30)/1000000)*'Технический лист'!$E$18))*1.95</f>
        <v>1793.9971295999999</v>
      </c>
      <c r="M26" s="16">
        <f>((((M20*0.00314)*0.22)*'Технический лист'!$M$3)+100+(((M21*0.00314)*0.21)*'Технический лист'!$O$5)+(((M20+30)*(M20+30)/1000000)*'Технический лист'!$E$18))*1.95</f>
        <v>1962.6456095999999</v>
      </c>
      <c r="N26" s="16">
        <f>((((N20*0.00314)*0.22)*'Технический лист'!$M$3)+100+(((N21*0.00314)*0.21)*'Технический лист'!$O$5)+(((N20+30)*(N20+30)/1000000)*'Технический лист'!$E$18))*1.95</f>
        <v>2224.9783296000001</v>
      </c>
      <c r="O26" s="16">
        <f>((((O20*0.00314)*0.22)*'Технический лист'!$M$3)+100+(((O21*0.00314)*0.21)*'Технический лист'!$O$5)+(((O20+30)*(O20+30)/1000000)*'Технический лист'!$E$18))*1.95</f>
        <v>2314.9185696000004</v>
      </c>
      <c r="P26" s="16">
        <f>((((P20*0.00314)*0.22)*'Технический лист'!$M$3)+100+(((P21*0.00314)*0.21)*'Технический лист'!$O$5)+(((P20+30)*(P20+30)/1000000)*'Технический лист'!$E$18))*1.95</f>
        <v>2406.1068095999999</v>
      </c>
      <c r="Q26" s="16">
        <f>((((Q20*0.00314)*0.22)*'Технический лист'!$M$3)+100+(((Q21*0.00314)*0.21)*'Технический лист'!$O$5)+(((Q20+30)*(Q20+30)/1000000)*'Технический лист'!$E$18))*1.95</f>
        <v>2498.5430495999999</v>
      </c>
      <c r="R26" s="16">
        <f>((((R20*0.00314)*0.22)*'Технический лист'!$M$3)+100+(((R21*0.00314)*0.21)*'Технический лист'!$O$5)+(((R20+30)*(R20+30)/1000000)*'Технический лист'!$E$18))*1.95</f>
        <v>2592.2272895999999</v>
      </c>
      <c r="S26" s="16">
        <f>((((S20*0.00314)*0.22)*'Технический лист'!$M$3)+100+(((S21*0.00314)*0.21)*'Технический лист'!$O$5)+(((S20+30)*(S20+30)/1000000)*'Технический лист'!$E$18))*1.95</f>
        <v>2687.1595295999996</v>
      </c>
    </row>
    <row r="27" spans="1:19">
      <c r="A27" s="4" t="s">
        <v>7</v>
      </c>
      <c r="B27" s="9">
        <f>(B26*2.2)+24</f>
        <v>2280.3964051200005</v>
      </c>
      <c r="C27" s="9">
        <f t="shared" ref="C27:N27" si="14">(C26*2.2)+24</f>
        <v>2437.0809331200003</v>
      </c>
      <c r="D27" s="9">
        <f t="shared" si="14"/>
        <v>2516.45279712</v>
      </c>
      <c r="E27" s="9">
        <f t="shared" si="14"/>
        <v>2596.5110611200007</v>
      </c>
      <c r="F27" s="9">
        <f t="shared" si="14"/>
        <v>2677.2557251200001</v>
      </c>
      <c r="G27" s="9">
        <f t="shared" si="14"/>
        <v>2758.68678912</v>
      </c>
      <c r="H27" s="9">
        <f t="shared" si="14"/>
        <v>2923.6081171199999</v>
      </c>
      <c r="I27" s="9">
        <f t="shared" si="14"/>
        <v>3091.2750451199995</v>
      </c>
      <c r="J27" s="9">
        <f t="shared" si="14"/>
        <v>3261.6875731199998</v>
      </c>
      <c r="K27" s="9">
        <f t="shared" si="14"/>
        <v>3610.7494291200005</v>
      </c>
      <c r="L27" s="9">
        <f t="shared" si="14"/>
        <v>3970.7936851200002</v>
      </c>
      <c r="M27" s="9">
        <f t="shared" si="14"/>
        <v>4341.8203411200002</v>
      </c>
      <c r="N27" s="9">
        <f t="shared" si="14"/>
        <v>4918.9523251200008</v>
      </c>
      <c r="O27" s="9">
        <f t="shared" ref="O27:S27" si="15">(O26*2.2)+24</f>
        <v>5116.8208531200016</v>
      </c>
      <c r="P27" s="9">
        <f t="shared" si="15"/>
        <v>5317.43498112</v>
      </c>
      <c r="Q27" s="9">
        <f t="shared" si="15"/>
        <v>5520.7947091200003</v>
      </c>
      <c r="R27" s="9">
        <f t="shared" si="15"/>
        <v>5726.90003712</v>
      </c>
      <c r="S27" s="9">
        <f t="shared" si="15"/>
        <v>5935.7509651199998</v>
      </c>
    </row>
    <row r="28" spans="1:19">
      <c r="A28" s="4" t="s">
        <v>8</v>
      </c>
      <c r="B28" s="16">
        <f>((((B20*0.00314)*0.2)*'Технический лист'!$M$3)+50+(((B21*0.00314)*0.22)*'Технический лист'!$O$5))*1.95</f>
        <v>817.79992320000008</v>
      </c>
      <c r="C28" s="16">
        <f>((((C20*0.00314)*0.2)*'Технический лист'!$M$3)+50+(((C21*0.00314)*0.22)*'Технический лист'!$O$5))*1.95</f>
        <v>870.82020480000006</v>
      </c>
      <c r="D28" s="16">
        <f>((((D20*0.00314)*0.2)*'Технический лист'!$M$3)+50+(((D21*0.00314)*0.22)*'Технический лист'!$O$5))*1.95</f>
        <v>897.33034559999999</v>
      </c>
      <c r="E28" s="16">
        <f>((((E20*0.00314)*0.2)*'Технический лист'!$M$3)+50+(((E21*0.00314)*0.22)*'Технический лист'!$O$5))*1.95</f>
        <v>923.84048640000003</v>
      </c>
      <c r="F28" s="16">
        <f>((((F20*0.00314)*0.2)*'Технический лист'!$M$3)+50+(((F21*0.00314)*0.22)*'Технический лист'!$O$5))*1.95</f>
        <v>950.35062720000008</v>
      </c>
      <c r="G28" s="16">
        <f>((((G20*0.00314)*0.2)*'Технический лист'!$M$3)+50+(((G21*0.00314)*0.22)*'Технический лист'!$O$5))*1.95</f>
        <v>976.86076800000001</v>
      </c>
      <c r="H28" s="16">
        <f>((((H20*0.00314)*0.2)*'Технический лист'!$M$3)+50+(((H21*0.00314)*0.22)*'Технический лист'!$O$5))*1.95</f>
        <v>1029.8810496000001</v>
      </c>
      <c r="I28" s="16">
        <f>((((I20*0.00314)*0.2)*'Технический лист'!$M$3)+50+(((I21*0.00314)*0.22)*'Технический лист'!$O$5))*1.95</f>
        <v>1082.9013312</v>
      </c>
      <c r="J28" s="16">
        <f>((((J20*0.00314)*0.2)*'Технический лист'!$M$3)+50+(((J21*0.00314)*0.22)*'Технический лист'!$O$5))*1.95</f>
        <v>1135.9216127999998</v>
      </c>
      <c r="K28" s="16">
        <f>((((K20*0.00314)*0.2)*'Технический лист'!$M$3)+50+(((K21*0.00314)*0.22)*'Технический лист'!$O$5))*1.95</f>
        <v>1241.9621760000002</v>
      </c>
      <c r="L28" s="16">
        <f>((((L20*0.00314)*0.2)*'Технический лист'!$M$3)+50+(((L21*0.00314)*0.22)*'Технический лист'!$O$5))*1.95</f>
        <v>1348.0027392000002</v>
      </c>
      <c r="M28" s="16">
        <f>((((M20*0.00314)*0.2)*'Технический лист'!$M$3)+50+(((M21*0.00314)*0.22)*'Технический лист'!$O$5))*1.95</f>
        <v>1454.0433023999999</v>
      </c>
      <c r="N28" s="16">
        <f>((((N20*0.00314)*0.2)*'Технический лист'!$M$3)+50+(((N21*0.00314)*0.22)*'Технический лист'!$O$5))*1.95</f>
        <v>1613.1041471999999</v>
      </c>
      <c r="O28" s="16">
        <f>((((O20*0.00314)*0.2)*'Технический лист'!$M$3)+50+(((O21*0.00314)*0.22)*'Технический лист'!$O$5))*1.95</f>
        <v>1666.1244288</v>
      </c>
      <c r="P28" s="16">
        <f>((((P20*0.00314)*0.2)*'Технический лист'!$M$3)+50+(((P21*0.00314)*0.22)*'Технический лист'!$O$5))*1.95</f>
        <v>1719.1447104000001</v>
      </c>
      <c r="Q28" s="16">
        <f>((((Q20*0.00314)*0.2)*'Технический лист'!$M$3)+50+(((Q21*0.00314)*0.22)*'Технический лист'!$O$5))*1.95</f>
        <v>1772.164992</v>
      </c>
      <c r="R28" s="16">
        <f>((((R20*0.00314)*0.2)*'Технический лист'!$M$3)+50+(((R21*0.00314)*0.22)*'Технический лист'!$O$5))*1.95</f>
        <v>1825.1852736000001</v>
      </c>
      <c r="S28" s="16">
        <f>((((S20*0.00314)*0.2)*'Технический лист'!$M$3)+50+(((S21*0.00314)*0.22)*'Технический лист'!$O$5))*1.95</f>
        <v>1878.2055551999999</v>
      </c>
    </row>
    <row r="29" spans="1:19">
      <c r="A29" s="4" t="s">
        <v>9</v>
      </c>
      <c r="B29" s="9">
        <f>((((B20*0.00314)*((B20+545)/1000))*'Технический лист'!$K$3)+370+((B21*0.00314)*((B21+450)/1000))*'Технический лист'!$K$5)*1.95</f>
        <v>2725.6521941999999</v>
      </c>
      <c r="C29" s="9">
        <f>((((C20*0.00314)*((C20+545)/1000))*'Технический лист'!$K$3)+370+((C21*0.00314)*((C21+450)/1000))*'Технический лист'!$K$5)*1.95</f>
        <v>2908.0324845</v>
      </c>
      <c r="D29" s="9">
        <f>((((D20*0.00314)*((D20+545)/1000))*'Технический лист'!$K$3)+370+((D21*0.00314)*((D21+450)/1000))*'Технический лист'!$K$5)*1.95</f>
        <v>3000.9805429499993</v>
      </c>
      <c r="E29" s="9">
        <f>((((E20*0.00314)*((E20+545)/1000))*'Технический лист'!$K$3)+370+((E21*0.00314)*((E21+450)/1000))*'Технический лист'!$K$5)*1.95</f>
        <v>3095.1005436</v>
      </c>
      <c r="F29" s="9">
        <f>((((F20*0.00314)*((F20+545)/1000))*'Технический лист'!$K$3)+370+((F21*0.00314)*((F21+450)/1000))*'Технический лист'!$K$5)*1.95</f>
        <v>3190.39248645</v>
      </c>
      <c r="G29" s="9">
        <f>((((G20*0.00314)*((G20+545)/1000))*'Технический лист'!$K$3)+370+((G21*0.00314)*((G21+450)/1000))*'Технический лист'!$K$5)*1.95</f>
        <v>3286.8563715000005</v>
      </c>
      <c r="H29" s="9">
        <f>((((H20*0.00314)*((H20+545)/1000))*'Технический лист'!$K$3)+370+((H21*0.00314)*((H21+450)/1000))*'Технический лист'!$K$5)*1.95</f>
        <v>3483.2999681999995</v>
      </c>
      <c r="I29" s="9">
        <f>((((I20*0.00314)*((I20+545)/1000))*'Технический лист'!$K$3)+370+((I21*0.00314)*((I21+450)/1000))*'Технический лист'!$K$5)*1.95</f>
        <v>3684.4313336999999</v>
      </c>
      <c r="J29" s="9">
        <f>((((J20*0.00314)*((J20+545)/1000))*'Технический лист'!$K$3)+370+((J21*0.00314)*((J21+450)/1000))*'Технический лист'!$K$5)*1.95</f>
        <v>3890.2504679999997</v>
      </c>
      <c r="K29" s="9">
        <f>((((K20*0.00314)*((K20+545)/1000))*'Технический лист'!$K$3)+370+((K21*0.00314)*((K21+450)/1000))*'Технический лист'!$K$5)*1.95</f>
        <v>4315.9520430000002</v>
      </c>
      <c r="L29" s="9">
        <f>((((L20*0.00314)*((L20+545)/1000))*'Технический лист'!$K$3)+370+((L21*0.00314)*((L21+450)/1000))*'Технический лист'!$K$5)*1.95</f>
        <v>4760.4046931999992</v>
      </c>
      <c r="M29" s="9">
        <f>((((M20*0.00314)*((M20+545)/1000))*'Технический лист'!$K$3)+370+((M21*0.00314)*((M21+450)/1000))*'Технический лист'!$K$5)*1.95</f>
        <v>5223.6084185999998</v>
      </c>
      <c r="N29" s="9">
        <f>((((N20*0.00314)*((N20+545)/1000))*'Технический лист'!$K$3)+370+((N21*0.00314)*((N21+450)/1000))*'Технический лист'!$K$5)*1.95</f>
        <v>5953.5722726999993</v>
      </c>
      <c r="O29" s="9">
        <f>((((O20*0.00314)*((O20+545)/1000))*'Технический лист'!$K$3)+370+((O21*0.00314)*((O21+450)/1000))*'Технический лист'!$K$5)*1.95</f>
        <v>6206.2690950000006</v>
      </c>
      <c r="P29" s="9">
        <f>((((P20*0.00314)*((P20+545)/1000))*'Технический лист'!$K$3)+370+((P21*0.00314)*((P21+450)/1000))*'Технический лист'!$K$5)*1.95</f>
        <v>6463.6536861000004</v>
      </c>
      <c r="Q29" s="9">
        <f>((((Q20*0.00314)*((Q20+545)/1000))*'Технический лист'!$K$3)+370+((Q21*0.00314)*((Q21+450)/1000))*'Технический лист'!$K$5)*1.95</f>
        <v>6725.7260459999998</v>
      </c>
      <c r="R29" s="9">
        <f>((((R20*0.00314)*((R20+545)/1000))*'Технический лист'!$K$3)+370+((R21*0.00314)*((R21+450)/1000))*'Технический лист'!$K$5)*1.95</f>
        <v>6992.4861747000004</v>
      </c>
      <c r="S29" s="9">
        <f>((((S20*0.00314)*((S20+545)/1000))*'Технический лист'!$K$3)+370+((S21*0.00314)*((S21+450)/1000))*'Технический лист'!$K$5)*1.95</f>
        <v>7263.9340721999988</v>
      </c>
    </row>
    <row r="30" spans="1:19" ht="3" hidden="1" customHeight="1">
      <c r="A30" s="4" t="s">
        <v>8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>
      <c r="A31" s="4" t="s">
        <v>119</v>
      </c>
      <c r="B31" s="16">
        <v>2100</v>
      </c>
      <c r="C31" s="16">
        <v>2100</v>
      </c>
      <c r="D31" s="16">
        <v>2100</v>
      </c>
      <c r="E31" s="16">
        <v>2100</v>
      </c>
      <c r="F31" s="16">
        <v>2100</v>
      </c>
      <c r="G31" s="16">
        <v>2100</v>
      </c>
      <c r="H31" s="16">
        <v>2100</v>
      </c>
      <c r="I31" s="16">
        <v>2100</v>
      </c>
      <c r="J31" s="16">
        <v>2100</v>
      </c>
      <c r="K31" s="16">
        <v>2100</v>
      </c>
      <c r="L31" s="16">
        <v>2100</v>
      </c>
      <c r="M31" s="16">
        <v>2100</v>
      </c>
      <c r="N31" s="16">
        <v>2100</v>
      </c>
      <c r="O31" s="16">
        <v>2100</v>
      </c>
      <c r="P31" s="16">
        <v>2100</v>
      </c>
      <c r="Q31" s="16">
        <v>2100</v>
      </c>
      <c r="R31" s="16">
        <v>2100</v>
      </c>
      <c r="S31" s="16">
        <v>2100</v>
      </c>
    </row>
  </sheetData>
  <sheetProtection formatCells="0" formatColumns="0" formatRows="0" insertColumns="0" insertRows="0" insertHyperlinks="0" deleteColumns="0" deleteRows="0" sort="0" pivotTables="0"/>
  <mergeCells count="6">
    <mergeCell ref="D1:O1"/>
    <mergeCell ref="D2:O2"/>
    <mergeCell ref="D3:O3"/>
    <mergeCell ref="A5:O5"/>
    <mergeCell ref="A19:N19"/>
    <mergeCell ref="A1:C1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D27"/>
  <sheetViews>
    <sheetView zoomScale="80" zoomScaleNormal="80" workbookViewId="0">
      <selection activeCell="B27" sqref="B27:X27"/>
    </sheetView>
  </sheetViews>
  <sheetFormatPr defaultRowHeight="14.4"/>
  <cols>
    <col min="1" max="1" width="20.33203125" customWidth="1"/>
    <col min="2" max="2" width="6.33203125" style="1" customWidth="1"/>
    <col min="3" max="24" width="6.33203125" customWidth="1"/>
  </cols>
  <sheetData>
    <row r="1" spans="1:30" ht="45" customHeight="1">
      <c r="A1" s="32"/>
      <c r="B1" s="32"/>
      <c r="C1" s="32"/>
      <c r="D1" s="43" t="s">
        <v>94</v>
      </c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1"/>
      <c r="Q1" s="1"/>
    </row>
    <row r="2" spans="1:30" ht="15" customHeight="1">
      <c r="D2" s="34" t="s">
        <v>95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1"/>
    </row>
    <row r="3" spans="1:30" ht="30" customHeight="1">
      <c r="D3" s="34" t="s">
        <v>112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30" ht="11.25" customHeight="1"/>
    <row r="5" spans="1:30">
      <c r="A5" s="41" t="s">
        <v>110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 t="s">
        <v>110</v>
      </c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</row>
    <row r="6" spans="1:30">
      <c r="A6" s="3" t="s">
        <v>78</v>
      </c>
      <c r="B6" s="22">
        <v>100</v>
      </c>
      <c r="C6" s="10">
        <v>110</v>
      </c>
      <c r="D6" s="10">
        <v>115</v>
      </c>
      <c r="E6" s="10">
        <v>120</v>
      </c>
      <c r="F6" s="10">
        <v>125</v>
      </c>
      <c r="G6" s="10">
        <v>130</v>
      </c>
      <c r="H6" s="10">
        <v>140</v>
      </c>
      <c r="I6" s="10">
        <v>150</v>
      </c>
      <c r="J6" s="10">
        <v>160</v>
      </c>
      <c r="K6" s="10">
        <v>180</v>
      </c>
      <c r="L6" s="10">
        <v>200</v>
      </c>
      <c r="M6" s="10">
        <v>220</v>
      </c>
      <c r="N6" s="10">
        <v>250</v>
      </c>
      <c r="O6" s="10">
        <v>260</v>
      </c>
      <c r="P6" s="10">
        <v>270</v>
      </c>
      <c r="Q6" s="10">
        <v>280</v>
      </c>
      <c r="R6" s="10">
        <v>290</v>
      </c>
      <c r="S6" s="10">
        <v>300</v>
      </c>
      <c r="T6" s="10">
        <v>310</v>
      </c>
      <c r="U6" s="10">
        <v>320</v>
      </c>
      <c r="V6" s="10">
        <v>330</v>
      </c>
      <c r="W6" s="10">
        <v>340</v>
      </c>
      <c r="X6" s="10">
        <v>350</v>
      </c>
    </row>
    <row r="7" spans="1:30" hidden="1">
      <c r="A7" s="3" t="s">
        <v>1</v>
      </c>
      <c r="B7" s="22">
        <f>B6+70</f>
        <v>170</v>
      </c>
      <c r="C7" s="10">
        <f t="shared" ref="C7:Q7" si="0">C6+70</f>
        <v>180</v>
      </c>
      <c r="D7" s="10">
        <f t="shared" si="0"/>
        <v>185</v>
      </c>
      <c r="E7" s="10">
        <f t="shared" si="0"/>
        <v>190</v>
      </c>
      <c r="F7" s="10">
        <f t="shared" si="0"/>
        <v>195</v>
      </c>
      <c r="G7" s="10">
        <f t="shared" si="0"/>
        <v>200</v>
      </c>
      <c r="H7" s="10">
        <f t="shared" si="0"/>
        <v>210</v>
      </c>
      <c r="I7" s="10">
        <f t="shared" si="0"/>
        <v>220</v>
      </c>
      <c r="J7" s="10">
        <f t="shared" si="0"/>
        <v>230</v>
      </c>
      <c r="K7" s="10">
        <f t="shared" si="0"/>
        <v>250</v>
      </c>
      <c r="L7" s="10">
        <f t="shared" si="0"/>
        <v>270</v>
      </c>
      <c r="M7" s="10">
        <f t="shared" si="0"/>
        <v>290</v>
      </c>
      <c r="N7" s="10">
        <f t="shared" si="0"/>
        <v>320</v>
      </c>
      <c r="O7" s="10">
        <f t="shared" si="0"/>
        <v>330</v>
      </c>
      <c r="P7" s="10">
        <f t="shared" si="0"/>
        <v>340</v>
      </c>
      <c r="Q7" s="10">
        <f t="shared" si="0"/>
        <v>350</v>
      </c>
      <c r="R7" s="10">
        <v>290</v>
      </c>
      <c r="S7" s="10">
        <v>290</v>
      </c>
      <c r="T7" s="10">
        <v>290</v>
      </c>
      <c r="U7" s="10">
        <v>290</v>
      </c>
      <c r="V7" s="10">
        <v>290</v>
      </c>
      <c r="W7" s="10">
        <v>290</v>
      </c>
      <c r="X7" s="10">
        <v>290</v>
      </c>
    </row>
    <row r="8" spans="1:30">
      <c r="A8" s="4" t="s">
        <v>69</v>
      </c>
      <c r="B8" s="23">
        <f>(((B6*0.00314)*'Технический лист'!$G$3))*3.9</f>
        <v>1239.2952</v>
      </c>
      <c r="C8" s="23">
        <f>(((C6*0.00314)*'Технический лист'!$G$3))*3.9</f>
        <v>1363.2247199999999</v>
      </c>
      <c r="D8" s="23">
        <f>(((D6*0.00314)*'Технический лист'!$G$3))*3.9</f>
        <v>1425.18948</v>
      </c>
      <c r="E8" s="23">
        <f>(((E6*0.00314)*'Технический лист'!$G$3))*3.9</f>
        <v>1487.1542400000001</v>
      </c>
      <c r="F8" s="23">
        <f>(((F6*0.00314)*'Технический лист'!$G$3))*3.9</f>
        <v>1549.1190000000001</v>
      </c>
      <c r="G8" s="23">
        <f>(((G6*0.00314)*'Технический лист'!$G$3))*3.9</f>
        <v>1611.08376</v>
      </c>
      <c r="H8" s="23">
        <f>(((H6*0.00314)*'Технический лист'!$G$3))*3.9</f>
        <v>1735.0132799999999</v>
      </c>
      <c r="I8" s="23">
        <f>(((I6*0.00314)*'Технический лист'!$G$3))*3.9</f>
        <v>1858.9427999999998</v>
      </c>
      <c r="J8" s="23">
        <f>(((J6*0.00314)*'Технический лист'!$G$3))*3.9</f>
        <v>1982.8723199999997</v>
      </c>
      <c r="K8" s="23">
        <f>(((K6*0.00314)*'Технический лист'!$G$3))*3.9</f>
        <v>2230.7313599999998</v>
      </c>
      <c r="L8" s="23">
        <f>(((L6*0.00314)*'Технический лист'!$G$3))*3.9</f>
        <v>2478.5904</v>
      </c>
      <c r="M8" s="23">
        <f>(((M6*0.00314)*'Технический лист'!$G$3))*3.9</f>
        <v>2726.4494399999999</v>
      </c>
      <c r="N8" s="23">
        <f>(((N6*0.00314)*'Технический лист'!$G$3))*3.9</f>
        <v>3098.2380000000003</v>
      </c>
      <c r="O8" s="23">
        <f>(((O6*0.00314)*'Технический лист'!$G$3))*3.9</f>
        <v>3222.16752</v>
      </c>
      <c r="P8" s="23">
        <f>(((P6*0.00314)*'Технический лист'!$G$3))*3.9</f>
        <v>3346.0970400000001</v>
      </c>
      <c r="Q8" s="23">
        <f>(((Q6*0.00314)*'Технический лист'!$G$3))*3.9</f>
        <v>3470.0265599999998</v>
      </c>
      <c r="R8" s="23">
        <f>(((R6*0.00314)*'Технический лист'!$G$3))*3.9</f>
        <v>3593.9560799999999</v>
      </c>
      <c r="S8" s="23">
        <f>(((S6*0.00314)*'Технический лист'!$G$3))*3.9</f>
        <v>3717.8855999999996</v>
      </c>
      <c r="T8" s="23">
        <f>(((T6*0.00314)*'Технический лист'!$G$3))*3.9</f>
        <v>3841.8151200000002</v>
      </c>
      <c r="U8" s="23">
        <f>(((U6*0.00314)*'Технический лист'!$G$3))*3.9</f>
        <v>3965.7446399999994</v>
      </c>
      <c r="V8" s="23">
        <f>(((V6*0.00314)*'Технический лист'!$G$3))*3.9</f>
        <v>4089.6741599999996</v>
      </c>
      <c r="W8" s="23">
        <f>(((W6*0.00314)*'Технический лист'!$G$3))*3.9</f>
        <v>4213.6036800000002</v>
      </c>
      <c r="X8" s="23">
        <f>(((X6*0.00314)*'Технический лист'!$G$3))*3.9</f>
        <v>4337.5331999999999</v>
      </c>
    </row>
    <row r="9" spans="1:30">
      <c r="A9" s="4" t="s">
        <v>70</v>
      </c>
      <c r="B9" s="24">
        <f>((B8/2)*1.07)-10</f>
        <v>653.02293200000008</v>
      </c>
      <c r="C9" s="9">
        <f>((C8/2)*1.07)-10</f>
        <v>719.32522519999998</v>
      </c>
      <c r="D9" s="9">
        <f t="shared" ref="D9:X9" si="1">((D8/2)*1.07)-10</f>
        <v>752.47637180000004</v>
      </c>
      <c r="E9" s="9">
        <f t="shared" si="1"/>
        <v>785.6275184000001</v>
      </c>
      <c r="F9" s="9">
        <f t="shared" si="1"/>
        <v>818.77866500000016</v>
      </c>
      <c r="G9" s="9">
        <f t="shared" si="1"/>
        <v>851.92981159999999</v>
      </c>
      <c r="H9" s="9">
        <f t="shared" si="1"/>
        <v>918.2321048</v>
      </c>
      <c r="I9" s="9">
        <f t="shared" si="1"/>
        <v>984.53439800000001</v>
      </c>
      <c r="J9" s="9">
        <f t="shared" si="1"/>
        <v>1050.8366911999999</v>
      </c>
      <c r="K9" s="9">
        <f t="shared" si="1"/>
        <v>1183.4412775999999</v>
      </c>
      <c r="L9" s="9">
        <f t="shared" si="1"/>
        <v>1316.0458640000002</v>
      </c>
      <c r="M9" s="9">
        <f t="shared" si="1"/>
        <v>1448.6504504</v>
      </c>
      <c r="N9" s="9">
        <f t="shared" si="1"/>
        <v>1647.5573300000003</v>
      </c>
      <c r="O9" s="9">
        <f t="shared" si="1"/>
        <v>1713.8596232</v>
      </c>
      <c r="P9" s="9">
        <f t="shared" si="1"/>
        <v>1780.1619164000001</v>
      </c>
      <c r="Q9" s="9">
        <f t="shared" si="1"/>
        <v>1846.4642096</v>
      </c>
      <c r="R9" s="9">
        <f t="shared" si="1"/>
        <v>1912.7665028000001</v>
      </c>
      <c r="S9" s="9">
        <f t="shared" si="1"/>
        <v>1979.068796</v>
      </c>
      <c r="T9" s="9">
        <f t="shared" si="1"/>
        <v>2045.3710892000004</v>
      </c>
      <c r="U9" s="9">
        <f t="shared" si="1"/>
        <v>2111.6733823999998</v>
      </c>
      <c r="V9" s="9">
        <f t="shared" si="1"/>
        <v>2177.9756755999997</v>
      </c>
      <c r="W9" s="9">
        <f t="shared" si="1"/>
        <v>2244.2779688000001</v>
      </c>
      <c r="X9" s="9">
        <f t="shared" si="1"/>
        <v>2310.5802619999999</v>
      </c>
    </row>
    <row r="10" spans="1:30">
      <c r="A10" s="4" t="s">
        <v>71</v>
      </c>
      <c r="B10" s="23">
        <f>(((B6*0.00314)*0.55)*'Технический лист'!$I$3)*4.15</f>
        <v>1205.4978100000001</v>
      </c>
      <c r="C10" s="23">
        <f>(((C6*0.00314)*0.55)*'Технический лист'!$I$3)*4.15</f>
        <v>1326.047591</v>
      </c>
      <c r="D10" s="23">
        <f>(((D6*0.00314)*0.55)*'Технический лист'!$I$3)*4.15</f>
        <v>1386.3224815000001</v>
      </c>
      <c r="E10" s="23">
        <f>(((E6*0.00314)*0.55)*'Технический лист'!$I$3)*4.15</f>
        <v>1446.5973720000004</v>
      </c>
      <c r="F10" s="23">
        <f>(((F6*0.00314)*0.55)*'Технический лист'!$I$3)*4.15</f>
        <v>1506.8722625000003</v>
      </c>
      <c r="G10" s="23">
        <f>(((G6*0.00314)*0.55)*'Технический лист'!$I$3)*4.15</f>
        <v>1567.1471530000003</v>
      </c>
      <c r="H10" s="23">
        <f>(((H6*0.00314)*0.55)*'Технический лист'!$I$3)*4.15</f>
        <v>1687.6969340000003</v>
      </c>
      <c r="I10" s="23">
        <f>(((I6*0.00314)*0.55)*'Технический лист'!$I$3)*4.15</f>
        <v>1808.2467150000002</v>
      </c>
      <c r="J10" s="23">
        <f>(((J6*0.00314)*0.55)*'Технический лист'!$I$3)*4.15</f>
        <v>1928.7964960000002</v>
      </c>
      <c r="K10" s="23">
        <f>(((K6*0.00314)*0.55)*'Технический лист'!$I$3)*4.15</f>
        <v>2169.8960580000003</v>
      </c>
      <c r="L10" s="23">
        <f>(((L6*0.00314)*0.55)*'Технический лист'!$I$3)*4.15</f>
        <v>2410.9956200000001</v>
      </c>
      <c r="M10" s="23">
        <f>(((M6*0.00314)*0.55)*'Технический лист'!$I$3)*4.15</f>
        <v>2652.095182</v>
      </c>
      <c r="N10" s="23">
        <f>(((N6*0.00314)*0.55)*'Технический лист'!$I$3)*4.15</f>
        <v>3013.7445250000005</v>
      </c>
      <c r="O10" s="23">
        <f>(((O6*0.00314)*0.55)*'Технический лист'!$I$3)*4.15</f>
        <v>3134.2943060000007</v>
      </c>
      <c r="P10" s="23">
        <f>(((P6*0.00314)*0.55)*'Технический лист'!$I$3)*4.15</f>
        <v>3254.8440870000004</v>
      </c>
      <c r="Q10" s="23">
        <f>(((Q6*0.00314)*0.55)*'Технический лист'!$I$3)*4.15</f>
        <v>3375.3938680000006</v>
      </c>
      <c r="R10" s="23">
        <f>(((R6*0.00314)*0.55)*'Технический лист'!$I$3)*4.15</f>
        <v>3495.9436490000003</v>
      </c>
      <c r="S10" s="23">
        <f>(((S6*0.00314)*0.55)*'Технический лист'!$I$3)*4.15</f>
        <v>3616.4934300000004</v>
      </c>
      <c r="T10" s="23">
        <f>(((T6*0.00314)*0.55)*'Технический лист'!$I$3)*4.15</f>
        <v>3737.0432110000002</v>
      </c>
      <c r="U10" s="23">
        <f>(((U6*0.00314)*0.55)*'Технический лист'!$I$3)*4.15</f>
        <v>3857.5929920000003</v>
      </c>
      <c r="V10" s="23">
        <f>(((V6*0.00314)*0.55)*'Технический лист'!$I$3)*4.15</f>
        <v>3978.1427730000005</v>
      </c>
      <c r="W10" s="23">
        <f>(((W6*0.00314)*0.55)*'Технический лист'!$I$3)*4.15</f>
        <v>4098.6925540000011</v>
      </c>
      <c r="X10" s="23">
        <f>(((X6*0.00314)*0.55)*'Технический лист'!$I$3)*4.15</f>
        <v>4219.2423350000008</v>
      </c>
    </row>
    <row r="11" spans="1:30">
      <c r="A11" s="4" t="s">
        <v>72</v>
      </c>
      <c r="B11" s="24">
        <f>((B10*2)/3)-6</f>
        <v>797.66520666666668</v>
      </c>
      <c r="C11" s="9">
        <f t="shared" ref="C11:X11" si="2">((C10*2)/3)-6</f>
        <v>878.03172733333338</v>
      </c>
      <c r="D11" s="9">
        <f t="shared" si="2"/>
        <v>918.21498766666673</v>
      </c>
      <c r="E11" s="9">
        <f t="shared" si="2"/>
        <v>958.39824800000031</v>
      </c>
      <c r="F11" s="9">
        <f t="shared" si="2"/>
        <v>998.58150833333355</v>
      </c>
      <c r="G11" s="9">
        <f t="shared" si="2"/>
        <v>1038.7647686666669</v>
      </c>
      <c r="H11" s="9">
        <f t="shared" si="2"/>
        <v>1119.1312893333336</v>
      </c>
      <c r="I11" s="9">
        <f t="shared" si="2"/>
        <v>1199.4978100000001</v>
      </c>
      <c r="J11" s="9">
        <f t="shared" si="2"/>
        <v>1279.8643306666668</v>
      </c>
      <c r="K11" s="9">
        <f t="shared" si="2"/>
        <v>1440.5973720000002</v>
      </c>
      <c r="L11" s="9">
        <f t="shared" si="2"/>
        <v>1601.3304133333334</v>
      </c>
      <c r="M11" s="9">
        <f t="shared" si="2"/>
        <v>1762.0634546666668</v>
      </c>
      <c r="N11" s="9">
        <f t="shared" si="2"/>
        <v>2003.1630166666671</v>
      </c>
      <c r="O11" s="9">
        <f t="shared" si="2"/>
        <v>2083.5295373333338</v>
      </c>
      <c r="P11" s="9">
        <f t="shared" si="2"/>
        <v>2163.8960580000003</v>
      </c>
      <c r="Q11" s="9">
        <f t="shared" si="2"/>
        <v>2244.2625786666672</v>
      </c>
      <c r="R11" s="9">
        <f t="shared" si="2"/>
        <v>2324.6290993333337</v>
      </c>
      <c r="S11" s="9">
        <f t="shared" si="2"/>
        <v>2404.9956200000001</v>
      </c>
      <c r="T11" s="9">
        <f t="shared" si="2"/>
        <v>2485.3621406666666</v>
      </c>
      <c r="U11" s="9">
        <f t="shared" si="2"/>
        <v>2565.7286613333335</v>
      </c>
      <c r="V11" s="9">
        <f t="shared" si="2"/>
        <v>2646.0951820000005</v>
      </c>
      <c r="W11" s="9">
        <f t="shared" si="2"/>
        <v>2726.4617026666674</v>
      </c>
      <c r="X11" s="9">
        <f t="shared" si="2"/>
        <v>2806.8282233333339</v>
      </c>
    </row>
    <row r="12" spans="1:30" hidden="1">
      <c r="A12" s="4" t="s">
        <v>8</v>
      </c>
      <c r="B12" s="23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</row>
    <row r="13" spans="1:30">
      <c r="A13" s="4" t="s">
        <v>75</v>
      </c>
      <c r="B13" s="24">
        <f>(((B6*0.00314)*((B6+500)/1000)*'Технический лист'!$K$3))*4.7</f>
        <v>1648.76376</v>
      </c>
      <c r="C13" s="24">
        <f>(((C6*0.00314)*((C6+500)/1000)*'Технический лист'!$K$3))*4.7</f>
        <v>1843.8674716</v>
      </c>
      <c r="D13" s="24">
        <f>(((D6*0.00314)*((D6+500)/1000)*'Технический лист'!$K$3))*4.7</f>
        <v>1943.4802821000001</v>
      </c>
      <c r="E13" s="24">
        <f>(((E6*0.00314)*((E6+500)/1000)*'Технический лист'!$K$3))*4.7</f>
        <v>2044.4670624000003</v>
      </c>
      <c r="F13" s="24">
        <f>(((F6*0.00314)*((F6+500)/1000)*'Технический лист'!$K$3))*4.7</f>
        <v>2146.8278125000002</v>
      </c>
      <c r="G13" s="24">
        <f>(((G6*0.00314)*((G6+500)/1000)*'Технический лист'!$K$3))*4.7</f>
        <v>2250.5625324000002</v>
      </c>
      <c r="H13" s="24">
        <f>(((H6*0.00314)*((H6+500)/1000)*'Технический лист'!$K$3))*4.7</f>
        <v>2462.1538816000002</v>
      </c>
      <c r="I13" s="24">
        <f>(((I6*0.00314)*((I6+500)/1000)*'Технический лист'!$K$3))*4.7</f>
        <v>2679.2411099999999</v>
      </c>
      <c r="J13" s="24">
        <f>(((J6*0.00314)*((J6+500)/1000)*'Технический лист'!$K$3))*4.7</f>
        <v>2901.8242175999999</v>
      </c>
      <c r="K13" s="24">
        <f>(((K6*0.00314)*((K6+500)/1000)*'Технический лист'!$K$3))*4.7</f>
        <v>3363.4780704000009</v>
      </c>
      <c r="L13" s="24">
        <f>(((L6*0.00314)*((L6+500)/1000)*'Технический лист'!$K$3))*4.7</f>
        <v>3847.1154400000005</v>
      </c>
      <c r="M13" s="24">
        <f>(((M6*0.00314)*((M6+500)/1000)*'Технический лист'!$K$3))*4.7</f>
        <v>4352.7363264000005</v>
      </c>
      <c r="N13" s="24">
        <f>(((N6*0.00314)*((N6+500)/1000)*'Технический лист'!$K$3))*4.7</f>
        <v>5152.3867500000006</v>
      </c>
      <c r="O13" s="24">
        <f>(((O6*0.00314)*((O6+500)/1000)*'Технический лист'!$K$3))*4.7</f>
        <v>5429.9286495999995</v>
      </c>
      <c r="P13" s="24">
        <f>(((P6*0.00314)*((P6+500)/1000)*'Технический лист'!$K$3))*4.7</f>
        <v>5712.9664284</v>
      </c>
      <c r="Q13" s="24">
        <f>(((Q6*0.00314)*((Q6+500)/1000)*'Технический лист'!$K$3))*4.7</f>
        <v>6001.5000864000012</v>
      </c>
      <c r="R13" s="24">
        <f>(((R6*0.00314)*((R6+500)/1000)*'Технический лист'!$K$3))*4.7</f>
        <v>6295.5296235999995</v>
      </c>
      <c r="S13" s="24">
        <f>(((S6*0.00314)*((S6+500)/1000)*'Технический лист'!$K$3))*4.7</f>
        <v>6595.0550400000011</v>
      </c>
      <c r="T13" s="24">
        <f>(((T6*0.00314)*((T6+500)/1000)*'Технический лист'!$K$3))*4.7</f>
        <v>6900.0763356000007</v>
      </c>
      <c r="U13" s="24">
        <f>(((U6*0.00314)*((U6+500)/1000)*'Технический лист'!$K$3))*4.7</f>
        <v>7210.5935103999991</v>
      </c>
      <c r="V13" s="24">
        <f>(((V6*0.00314)*((V6+500)/1000)*'Технический лист'!$K$3))*4.7</f>
        <v>7526.6065644</v>
      </c>
      <c r="W13" s="24">
        <f>(((W6*0.00314)*((W6+500)/1000)*'Технический лист'!$K$3))*4.7</f>
        <v>7848.1154976000007</v>
      </c>
      <c r="X13" s="24">
        <f>(((X6*0.00314)*((X6+500)/1000)*'Технический лист'!$K$3))*4.7</f>
        <v>8175.1203099999993</v>
      </c>
    </row>
    <row r="14" spans="1:30">
      <c r="A14" s="4" t="s">
        <v>76</v>
      </c>
      <c r="B14" s="24">
        <f>((((B6*0.00314)*0.18)*'Технический лист'!$M$3)+((((B6+100)/1000)*((B6+100)/1000))*3)*'Технический лист'!$I$3)*3.75</f>
        <v>1204.5383999999999</v>
      </c>
      <c r="C14" s="24">
        <f>((((C6*0.00314)*0.18)*'Технический лист'!$M$3)+((((C6+100)/1000)*((C6+100)/1000))*3)*'Технический лист'!$I$3)*3.75</f>
        <v>1326.8844899999999</v>
      </c>
      <c r="D14" s="24">
        <f>((((D6*0.00314)*0.18)*'Технический лист'!$M$3)+((((D6+100)/1000)*((D6+100)/1000))*3)*'Технический лист'!$I$3)*3.75</f>
        <v>1389.4767224999998</v>
      </c>
      <c r="E14" s="24">
        <f>((((E6*0.00314)*0.18)*'Технический лист'!$M$3)+((((E6+100)/1000)*((E6+100)/1000))*3)*'Технический лист'!$I$3)*3.75</f>
        <v>1453.0150799999999</v>
      </c>
      <c r="F14" s="24">
        <f>((((F6*0.00314)*0.18)*'Технический лист'!$M$3)+((((F6+100)/1000)*((F6+100)/1000))*3)*'Технический лист'!$I$3)*3.75</f>
        <v>1517.4995625000001</v>
      </c>
      <c r="G14" s="24">
        <f>((((G6*0.00314)*0.18)*'Технический лист'!$M$3)+((((G6+100)/1000)*((G6+100)/1000))*3)*'Технический лист'!$I$3)*3.75</f>
        <v>1582.9301700000001</v>
      </c>
      <c r="H14" s="24">
        <f>((((H6*0.00314)*0.18)*'Технический лист'!$M$3)+((((H6+100)/1000)*((H6+100)/1000))*3)*'Технический лист'!$I$3)*3.75</f>
        <v>1716.6297599999998</v>
      </c>
      <c r="I14" s="24">
        <f>((((I6*0.00314)*0.18)*'Технический лист'!$M$3)+((((I6+100)/1000)*((I6+100)/1000))*3)*'Технический лист'!$I$3)*3.75</f>
        <v>1854.1138499999997</v>
      </c>
      <c r="J14" s="24">
        <f>((((J6*0.00314)*0.18)*'Технический лист'!$M$3)+((((J6+100)/1000)*((J6+100)/1000))*3)*'Технический лист'!$I$3)*3.75</f>
        <v>1995.3824400000001</v>
      </c>
      <c r="K14" s="24">
        <f>((((K6*0.00314)*0.18)*'Технический лист'!$M$3)+((((K6+100)/1000)*((K6+100)/1000))*3)*'Технический лист'!$I$3)*3.75</f>
        <v>2289.2731200000003</v>
      </c>
      <c r="L14" s="24">
        <f>((((L6*0.00314)*0.18)*'Технический лист'!$M$3)+((((L6+100)/1000)*((L6+100)/1000))*3)*'Технический лист'!$I$3)*3.75</f>
        <v>2598.3018000000002</v>
      </c>
      <c r="M14" s="24">
        <f>((((M6*0.00314)*0.18)*'Технический лист'!$M$3)+((((M6+100)/1000)*((M6+100)/1000))*3)*'Технический лист'!$I$3)*3.75</f>
        <v>2922.46848</v>
      </c>
      <c r="N14" s="24">
        <f>((((N6*0.00314)*0.18)*'Технический лист'!$M$3)+((((N6+100)/1000)*((N6+100)/1000))*3)*'Технический лист'!$I$3)*3.75</f>
        <v>3437.1022499999995</v>
      </c>
      <c r="O14" s="24">
        <f>((((O6*0.00314)*0.18)*'Технический лист'!$M$3)+((((O6+100)/1000)*((O6+100)/1000))*3)*'Технический лист'!$I$3)*3.75</f>
        <v>3616.2158399999998</v>
      </c>
      <c r="P14" s="24">
        <f>((((P6*0.00314)*0.18)*'Технический лист'!$M$3)+((((P6+100)/1000)*((P6+100)/1000))*3)*'Технический лист'!$I$3)*3.75</f>
        <v>3799.1139299999995</v>
      </c>
      <c r="Q14" s="24">
        <f>((((Q6*0.00314)*0.18)*'Технический лист'!$M$3)+((((Q6+100)/1000)*((Q6+100)/1000))*3)*'Технический лист'!$I$3)*3.75</f>
        <v>3985.7965199999999</v>
      </c>
      <c r="R14" s="24">
        <f>((((R6*0.00314)*0.18)*'Технический лист'!$M$3)+((((R6+100)/1000)*((R6+100)/1000))*3)*'Технический лист'!$I$3)*3.75</f>
        <v>4176.26361</v>
      </c>
      <c r="S14" s="24">
        <f>((((S6*0.00314)*0.18)*'Технический лист'!$M$3)+((((S6+100)/1000)*((S6+100)/1000))*3)*'Технический лист'!$I$3)*3.75</f>
        <v>4370.5151999999998</v>
      </c>
      <c r="T14" s="24">
        <f>((((T6*0.00314)*0.18)*'Технический лист'!$M$3)+((((T6+100)/1000)*((T6+100)/1000))*3)*'Технический лист'!$I$3)*3.75</f>
        <v>4568.5512900000003</v>
      </c>
      <c r="U14" s="24">
        <f>((((U6*0.00314)*0.18)*'Технический лист'!$M$3)+((((U6+100)/1000)*((U6+100)/1000))*3)*'Технический лист'!$I$3)*3.75</f>
        <v>4770.3718799999988</v>
      </c>
      <c r="V14" s="24">
        <f>((((V6*0.00314)*0.18)*'Технический лист'!$M$3)+((((V6+100)/1000)*((V6+100)/1000))*3)*'Технический лист'!$I$3)*3.75</f>
        <v>4975.9769699999997</v>
      </c>
      <c r="W14" s="24">
        <f>((((W6*0.00314)*0.18)*'Технический лист'!$M$3)+((((W6+100)/1000)*((W6+100)/1000))*3)*'Технический лист'!$I$3)*3.75</f>
        <v>5185.3665600000004</v>
      </c>
      <c r="X14" s="24">
        <f>((((X6*0.00314)*0.18)*'Технический лист'!$M$3)+((((X6+100)/1000)*((X6+100)/1000))*3)*'Технический лист'!$I$3)*3.75</f>
        <v>5398.5406499999999</v>
      </c>
    </row>
    <row r="15" spans="1:30">
      <c r="A15" s="4" t="s">
        <v>100</v>
      </c>
      <c r="B15" s="24">
        <v>1170</v>
      </c>
      <c r="C15" s="24">
        <v>1170</v>
      </c>
      <c r="D15" s="24">
        <v>1170</v>
      </c>
      <c r="E15" s="24">
        <v>1170</v>
      </c>
      <c r="F15" s="24">
        <v>1170</v>
      </c>
      <c r="G15" s="24">
        <v>1170</v>
      </c>
      <c r="H15" s="24">
        <v>1170</v>
      </c>
      <c r="I15" s="24">
        <v>1170</v>
      </c>
      <c r="J15" s="24">
        <v>1170</v>
      </c>
      <c r="K15" s="24">
        <v>1170</v>
      </c>
      <c r="L15" s="24">
        <v>1170</v>
      </c>
      <c r="M15" s="24">
        <v>1170</v>
      </c>
      <c r="N15" s="24">
        <v>1170</v>
      </c>
      <c r="O15" s="24">
        <v>1170</v>
      </c>
      <c r="P15" s="24">
        <v>1170</v>
      </c>
      <c r="Q15" s="24">
        <v>1170</v>
      </c>
      <c r="R15" s="24">
        <v>1170</v>
      </c>
      <c r="S15" s="24">
        <v>1170</v>
      </c>
      <c r="T15" s="24">
        <v>1170</v>
      </c>
      <c r="U15" s="24">
        <v>1170</v>
      </c>
      <c r="V15" s="24">
        <v>1170</v>
      </c>
      <c r="W15" s="24">
        <v>1170</v>
      </c>
      <c r="X15" s="24">
        <v>1170</v>
      </c>
    </row>
    <row r="17" spans="1:28">
      <c r="A17" s="41" t="s">
        <v>111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1" t="s">
        <v>111</v>
      </c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</row>
    <row r="18" spans="1:28">
      <c r="A18" s="3" t="s">
        <v>79</v>
      </c>
      <c r="B18" s="22">
        <v>100</v>
      </c>
      <c r="C18" s="10">
        <v>110</v>
      </c>
      <c r="D18" s="10">
        <v>115</v>
      </c>
      <c r="E18" s="10">
        <v>120</v>
      </c>
      <c r="F18" s="10">
        <v>125</v>
      </c>
      <c r="G18" s="10">
        <v>130</v>
      </c>
      <c r="H18" s="10">
        <v>140</v>
      </c>
      <c r="I18" s="10">
        <v>150</v>
      </c>
      <c r="J18" s="10">
        <v>160</v>
      </c>
      <c r="K18" s="10">
        <v>180</v>
      </c>
      <c r="L18" s="10">
        <v>200</v>
      </c>
      <c r="M18" s="10">
        <v>220</v>
      </c>
      <c r="N18" s="10">
        <v>250</v>
      </c>
      <c r="O18" s="10">
        <v>260</v>
      </c>
      <c r="P18" s="10">
        <v>270</v>
      </c>
      <c r="Q18" s="10">
        <v>280</v>
      </c>
      <c r="R18" s="10">
        <v>290</v>
      </c>
      <c r="S18" s="10">
        <v>300</v>
      </c>
      <c r="T18" s="10">
        <v>310</v>
      </c>
      <c r="U18" s="10">
        <v>320</v>
      </c>
      <c r="V18" s="10">
        <v>330</v>
      </c>
      <c r="W18" s="10">
        <v>340</v>
      </c>
      <c r="X18" s="10">
        <v>350</v>
      </c>
    </row>
    <row r="19" spans="1:28">
      <c r="A19" s="4" t="s">
        <v>69</v>
      </c>
      <c r="B19" s="23">
        <f>((B18*0.00314)*'Технический лист'!$G$4)*3.65</f>
        <v>1680.4505194805195</v>
      </c>
      <c r="C19" s="23">
        <f>((C18*0.00314)*'Технический лист'!$G$4)*3.65</f>
        <v>1848.4955714285713</v>
      </c>
      <c r="D19" s="23">
        <f>((D18*0.00314)*'Технический лист'!$G$4)*3.65</f>
        <v>1932.5180974025973</v>
      </c>
      <c r="E19" s="23">
        <f>((E18*0.00314)*'Технический лист'!$G$4)*3.65</f>
        <v>2016.5406233766237</v>
      </c>
      <c r="F19" s="23">
        <f>((F18*0.00314)*'Технический лист'!$G$4)*3.65</f>
        <v>2100.5631493506494</v>
      </c>
      <c r="G19" s="23">
        <f>((G18*0.00314)*'Технический лист'!$G$4)*3.65</f>
        <v>2184.5856753246753</v>
      </c>
      <c r="H19" s="23">
        <f>((H18*0.00314)*'Технический лист'!$G$4)*3.65</f>
        <v>2352.6307272727277</v>
      </c>
      <c r="I19" s="23">
        <f>((I18*0.00314)*'Технический лист'!$G$4)*3.65</f>
        <v>2520.6757792207795</v>
      </c>
      <c r="J19" s="23">
        <f>((J18*0.00314)*'Технический лист'!$G$4)*3.65</f>
        <v>2688.720831168831</v>
      </c>
      <c r="K19" s="23">
        <f>((K18*0.00314)*'Технический лист'!$G$4)*3.65</f>
        <v>3024.8109350649356</v>
      </c>
      <c r="L19" s="23">
        <f>((L18*0.00314)*'Технический лист'!$G$4)*3.65</f>
        <v>3360.9010389610389</v>
      </c>
      <c r="M19" s="23">
        <f>((M18*0.00314)*'Технический лист'!$G$4)*3.65</f>
        <v>3696.9911428571427</v>
      </c>
      <c r="N19" s="23">
        <f>((N18*0.00314)*'Технический лист'!$G$4)*3.65</f>
        <v>4201.1262987012988</v>
      </c>
      <c r="O19" s="23">
        <f>((O18*0.00314)*'Технический лист'!$G$4)*3.65</f>
        <v>4369.1713506493506</v>
      </c>
      <c r="P19" s="23">
        <f>((P18*0.00314)*'Технический лист'!$G$4)*3.65</f>
        <v>4537.2164025974025</v>
      </c>
      <c r="Q19" s="23">
        <f>((Q18*0.00314)*'Технический лист'!$G$4)*3.65</f>
        <v>4705.2614545454553</v>
      </c>
      <c r="R19" s="23">
        <f>((R18*0.00314)*'Технический лист'!$G$4)*3.65</f>
        <v>4873.3065064935072</v>
      </c>
      <c r="S19" s="23">
        <f>((S18*0.00314)*'Технический лист'!$G$4)*3.65</f>
        <v>5041.3515584415591</v>
      </c>
      <c r="T19" s="23">
        <f>((T18*0.00314)*'Технический лист'!$G$4)*3.65</f>
        <v>5209.3966103896109</v>
      </c>
      <c r="U19" s="23">
        <f>((U18*0.00314)*'Технический лист'!$G$4)*3.65</f>
        <v>5377.4416623376619</v>
      </c>
      <c r="V19" s="23">
        <f>((V18*0.00314)*'Технический лист'!$G$4)*3.65</f>
        <v>5545.4867142857147</v>
      </c>
      <c r="W19" s="23">
        <f>((W18*0.00314)*'Технический лист'!$G$4)*3.65</f>
        <v>5713.5317662337675</v>
      </c>
      <c r="X19" s="23">
        <f>((X18*0.00314)*'Технический лист'!$G$4)*3.65</f>
        <v>5881.5768181818185</v>
      </c>
    </row>
    <row r="20" spans="1:28">
      <c r="A20" s="4" t="s">
        <v>70</v>
      </c>
      <c r="B20" s="24">
        <f>((B19/2)*1.07)-10</f>
        <v>889.041027922078</v>
      </c>
      <c r="C20" s="9">
        <f t="shared" ref="C20:X20" si="3">((C19/2)*1.07)-10</f>
        <v>978.94513071428571</v>
      </c>
      <c r="D20" s="9">
        <f t="shared" si="3"/>
        <v>1023.8971821103896</v>
      </c>
      <c r="E20" s="9">
        <f t="shared" si="3"/>
        <v>1068.8492335064936</v>
      </c>
      <c r="F20" s="9">
        <f t="shared" si="3"/>
        <v>1113.8012849025974</v>
      </c>
      <c r="G20" s="9">
        <f t="shared" si="3"/>
        <v>1158.7533362987015</v>
      </c>
      <c r="H20" s="9">
        <f t="shared" si="3"/>
        <v>1248.6574390909093</v>
      </c>
      <c r="I20" s="9">
        <f t="shared" si="3"/>
        <v>1338.5615418831171</v>
      </c>
      <c r="J20" s="9">
        <f t="shared" si="3"/>
        <v>1428.4656446753247</v>
      </c>
      <c r="K20" s="9">
        <f t="shared" si="3"/>
        <v>1608.2738502597406</v>
      </c>
      <c r="L20" s="9">
        <f t="shared" si="3"/>
        <v>1788.082055844156</v>
      </c>
      <c r="M20" s="9">
        <f t="shared" si="3"/>
        <v>1967.8902614285714</v>
      </c>
      <c r="N20" s="9">
        <f t="shared" si="3"/>
        <v>2237.6025698051949</v>
      </c>
      <c r="O20" s="9">
        <f t="shared" si="3"/>
        <v>2327.5066725974029</v>
      </c>
      <c r="P20" s="9">
        <f t="shared" si="3"/>
        <v>2417.4107753896105</v>
      </c>
      <c r="Q20" s="9">
        <f t="shared" si="3"/>
        <v>2507.3148781818186</v>
      </c>
      <c r="R20" s="9">
        <f t="shared" si="3"/>
        <v>2597.2189809740266</v>
      </c>
      <c r="S20" s="9">
        <f t="shared" si="3"/>
        <v>2687.1230837662342</v>
      </c>
      <c r="T20" s="9">
        <f t="shared" si="3"/>
        <v>2777.0271865584418</v>
      </c>
      <c r="U20" s="9">
        <f t="shared" si="3"/>
        <v>2866.9312893506494</v>
      </c>
      <c r="V20" s="9">
        <f t="shared" si="3"/>
        <v>2956.8353921428575</v>
      </c>
      <c r="W20" s="9">
        <f t="shared" si="3"/>
        <v>3046.739494935066</v>
      </c>
      <c r="X20" s="9">
        <f t="shared" si="3"/>
        <v>3136.6435977272731</v>
      </c>
    </row>
    <row r="21" spans="1:28">
      <c r="A21" s="4" t="s">
        <v>71</v>
      </c>
      <c r="B21" s="23">
        <f>(((B18*0.00314)*0.55)*'Технический лист'!$I$4)*4.1</f>
        <v>1583.410042857143</v>
      </c>
      <c r="C21" s="23">
        <f>(((C18*0.00314)*0.55)*'Технический лист'!$I$4)*4.1</f>
        <v>1741.7510471428573</v>
      </c>
      <c r="D21" s="23">
        <f>(((D18*0.00314)*0.55)*'Технический лист'!$I$4)*4.1</f>
        <v>1820.9215492857143</v>
      </c>
      <c r="E21" s="23">
        <f>(((E18*0.00314)*0.55)*'Технический лист'!$I$4)*4.1</f>
        <v>1900.0920514285717</v>
      </c>
      <c r="F21" s="23">
        <f>(((F18*0.00314)*0.55)*'Технический лист'!$I$4)*4.1</f>
        <v>1979.262553571429</v>
      </c>
      <c r="G21" s="23">
        <f>(((G18*0.00314)*0.55)*'Технический лист'!$I$4)*4.1</f>
        <v>2058.4330557142857</v>
      </c>
      <c r="H21" s="23">
        <f>(((H18*0.00314)*0.55)*'Технический лист'!$I$4)*4.1</f>
        <v>2216.7740600000002</v>
      </c>
      <c r="I21" s="23">
        <f>(((I18*0.00314)*0.55)*'Технический лист'!$I$4)*4.1</f>
        <v>2375.1150642857147</v>
      </c>
      <c r="J21" s="23">
        <f>(((J18*0.00314)*0.55)*'Технический лист'!$I$4)*4.1</f>
        <v>2533.4560685714287</v>
      </c>
      <c r="K21" s="23">
        <f>(((K18*0.00314)*0.55)*'Технический лист'!$I$4)*4.1</f>
        <v>2850.1380771428571</v>
      </c>
      <c r="L21" s="23">
        <f>(((L18*0.00314)*0.55)*'Технический лист'!$I$4)*4.1</f>
        <v>3166.8200857142861</v>
      </c>
      <c r="M21" s="23">
        <f>(((M18*0.00314)*0.55)*'Технический лист'!$I$4)*4.1</f>
        <v>3483.5020942857145</v>
      </c>
      <c r="N21" s="23">
        <f>(((N18*0.00314)*0.55)*'Технический лист'!$I$4)*4.1</f>
        <v>3958.5251071428579</v>
      </c>
      <c r="O21" s="23">
        <f>(((O18*0.00314)*0.55)*'Технический лист'!$I$4)*4.1</f>
        <v>4116.8661114285715</v>
      </c>
      <c r="P21" s="23">
        <f>(((P18*0.00314)*0.55)*'Технический лист'!$I$4)*4.1</f>
        <v>4275.2071157142864</v>
      </c>
      <c r="Q21" s="23">
        <f>(((Q18*0.00314)*0.55)*'Технический лист'!$I$4)*4.1</f>
        <v>4433.5481200000004</v>
      </c>
      <c r="R21" s="23">
        <f>(((R18*0.00314)*0.55)*'Технический лист'!$I$4)*4.1</f>
        <v>4591.8891242857144</v>
      </c>
      <c r="S21" s="23">
        <f>(((S18*0.00314)*0.55)*'Технический лист'!$I$4)*4.1</f>
        <v>4750.2301285714293</v>
      </c>
      <c r="T21" s="23">
        <f>(((T18*0.00314)*0.55)*'Технический лист'!$I$4)*4.1</f>
        <v>4908.5711328571424</v>
      </c>
      <c r="U21" s="23">
        <f>(((U18*0.00314)*0.55)*'Технический лист'!$I$4)*4.1</f>
        <v>5066.9121371428573</v>
      </c>
      <c r="V21" s="23">
        <f>(((V18*0.00314)*0.55)*'Технический лист'!$I$4)*4.1</f>
        <v>5225.2531414285722</v>
      </c>
      <c r="W21" s="23">
        <f>(((W18*0.00314)*0.55)*'Технический лист'!$I$4)*4.1</f>
        <v>5383.5941457142872</v>
      </c>
      <c r="X21" s="23">
        <f>(((X18*0.00314)*0.55)*'Технический лист'!$I$4)*4.1</f>
        <v>5541.9351500000002</v>
      </c>
    </row>
    <row r="22" spans="1:28">
      <c r="A22" s="4" t="s">
        <v>72</v>
      </c>
      <c r="B22" s="24">
        <f>((B21*2)/3)-6</f>
        <v>1049.6066952380954</v>
      </c>
      <c r="C22" s="9">
        <f t="shared" ref="C22:X22" si="4">((C21*2)/3)-6</f>
        <v>1155.1673647619048</v>
      </c>
      <c r="D22" s="9">
        <f t="shared" si="4"/>
        <v>1207.9476995238094</v>
      </c>
      <c r="E22" s="9">
        <f t="shared" si="4"/>
        <v>1260.7280342857146</v>
      </c>
      <c r="F22" s="9">
        <f t="shared" si="4"/>
        <v>1313.5083690476192</v>
      </c>
      <c r="G22" s="9">
        <f t="shared" si="4"/>
        <v>1366.2887038095239</v>
      </c>
      <c r="H22" s="9">
        <f t="shared" si="4"/>
        <v>1471.8493733333335</v>
      </c>
      <c r="I22" s="9">
        <f t="shared" si="4"/>
        <v>1577.410042857143</v>
      </c>
      <c r="J22" s="9">
        <f t="shared" si="4"/>
        <v>1682.9707123809524</v>
      </c>
      <c r="K22" s="9">
        <f t="shared" si="4"/>
        <v>1894.0920514285715</v>
      </c>
      <c r="L22" s="9">
        <f t="shared" si="4"/>
        <v>2105.2133904761909</v>
      </c>
      <c r="M22" s="9">
        <f t="shared" si="4"/>
        <v>2316.3347295238095</v>
      </c>
      <c r="N22" s="9">
        <f t="shared" si="4"/>
        <v>2633.0167380952385</v>
      </c>
      <c r="O22" s="9">
        <f t="shared" si="4"/>
        <v>2738.5774076190478</v>
      </c>
      <c r="P22" s="9">
        <f t="shared" si="4"/>
        <v>2844.1380771428576</v>
      </c>
      <c r="Q22" s="9">
        <f t="shared" si="4"/>
        <v>2949.6987466666669</v>
      </c>
      <c r="R22" s="9">
        <f t="shared" si="4"/>
        <v>3055.2594161904763</v>
      </c>
      <c r="S22" s="9">
        <f t="shared" si="4"/>
        <v>3160.8200857142861</v>
      </c>
      <c r="T22" s="9">
        <f t="shared" si="4"/>
        <v>3266.3807552380949</v>
      </c>
      <c r="U22" s="9">
        <f t="shared" si="4"/>
        <v>3371.9414247619047</v>
      </c>
      <c r="V22" s="9">
        <f t="shared" si="4"/>
        <v>3477.502094285715</v>
      </c>
      <c r="W22" s="9">
        <f t="shared" si="4"/>
        <v>3583.0627638095248</v>
      </c>
      <c r="X22" s="9">
        <f t="shared" si="4"/>
        <v>3688.6234333333337</v>
      </c>
    </row>
    <row r="23" spans="1:28" hidden="1">
      <c r="A23" s="4"/>
      <c r="B23" s="23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</row>
    <row r="24" spans="1:28">
      <c r="A24" s="4" t="s">
        <v>75</v>
      </c>
      <c r="B24" s="24">
        <f>(((B18*0.00314)*((B18+500)/1000)*'Технический лист'!$K$4))*5.265</f>
        <v>2317.3710148051946</v>
      </c>
      <c r="C24" s="24">
        <f>(((C18*0.00314)*((C18+500)/1000)*'Технический лист'!$K$4))*5.265</f>
        <v>2591.593251557143</v>
      </c>
      <c r="D24" s="24">
        <f>(((D18*0.00314)*((D18+500)/1000)*'Технический лист'!$K$4))*5.265</f>
        <v>2731.6010837016233</v>
      </c>
      <c r="E24" s="24">
        <f>(((E18*0.00314)*((E18+500)/1000)*'Технический лист'!$K$4))*5.265</f>
        <v>2873.5400583584419</v>
      </c>
      <c r="F24" s="24">
        <f>(((F18*0.00314)*((F18+500)/1000)*'Технический лист'!$K$4))*5.265</f>
        <v>3017.4101755275974</v>
      </c>
      <c r="G24" s="24">
        <f>(((G18*0.00314)*((G18+500)/1000)*'Технический лист'!$K$4))*5.265</f>
        <v>3163.2114352090912</v>
      </c>
      <c r="H24" s="24">
        <f>(((H18*0.00314)*((H18+500)/1000)*'Технический лист'!$K$4))*5.265</f>
        <v>3460.6073821090908</v>
      </c>
      <c r="I24" s="24">
        <f>(((I18*0.00314)*((I18+500)/1000)*'Технический лист'!$K$4))*5.265</f>
        <v>3765.7278990584414</v>
      </c>
      <c r="J24" s="24">
        <f>(((J18*0.00314)*((J18+500)/1000)*'Технический лист'!$K$4))*5.265</f>
        <v>4078.5729860571428</v>
      </c>
      <c r="K24" s="24">
        <f>(((K18*0.00314)*((K18+500)/1000)*'Технический лист'!$K$4))*5.265</f>
        <v>4727.4368702025977</v>
      </c>
      <c r="L24" s="24">
        <f>(((L18*0.00314)*((L18+500)/1000)*'Технический лист'!$K$4))*5.265</f>
        <v>5407.1990345454542</v>
      </c>
      <c r="M24" s="24">
        <f>(((M18*0.00314)*((M18+500)/1000)*'Технический лист'!$K$4))*5.265</f>
        <v>6117.8594790857142</v>
      </c>
      <c r="N24" s="24">
        <f>(((N18*0.00314)*((N18+500)/1000)*'Технический лист'!$K$4))*5.265</f>
        <v>7241.7844212662339</v>
      </c>
      <c r="O24" s="24">
        <f>(((O18*0.00314)*((O18+500)/1000)*'Технический лист'!$K$4))*5.265</f>
        <v>7631.8752087584407</v>
      </c>
      <c r="P24" s="24">
        <f>(((P18*0.00314)*((P18+500)/1000)*'Технический лист'!$K$4))*5.265</f>
        <v>8029.6905662999998</v>
      </c>
      <c r="Q24" s="24">
        <f>(((Q18*0.00314)*((Q18+500)/1000)*'Технический лист'!$K$4))*5.265</f>
        <v>8435.2304938909092</v>
      </c>
      <c r="R24" s="24">
        <f>(((R18*0.00314)*((R18+500)/1000)*'Технический лист'!$K$4))*5.265</f>
        <v>8848.4949915311681</v>
      </c>
      <c r="S24" s="24">
        <f>(((S18*0.00314)*((S18+500)/1000)*'Технический лист'!$K$4))*5.265</f>
        <v>9269.4840592207802</v>
      </c>
      <c r="T24" s="24">
        <f>(((T18*0.00314)*((T18+500)/1000)*'Технический лист'!$K$4))*5.265</f>
        <v>9698.1976969597417</v>
      </c>
      <c r="U24" s="24">
        <f>(((U18*0.00314)*((U18+500)/1000)*'Технический лист'!$K$4))*5.265</f>
        <v>10134.635904748049</v>
      </c>
      <c r="V24" s="24">
        <f>(((V18*0.00314)*((V18+500)/1000)*'Технический лист'!$K$4))*5.265</f>
        <v>10578.798682585713</v>
      </c>
      <c r="W24" s="24">
        <f>(((W18*0.00314)*((W18+500)/1000)*'Технический лист'!$K$4))*5.265</f>
        <v>11030.686030472727</v>
      </c>
      <c r="X24" s="24">
        <f>(((X18*0.00314)*((X18+500)/1000)*'Технический лист'!$K$4))*5.265</f>
        <v>11490.29794840909</v>
      </c>
    </row>
    <row r="25" spans="1:28" hidden="1">
      <c r="A25" s="4"/>
      <c r="B25" s="27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8">
      <c r="A26" s="4" t="s">
        <v>76</v>
      </c>
      <c r="B26" s="24">
        <f>((((B18*0.00314)*0.21)*'Технический лист'!$M$3)+((((B18+100)/1000)*((B18+100)/1000))*3)*'Технический лист'!$I$4)*3.5</f>
        <v>1426.6466618181819</v>
      </c>
      <c r="C26" s="24">
        <f>((((C18*0.00314)*0.21)*'Технический лист'!$M$3)+((((C18+100)/1000)*((C18+100)/1000))*3)*'Технический лист'!$I$4)*3.5</f>
        <v>1571.6593734545452</v>
      </c>
      <c r="D26" s="24">
        <f>((((D18*0.00314)*0.21)*'Технический лист'!$M$3)+((((D18+100)/1000)*((D18+100)/1000))*3)*'Технический лист'!$I$4)*3.5</f>
        <v>1645.9267633636362</v>
      </c>
      <c r="E26" s="24">
        <f>((((E18*0.00314)*0.21)*'Технический лист'!$M$3)+((((E18+100)/1000)*((E18+100)/1000))*3)*'Технический лист'!$I$4)*3.5</f>
        <v>1721.3681760000002</v>
      </c>
      <c r="F26" s="24">
        <f>((((F18*0.00314)*0.21)*'Технический лист'!$M$3)+((((F18+100)/1000)*((F18+100)/1000))*3)*'Технический лист'!$I$4)*3.5</f>
        <v>1797.9836113636366</v>
      </c>
      <c r="G26" s="24">
        <f>((((G18*0.00314)*0.21)*'Технический лист'!$M$3)+((((G18+100)/1000)*((G18+100)/1000))*3)*'Технический лист'!$I$4)*3.5</f>
        <v>1875.7730694545455</v>
      </c>
      <c r="H26" s="24">
        <f>((((H18*0.00314)*0.21)*'Технический лист'!$M$3)+((((H18+100)/1000)*((H18+100)/1000))*3)*'Технический лист'!$I$4)*3.5</f>
        <v>2034.8740538181819</v>
      </c>
      <c r="I26" s="24">
        <f>((((I18*0.00314)*0.21)*'Технический лист'!$M$3)+((((I18+100)/1000)*((I18+100)/1000))*3)*'Технический лист'!$I$4)*3.5</f>
        <v>2198.6711290909088</v>
      </c>
      <c r="J26" s="24">
        <f>((((J18*0.00314)*0.21)*'Технический лист'!$M$3)+((((J18+100)/1000)*((J18+100)/1000))*3)*'Технический лист'!$I$4)*3.5</f>
        <v>2367.164295272727</v>
      </c>
      <c r="K26" s="24">
        <f>((((K18*0.00314)*0.21)*'Технический лист'!$M$3)+((((K18+100)/1000)*((K18+100)/1000))*3)*'Технический лист'!$I$4)*3.5</f>
        <v>2718.2389003636367</v>
      </c>
      <c r="L26" s="24">
        <f>((((L18*0.00314)*0.21)*'Технический лист'!$M$3)+((((L18+100)/1000)*((L18+100)/1000))*3)*'Технический лист'!$I$4)*3.5</f>
        <v>3088.0978690909087</v>
      </c>
      <c r="M26" s="24">
        <f>((((M18*0.00314)*0.21)*'Технический лист'!$M$3)+((((M18+100)/1000)*((M18+100)/1000))*3)*'Технический лист'!$I$4)*3.5</f>
        <v>3476.7412014545457</v>
      </c>
      <c r="N26" s="24">
        <f>((((N18*0.00314)*0.21)*'Технический лист'!$M$3)+((((N18+100)/1000)*((N18+100)/1000))*3)*'Технический лист'!$I$4)*3.5</f>
        <v>4094.9268818181818</v>
      </c>
      <c r="O26" s="24">
        <f>((((O18*0.00314)*0.21)*'Технический лист'!$M$3)+((((O18+100)/1000)*((O18+100)/1000))*3)*'Технический лист'!$I$4)*3.5</f>
        <v>4310.3809570909089</v>
      </c>
      <c r="P26" s="24">
        <f>((((P18*0.00314)*0.21)*'Технический лист'!$M$3)+((((P18+100)/1000)*((P18+100)/1000))*3)*'Технический лист'!$I$4)*3.5</f>
        <v>4530.5311232727272</v>
      </c>
      <c r="Q26" s="24">
        <f>((((Q18*0.00314)*0.21)*'Технический лист'!$M$3)+((((Q18+100)/1000)*((Q18+100)/1000))*3)*'Технический лист'!$I$4)*3.5</f>
        <v>4755.3773803636368</v>
      </c>
      <c r="R26" s="24">
        <f>((((R18*0.00314)*0.21)*'Технический лист'!$M$3)+((((R18+100)/1000)*((R18+100)/1000))*3)*'Технический лист'!$I$4)*3.5</f>
        <v>4984.9197283636368</v>
      </c>
      <c r="S26" s="24">
        <f>((((S18*0.00314)*0.21)*'Технический лист'!$M$3)+((((S18+100)/1000)*((S18+100)/1000))*3)*'Технический лист'!$I$4)*3.5</f>
        <v>5219.158167272728</v>
      </c>
      <c r="T26" s="24">
        <f>((((T18*0.00314)*0.21)*'Технический лист'!$M$3)+((((T18+100)/1000)*((T18+100)/1000))*3)*'Технический лист'!$I$4)*3.5</f>
        <v>5458.0926970909086</v>
      </c>
      <c r="U26" s="24">
        <f>((((U18*0.00314)*0.21)*'Технический лист'!$M$3)+((((U18+100)/1000)*((U18+100)/1000))*3)*'Технический лист'!$I$4)*3.5</f>
        <v>5701.7233178181805</v>
      </c>
      <c r="V26" s="24">
        <f>((((V18*0.00314)*0.21)*'Технический лист'!$M$3)+((((V18+100)/1000)*((V18+100)/1000))*3)*'Технический лист'!$I$4)*3.5</f>
        <v>5950.0500294545454</v>
      </c>
      <c r="W26" s="24">
        <f>((((W18*0.00314)*0.21)*'Технический лист'!$M$3)+((((W18+100)/1000)*((W18+100)/1000))*3)*'Технический лист'!$I$4)*3.5</f>
        <v>6203.0728320000007</v>
      </c>
      <c r="X26" s="24">
        <f>((((X18*0.00314)*0.21)*'Технический лист'!$M$3)+((((X18+100)/1000)*((X18+100)/1000))*3)*'Технический лист'!$I$4)*3.5</f>
        <v>6460.7917254545464</v>
      </c>
    </row>
    <row r="27" spans="1:28">
      <c r="A27" s="4" t="s">
        <v>100</v>
      </c>
      <c r="B27" s="24">
        <v>1345</v>
      </c>
      <c r="C27" s="24">
        <v>1345</v>
      </c>
      <c r="D27" s="24">
        <v>1345</v>
      </c>
      <c r="E27" s="24">
        <v>1345</v>
      </c>
      <c r="F27" s="24">
        <v>1345</v>
      </c>
      <c r="G27" s="24">
        <v>1345</v>
      </c>
      <c r="H27" s="24">
        <v>1345</v>
      </c>
      <c r="I27" s="24">
        <v>1345</v>
      </c>
      <c r="J27" s="24">
        <v>1345</v>
      </c>
      <c r="K27" s="24">
        <v>1345</v>
      </c>
      <c r="L27" s="24">
        <v>1345</v>
      </c>
      <c r="M27" s="24">
        <v>1345</v>
      </c>
      <c r="N27" s="24">
        <v>1345</v>
      </c>
      <c r="O27" s="24">
        <v>1345</v>
      </c>
      <c r="P27" s="24">
        <v>1345</v>
      </c>
      <c r="Q27" s="24">
        <v>1345</v>
      </c>
      <c r="R27" s="24">
        <v>1345</v>
      </c>
      <c r="S27" s="24">
        <v>1345</v>
      </c>
      <c r="T27" s="24">
        <v>1345</v>
      </c>
      <c r="U27" s="24">
        <v>1345</v>
      </c>
      <c r="V27" s="24">
        <v>1345</v>
      </c>
      <c r="W27" s="24">
        <v>1345</v>
      </c>
      <c r="X27" s="24">
        <v>1345</v>
      </c>
    </row>
  </sheetData>
  <mergeCells count="8">
    <mergeCell ref="A17:N17"/>
    <mergeCell ref="O17:AB17"/>
    <mergeCell ref="A1:C1"/>
    <mergeCell ref="D1:O1"/>
    <mergeCell ref="D2:O2"/>
    <mergeCell ref="D3:O3"/>
    <mergeCell ref="A5:O5"/>
    <mergeCell ref="P5:AD5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D23"/>
  <sheetViews>
    <sheetView zoomScale="80" zoomScaleNormal="80" workbookViewId="0">
      <selection activeCell="B23" sqref="B23:X23"/>
    </sheetView>
  </sheetViews>
  <sheetFormatPr defaultRowHeight="14.4"/>
  <cols>
    <col min="1" max="1" width="20.6640625" customWidth="1"/>
    <col min="2" max="24" width="6.33203125" customWidth="1"/>
  </cols>
  <sheetData>
    <row r="1" spans="1:30" ht="37.200000000000003">
      <c r="A1" s="32"/>
      <c r="B1" s="32"/>
      <c r="C1" s="32"/>
      <c r="D1" s="40" t="s">
        <v>94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1"/>
      <c r="Q1" s="1"/>
    </row>
    <row r="2" spans="1:30" ht="18">
      <c r="D2" s="34" t="s">
        <v>95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1"/>
    </row>
    <row r="3" spans="1:30" ht="18">
      <c r="D3" s="34" t="s">
        <v>112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30" ht="34.5" customHeight="1"/>
    <row r="5" spans="1:30">
      <c r="A5" s="41" t="s">
        <v>114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 t="s">
        <v>114</v>
      </c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</row>
    <row r="6" spans="1:30">
      <c r="A6" s="3" t="s">
        <v>78</v>
      </c>
      <c r="B6" s="10">
        <v>100</v>
      </c>
      <c r="C6" s="10">
        <v>110</v>
      </c>
      <c r="D6" s="10">
        <v>115</v>
      </c>
      <c r="E6" s="10">
        <v>120</v>
      </c>
      <c r="F6" s="10">
        <v>125</v>
      </c>
      <c r="G6" s="10">
        <v>130</v>
      </c>
      <c r="H6" s="10">
        <v>140</v>
      </c>
      <c r="I6" s="10">
        <v>150</v>
      </c>
      <c r="J6" s="10">
        <v>160</v>
      </c>
      <c r="K6" s="10">
        <v>180</v>
      </c>
      <c r="L6" s="10">
        <v>200</v>
      </c>
      <c r="M6" s="10">
        <v>220</v>
      </c>
      <c r="N6" s="10">
        <v>250</v>
      </c>
      <c r="O6" s="10">
        <v>260</v>
      </c>
      <c r="P6" s="10">
        <v>270</v>
      </c>
      <c r="Q6" s="10">
        <v>280</v>
      </c>
      <c r="R6" s="10">
        <v>290</v>
      </c>
      <c r="S6" s="10">
        <v>300</v>
      </c>
      <c r="T6" s="10">
        <v>310</v>
      </c>
      <c r="U6" s="10">
        <v>320</v>
      </c>
      <c r="V6" s="10">
        <v>330</v>
      </c>
      <c r="W6" s="10">
        <v>340</v>
      </c>
      <c r="X6" s="10">
        <v>350</v>
      </c>
    </row>
    <row r="7" spans="1:30">
      <c r="A7" s="4" t="s">
        <v>69</v>
      </c>
      <c r="B7" s="16">
        <f>(((B6*0.00314)*'Технический лист'!$G$7))*3.7</f>
        <v>1609.3253600000003</v>
      </c>
      <c r="C7" s="16">
        <f>(((C6*0.00314)*'Технический лист'!$G$7))*3.7</f>
        <v>1770.2578960000001</v>
      </c>
      <c r="D7" s="16">
        <f>(((D6*0.00314)*'Технический лист'!$G$7))*3.7</f>
        <v>1850.724164</v>
      </c>
      <c r="E7" s="16">
        <f>(((E6*0.00314)*'Технический лист'!$G$7))*3.7</f>
        <v>1931.1904320000006</v>
      </c>
      <c r="F7" s="16">
        <f>(((F6*0.00314)*'Технический лист'!$G$7))*3.7</f>
        <v>2011.6567000000002</v>
      </c>
      <c r="G7" s="16">
        <f>(((G6*0.00314)*'Технический лист'!$G$7))*3.7</f>
        <v>2092.1229680000006</v>
      </c>
      <c r="H7" s="16">
        <f>(((H6*0.00314)*'Технический лист'!$G$7))*3.7</f>
        <v>2253.0555040000004</v>
      </c>
      <c r="I7" s="16">
        <f>(((I6*0.00314)*'Технический лист'!$G$7))*3.7</f>
        <v>2413.9880400000002</v>
      </c>
      <c r="J7" s="16">
        <f>(((J6*0.00314)*'Технический лист'!$G$7))*3.7</f>
        <v>2574.920576</v>
      </c>
      <c r="K7" s="16">
        <f>(((K6*0.00314)*'Технический лист'!$G$7))*3.7</f>
        <v>2896.7856480000005</v>
      </c>
      <c r="L7" s="16">
        <f>(((L6*0.00314)*'Технический лист'!$G$7))*3.7</f>
        <v>3218.6507200000005</v>
      </c>
      <c r="M7" s="16">
        <f>(((M6*0.00314)*'Технический лист'!$G$7))*3.7</f>
        <v>3540.5157920000001</v>
      </c>
      <c r="N7" s="16">
        <f>(((N6*0.00314)*'Технический лист'!$G$7))*3.7</f>
        <v>4023.3134000000005</v>
      </c>
      <c r="O7" s="16">
        <f>(((O6*0.00314)*'Технический лист'!$G$7))*3.7</f>
        <v>4184.2459360000012</v>
      </c>
      <c r="P7" s="16">
        <f>(((P6*0.00314)*'Технический лист'!$G$7))*3.7</f>
        <v>4345.1784720000005</v>
      </c>
      <c r="Q7" s="16">
        <f>(((Q6*0.00314)*'Технический лист'!$G$7))*3.7</f>
        <v>4506.1110080000008</v>
      </c>
      <c r="R7" s="16">
        <f>(((R6*0.00314)*'Технический лист'!$G$7))*3.7</f>
        <v>4667.0435440000001</v>
      </c>
      <c r="S7" s="16">
        <f>(((S6*0.00314)*'Технический лист'!$G$7))*3.7</f>
        <v>4827.9760800000004</v>
      </c>
      <c r="T7" s="16">
        <f>(((T6*0.00314)*'Технический лист'!$G$7))*3.7</f>
        <v>4988.9086160000006</v>
      </c>
      <c r="U7" s="16">
        <f>(((U6*0.00314)*'Технический лист'!$G$7))*3.7</f>
        <v>5149.841152</v>
      </c>
      <c r="V7" s="16">
        <f>(((V6*0.00314)*'Технический лист'!$G$7))*3.7</f>
        <v>5310.7736880000011</v>
      </c>
      <c r="W7" s="16">
        <f>(((W6*0.00314)*'Технический лист'!$G$7))*3.7</f>
        <v>5471.7062240000014</v>
      </c>
      <c r="X7" s="16">
        <f>(((X6*0.00314)*'Технический лист'!$G$7))*3.7</f>
        <v>5632.6387600000007</v>
      </c>
    </row>
    <row r="8" spans="1:30">
      <c r="A8" s="4" t="s">
        <v>70</v>
      </c>
      <c r="B8" s="9">
        <f>((B7/2)*1.07)-10</f>
        <v>850.98906760000023</v>
      </c>
      <c r="C8" s="9">
        <f t="shared" ref="C8:X8" si="0">((C7/2)*1.07)-10</f>
        <v>937.08797436000009</v>
      </c>
      <c r="D8" s="9">
        <f t="shared" si="0"/>
        <v>980.13742774000002</v>
      </c>
      <c r="E8" s="9">
        <f t="shared" si="0"/>
        <v>1023.1868811200004</v>
      </c>
      <c r="F8" s="9">
        <f t="shared" si="0"/>
        <v>1066.2363345000001</v>
      </c>
      <c r="G8" s="9">
        <f t="shared" si="0"/>
        <v>1109.2857878800003</v>
      </c>
      <c r="H8" s="9">
        <f t="shared" si="0"/>
        <v>1195.3846946400004</v>
      </c>
      <c r="I8" s="9">
        <f t="shared" si="0"/>
        <v>1281.4836014000002</v>
      </c>
      <c r="J8" s="9">
        <f t="shared" si="0"/>
        <v>1367.5825081600001</v>
      </c>
      <c r="K8" s="9">
        <f t="shared" si="0"/>
        <v>1539.7803216800003</v>
      </c>
      <c r="L8" s="9">
        <f t="shared" si="0"/>
        <v>1711.9781352000005</v>
      </c>
      <c r="M8" s="9">
        <f t="shared" si="0"/>
        <v>1884.1759487200002</v>
      </c>
      <c r="N8" s="9">
        <f t="shared" si="0"/>
        <v>2142.4726690000002</v>
      </c>
      <c r="O8" s="9">
        <f t="shared" si="0"/>
        <v>2228.5715757600005</v>
      </c>
      <c r="P8" s="9">
        <f t="shared" si="0"/>
        <v>2314.6704825200004</v>
      </c>
      <c r="Q8" s="9">
        <f t="shared" si="0"/>
        <v>2400.7693892800007</v>
      </c>
      <c r="R8" s="9">
        <f t="shared" si="0"/>
        <v>2486.8682960400001</v>
      </c>
      <c r="S8" s="9">
        <f t="shared" si="0"/>
        <v>2572.9672028000005</v>
      </c>
      <c r="T8" s="9">
        <f t="shared" si="0"/>
        <v>2659.0661095600003</v>
      </c>
      <c r="U8" s="9">
        <f t="shared" si="0"/>
        <v>2745.1650163200002</v>
      </c>
      <c r="V8" s="9">
        <f t="shared" si="0"/>
        <v>2831.2639230800009</v>
      </c>
      <c r="W8" s="9">
        <f t="shared" si="0"/>
        <v>2917.3628298400008</v>
      </c>
      <c r="X8" s="9">
        <f t="shared" si="0"/>
        <v>3003.4617366000007</v>
      </c>
    </row>
    <row r="9" spans="1:30">
      <c r="A9" s="4" t="s">
        <v>71</v>
      </c>
      <c r="B9" s="16">
        <f>(((B6*0.00314)*0.55)*'Технический лист'!$I$7)*4.23</f>
        <v>1501.3667592000002</v>
      </c>
      <c r="C9" s="16">
        <f>(((C6*0.00314)*0.55)*'Технический лист'!$I$7)*4.23</f>
        <v>1651.5034351199999</v>
      </c>
      <c r="D9" s="16">
        <f>(((D6*0.00314)*0.55)*'Технический лист'!$I$7)*4.23</f>
        <v>1726.57177308</v>
      </c>
      <c r="E9" s="16">
        <f>(((E6*0.00314)*0.55)*'Технический лист'!$I$7)*4.23</f>
        <v>1801.6401110400004</v>
      </c>
      <c r="F9" s="16">
        <f>(((F6*0.00314)*0.55)*'Технический лист'!$I$7)*4.23</f>
        <v>1876.7084490000004</v>
      </c>
      <c r="G9" s="16">
        <f>(((G6*0.00314)*0.55)*'Технический лист'!$I$7)*4.23</f>
        <v>1951.7767869600002</v>
      </c>
      <c r="H9" s="16">
        <f>(((H6*0.00314)*0.55)*'Технический лист'!$I$7)*4.23</f>
        <v>2101.9134628800002</v>
      </c>
      <c r="I9" s="16">
        <f>(((I6*0.00314)*0.55)*'Технический лист'!$I$7)*4.23</f>
        <v>2252.0501388000002</v>
      </c>
      <c r="J9" s="16">
        <f>(((J6*0.00314)*0.55)*'Технический лист'!$I$7)*4.23</f>
        <v>2402.1868147199998</v>
      </c>
      <c r="K9" s="16">
        <f>(((K6*0.00314)*0.55)*'Технический лист'!$I$7)*4.23</f>
        <v>2702.4601665600003</v>
      </c>
      <c r="L9" s="16">
        <f>(((L6*0.00314)*0.55)*'Технический лист'!$I$7)*4.23</f>
        <v>3002.7335184000003</v>
      </c>
      <c r="M9" s="16">
        <f>(((M6*0.00314)*0.55)*'Технический лист'!$I$7)*4.23</f>
        <v>3303.0068702399999</v>
      </c>
      <c r="N9" s="16">
        <f>(((N6*0.00314)*0.55)*'Технический лист'!$I$7)*4.23</f>
        <v>3753.4168980000009</v>
      </c>
      <c r="O9" s="16">
        <f>(((O6*0.00314)*0.55)*'Технический лист'!$I$7)*4.23</f>
        <v>3903.5535739200004</v>
      </c>
      <c r="P9" s="16">
        <f>(((P6*0.00314)*0.55)*'Технический лист'!$I$7)*4.23</f>
        <v>4053.6902498400004</v>
      </c>
      <c r="Q9" s="16">
        <f>(((Q6*0.00314)*0.55)*'Технический лист'!$I$7)*4.23</f>
        <v>4203.8269257600004</v>
      </c>
      <c r="R9" s="16">
        <f>(((R6*0.00314)*0.55)*'Технический лист'!$I$7)*4.23</f>
        <v>4353.9636016799996</v>
      </c>
      <c r="S9" s="16">
        <f>(((S6*0.00314)*0.55)*'Технический лист'!$I$7)*4.23</f>
        <v>4504.1002776000005</v>
      </c>
      <c r="T9" s="16">
        <f>(((T6*0.00314)*0.55)*'Технический лист'!$I$7)*4.23</f>
        <v>4654.2369535200005</v>
      </c>
      <c r="U9" s="16">
        <f>(((U6*0.00314)*0.55)*'Технический лист'!$I$7)*4.23</f>
        <v>4804.3736294399996</v>
      </c>
      <c r="V9" s="16">
        <f>(((V6*0.00314)*0.55)*'Технический лист'!$I$7)*4.23</f>
        <v>4954.5103053600005</v>
      </c>
      <c r="W9" s="16">
        <f>(((W6*0.00314)*0.55)*'Технический лист'!$I$7)*4.23</f>
        <v>5104.6469812800015</v>
      </c>
      <c r="X9" s="16">
        <f>(((X6*0.00314)*0.55)*'Технический лист'!$I$7)*4.23</f>
        <v>5254.7836572000006</v>
      </c>
    </row>
    <row r="10" spans="1:30">
      <c r="A10" s="4" t="s">
        <v>72</v>
      </c>
      <c r="B10" s="9">
        <f>((B9*2)/3)-6</f>
        <v>994.91117280000014</v>
      </c>
      <c r="C10" s="9">
        <f t="shared" ref="C10:X10" si="1">((C9*2)/3)-6</f>
        <v>1095.00229008</v>
      </c>
      <c r="D10" s="9">
        <f t="shared" si="1"/>
        <v>1145.04784872</v>
      </c>
      <c r="E10" s="9">
        <f t="shared" si="1"/>
        <v>1195.0934073600004</v>
      </c>
      <c r="F10" s="9">
        <f t="shared" si="1"/>
        <v>1245.1389660000002</v>
      </c>
      <c r="G10" s="9">
        <f t="shared" si="1"/>
        <v>1295.1845246400001</v>
      </c>
      <c r="H10" s="9">
        <f t="shared" si="1"/>
        <v>1395.2756419200002</v>
      </c>
      <c r="I10" s="9">
        <f t="shared" si="1"/>
        <v>1495.3667592000002</v>
      </c>
      <c r="J10" s="9">
        <f t="shared" si="1"/>
        <v>1595.4578764799999</v>
      </c>
      <c r="K10" s="9">
        <f t="shared" si="1"/>
        <v>1795.6401110400002</v>
      </c>
      <c r="L10" s="9">
        <f t="shared" si="1"/>
        <v>1995.8223456000003</v>
      </c>
      <c r="M10" s="9">
        <f t="shared" si="1"/>
        <v>2196.0045801599999</v>
      </c>
      <c r="N10" s="9">
        <f t="shared" si="1"/>
        <v>2496.2779320000004</v>
      </c>
      <c r="O10" s="9">
        <f t="shared" si="1"/>
        <v>2596.3690492800001</v>
      </c>
      <c r="P10" s="9">
        <f t="shared" si="1"/>
        <v>2696.4601665600003</v>
      </c>
      <c r="Q10" s="9">
        <f t="shared" si="1"/>
        <v>2796.5512838400005</v>
      </c>
      <c r="R10" s="9">
        <f t="shared" si="1"/>
        <v>2896.6424011199997</v>
      </c>
      <c r="S10" s="9">
        <f t="shared" si="1"/>
        <v>2996.7335184000003</v>
      </c>
      <c r="T10" s="9">
        <f t="shared" si="1"/>
        <v>3096.8246356800005</v>
      </c>
      <c r="U10" s="9">
        <f t="shared" si="1"/>
        <v>3196.9157529599997</v>
      </c>
      <c r="V10" s="9">
        <f t="shared" si="1"/>
        <v>3297.0068702400004</v>
      </c>
      <c r="W10" s="9">
        <f t="shared" si="1"/>
        <v>3397.097987520001</v>
      </c>
      <c r="X10" s="9">
        <f t="shared" si="1"/>
        <v>3497.1891048000002</v>
      </c>
    </row>
    <row r="11" spans="1:30">
      <c r="A11" s="4" t="s">
        <v>75</v>
      </c>
      <c r="B11" s="9">
        <f>(((B6*0.00314)*((B6+500)/1000)*'Технический лист'!$K$7))*4.7</f>
        <v>1979.2248959999997</v>
      </c>
      <c r="C11" s="9">
        <f>(((C6*0.00314)*((C6+500)/1000)*'Технический лист'!$K$7))*4.7</f>
        <v>2213.43317536</v>
      </c>
      <c r="D11" s="9">
        <f>(((D6*0.00314)*((D6+500)/1000)*'Технический лист'!$K$7))*4.7</f>
        <v>2333.0113461599999</v>
      </c>
      <c r="E11" s="9">
        <f>(((E6*0.00314)*((E6+500)/1000)*'Технический лист'!$K$7))*4.7</f>
        <v>2454.23887104</v>
      </c>
      <c r="F11" s="9">
        <f>(((F6*0.00314)*((F6+500)/1000)*'Технический лист'!$K$7))*4.7</f>
        <v>2577.1157499999999</v>
      </c>
      <c r="G11" s="9">
        <f>(((G6*0.00314)*((G6+500)/1000)*'Технический лист'!$K$7))*4.7</f>
        <v>2701.64198304</v>
      </c>
      <c r="H11" s="9">
        <f>(((H6*0.00314)*((H6+500)/1000)*'Технический лист'!$K$7))*4.7</f>
        <v>2955.6425113599998</v>
      </c>
      <c r="I11" s="9">
        <f>(((I6*0.00314)*((I6+500)/1000)*'Технический лист'!$K$7))*4.7</f>
        <v>3216.2404559999995</v>
      </c>
      <c r="J11" s="9">
        <f>(((J6*0.00314)*((J6+500)/1000)*'Технический лист'!$K$7))*4.7</f>
        <v>3483.4358169599996</v>
      </c>
      <c r="K11" s="9">
        <f>(((K6*0.00314)*((K6+500)/1000)*'Технический лист'!$K$7))*4.7</f>
        <v>4037.6187878400006</v>
      </c>
      <c r="L11" s="9">
        <f>(((L6*0.00314)*((L6+500)/1000)*'Технический лист'!$K$7))*4.7</f>
        <v>4618.1914239999996</v>
      </c>
      <c r="M11" s="9">
        <f>(((M6*0.00314)*((M6+500)/1000)*'Технический лист'!$K$7))*4.7</f>
        <v>5225.15372544</v>
      </c>
      <c r="N11" s="9">
        <f>(((N6*0.00314)*((N6+500)/1000)*'Технический лист'!$K$7))*4.7</f>
        <v>6185.0778</v>
      </c>
      <c r="O11" s="9">
        <f>(((O6*0.00314)*((O6+500)/1000)*'Технический лист'!$K$7))*4.7</f>
        <v>6518.2473241600001</v>
      </c>
      <c r="P11" s="9">
        <f>(((P6*0.00314)*((P6+500)/1000)*'Технический лист'!$K$7))*4.7</f>
        <v>6858.01426464</v>
      </c>
      <c r="Q11" s="9">
        <f>(((Q6*0.00314)*((Q6+500)/1000)*'Технический лист'!$K$7))*4.7</f>
        <v>7204.3786214399997</v>
      </c>
      <c r="R11" s="9">
        <f>(((R6*0.00314)*((R6+500)/1000)*'Технический лист'!$K$7))*4.7</f>
        <v>7557.3403945599994</v>
      </c>
      <c r="S11" s="9">
        <f>(((S6*0.00314)*((S6+500)/1000)*'Технический лист'!$K$7))*4.7</f>
        <v>7916.8995839999998</v>
      </c>
      <c r="T11" s="9">
        <f>(((T6*0.00314)*((T6+500)/1000)*'Технический лист'!$K$7))*4.7</f>
        <v>8283.0561897600001</v>
      </c>
      <c r="U11" s="9">
        <f>(((U6*0.00314)*((U6+500)/1000)*'Технический лист'!$K$7))*4.7</f>
        <v>8655.8102118399984</v>
      </c>
      <c r="V11" s="9">
        <f>(((V6*0.00314)*((V6+500)/1000)*'Технический лист'!$K$7))*4.7</f>
        <v>9035.1616502399993</v>
      </c>
      <c r="W11" s="9">
        <f>(((W6*0.00314)*((W6+500)/1000)*'Технический лист'!$K$7))*4.7</f>
        <v>9421.1105049599992</v>
      </c>
      <c r="X11" s="9">
        <f>(((X6*0.00314)*((X6+500)/1000)*'Технический лист'!$K$7))*4.7</f>
        <v>9813.656775999998</v>
      </c>
    </row>
    <row r="12" spans="1:30">
      <c r="A12" s="4" t="s">
        <v>76</v>
      </c>
      <c r="B12" s="9">
        <f>((((B6*0.00314)*0.18)*'Технический лист'!$O$9)+((((B6+100)/1000)*((B6+100)/1000))*3)*'Технический лист'!$I$7)*4.65</f>
        <v>1792.0723536000003</v>
      </c>
      <c r="C12" s="9">
        <f>((((C6*0.00314)*0.18)*'Технический лист'!$O$9)+((((C6+100)/1000)*((C6+100)/1000))*3)*'Технический лист'!$I$7)*4.65</f>
        <v>1974.1465929599997</v>
      </c>
      <c r="D12" s="9">
        <f>((((D6*0.00314)*0.18)*'Технический лист'!$O$9)+((((D6+100)/1000)*((D6+100)/1000))*3)*'Технический лист'!$I$7)*4.65</f>
        <v>2067.3339656399999</v>
      </c>
      <c r="E12" s="9">
        <f>((((E6*0.00314)*0.18)*'Технический лист'!$O$9)+((((E6+100)/1000)*((E6+100)/1000))*3)*'Технический лист'!$I$7)*4.65</f>
        <v>2161.9548403199997</v>
      </c>
      <c r="F12" s="9">
        <f>((((F6*0.00314)*0.18)*'Технический лист'!$O$9)+((((F6+100)/1000)*((F6+100)/1000))*3)*'Технический лист'!$I$7)*4.65</f>
        <v>2258.0092169999998</v>
      </c>
      <c r="G12" s="9">
        <f>((((G6*0.00314)*0.18)*'Технический лист'!$O$9)+((((G6+100)/1000)*((G6+100)/1000))*3)*'Технический лист'!$I$7)*4.65</f>
        <v>2355.4970956800003</v>
      </c>
      <c r="H12" s="9">
        <f>((((H6*0.00314)*0.18)*'Технический лист'!$O$9)+((((H6+100)/1000)*((H6+100)/1000))*3)*'Технический лист'!$I$7)*4.65</f>
        <v>2554.7733590399998</v>
      </c>
      <c r="I12" s="9">
        <f>((((I6*0.00314)*0.18)*'Технический лист'!$O$9)+((((I6+100)/1000)*((I6+100)/1000))*3)*'Технический лист'!$I$7)*4.65</f>
        <v>2759.7836304000002</v>
      </c>
      <c r="J12" s="9">
        <f>((((J6*0.00314)*0.18)*'Технический лист'!$O$9)+((((J6+100)/1000)*((J6+100)/1000))*3)*'Технический лист'!$I$7)*4.65</f>
        <v>2970.5279097600001</v>
      </c>
      <c r="K12" s="9">
        <f>((((K6*0.00314)*0.18)*'Технический лист'!$O$9)+((((K6+100)/1000)*((K6+100)/1000))*3)*'Технический лист'!$I$7)*4.65</f>
        <v>3409.2184924800004</v>
      </c>
      <c r="L12" s="9">
        <f>((((L6*0.00314)*0.18)*'Технический лист'!$O$9)+((((L6+100)/1000)*((L6+100)/1000))*3)*'Технический лист'!$I$7)*4.65</f>
        <v>3870.8451072000003</v>
      </c>
      <c r="M12" s="9">
        <f>((((M6*0.00314)*0.18)*'Технический лист'!$O$9)+((((M6+100)/1000)*((M6+100)/1000))*3)*'Технический лист'!$I$7)*4.65</f>
        <v>4355.4077539200007</v>
      </c>
      <c r="N12" s="9">
        <f>((((N6*0.00314)*0.18)*'Технический лист'!$O$9)+((((N6+100)/1000)*((N6+100)/1000))*3)*'Технический лист'!$I$7)*4.65</f>
        <v>5125.2567839999992</v>
      </c>
      <c r="O12" s="9">
        <f>((((O6*0.00314)*0.18)*'Технический лист'!$O$9)+((((O6+100)/1000)*((O6+100)/1000))*3)*'Технический лист'!$I$7)*4.65</f>
        <v>5393.3411433600004</v>
      </c>
      <c r="P12" s="9">
        <f>((((P6*0.00314)*0.18)*'Технический лист'!$O$9)+((((P6+100)/1000)*((P6+100)/1000))*3)*'Технический лист'!$I$7)*4.65</f>
        <v>5667.1595107199992</v>
      </c>
      <c r="Q12" s="9">
        <f>((((Q6*0.00314)*0.18)*'Технический лист'!$O$9)+((((Q6+100)/1000)*((Q6+100)/1000))*3)*'Технический лист'!$I$7)*4.65</f>
        <v>5946.7118860799992</v>
      </c>
      <c r="R12" s="9">
        <f>((((R6*0.00314)*0.18)*'Технический лист'!$O$9)+((((R6+100)/1000)*((R6+100)/1000))*3)*'Технический лист'!$I$7)*4.65</f>
        <v>6231.9982694400005</v>
      </c>
      <c r="S12" s="9">
        <f>((((S6*0.00314)*0.18)*'Технический лист'!$O$9)+((((S6+100)/1000)*((S6+100)/1000))*3)*'Технический лист'!$I$7)*4.65</f>
        <v>6523.0186608000004</v>
      </c>
      <c r="T12" s="9">
        <f>((((T6*0.00314)*0.18)*'Технический лист'!$O$9)+((((T6+100)/1000)*((T6+100)/1000))*3)*'Технический лист'!$I$7)*4.65</f>
        <v>6819.7730601600006</v>
      </c>
      <c r="U12" s="9">
        <f>((((U6*0.00314)*0.18)*'Технический лист'!$O$9)+((((U6+100)/1000)*((U6+100)/1000))*3)*'Технический лист'!$I$7)*4.65</f>
        <v>7122.2614675199984</v>
      </c>
      <c r="V12" s="9">
        <f>((((V6*0.00314)*0.18)*'Технический лист'!$O$9)+((((V6+100)/1000)*((V6+100)/1000))*3)*'Технический лист'!$I$7)*4.65</f>
        <v>7430.4838828800002</v>
      </c>
      <c r="W12" s="9">
        <f>((((W6*0.00314)*0.18)*'Технический лист'!$O$9)+((((W6+100)/1000)*((W6+100)/1000))*3)*'Технический лист'!$I$7)*4.65</f>
        <v>7744.4403062399997</v>
      </c>
      <c r="X12" s="9">
        <f>((((X6*0.00314)*0.18)*'Технический лист'!$O$9)+((((X6+100)/1000)*((X6+100)/1000))*3)*'Технический лист'!$I$7)*4.65</f>
        <v>8064.1307375999995</v>
      </c>
    </row>
    <row r="13" spans="1:30">
      <c r="A13" s="4" t="s">
        <v>100</v>
      </c>
      <c r="B13" s="9">
        <v>1560</v>
      </c>
      <c r="C13" s="9">
        <v>1560</v>
      </c>
      <c r="D13" s="9">
        <v>1560</v>
      </c>
      <c r="E13" s="9">
        <v>1560</v>
      </c>
      <c r="F13" s="9">
        <v>1560</v>
      </c>
      <c r="G13" s="9">
        <v>1560</v>
      </c>
      <c r="H13" s="9">
        <v>1560</v>
      </c>
      <c r="I13" s="9">
        <v>1560</v>
      </c>
      <c r="J13" s="9">
        <v>1560</v>
      </c>
      <c r="K13" s="9">
        <v>1560</v>
      </c>
      <c r="L13" s="9">
        <v>1560</v>
      </c>
      <c r="M13" s="9">
        <v>1560</v>
      </c>
      <c r="N13" s="9">
        <v>1560</v>
      </c>
      <c r="O13" s="9">
        <v>1560</v>
      </c>
      <c r="P13" s="9">
        <v>1560</v>
      </c>
      <c r="Q13" s="9">
        <v>1560</v>
      </c>
      <c r="R13" s="9">
        <v>1560</v>
      </c>
      <c r="S13" s="9">
        <v>1560</v>
      </c>
      <c r="T13" s="9">
        <v>1560</v>
      </c>
      <c r="U13" s="9">
        <v>1560</v>
      </c>
      <c r="V13" s="9">
        <v>1560</v>
      </c>
      <c r="W13" s="9">
        <v>1560</v>
      </c>
      <c r="X13" s="9">
        <v>1560</v>
      </c>
    </row>
    <row r="15" spans="1:30">
      <c r="A15" s="41" t="s">
        <v>115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1" t="s">
        <v>115</v>
      </c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</row>
    <row r="16" spans="1:30">
      <c r="A16" s="3" t="s">
        <v>79</v>
      </c>
      <c r="B16" s="10">
        <v>100</v>
      </c>
      <c r="C16" s="10">
        <v>110</v>
      </c>
      <c r="D16" s="10">
        <v>115</v>
      </c>
      <c r="E16" s="10">
        <v>120</v>
      </c>
      <c r="F16" s="10">
        <v>125</v>
      </c>
      <c r="G16" s="10">
        <v>130</v>
      </c>
      <c r="H16" s="10">
        <v>140</v>
      </c>
      <c r="I16" s="10">
        <v>150</v>
      </c>
      <c r="J16" s="10">
        <v>160</v>
      </c>
      <c r="K16" s="10">
        <v>180</v>
      </c>
      <c r="L16" s="10">
        <v>200</v>
      </c>
      <c r="M16" s="10">
        <v>220</v>
      </c>
      <c r="N16" s="10">
        <v>250</v>
      </c>
      <c r="O16" s="10">
        <v>260</v>
      </c>
      <c r="P16" s="10">
        <v>270</v>
      </c>
      <c r="Q16" s="10">
        <v>280</v>
      </c>
      <c r="R16" s="10">
        <v>290</v>
      </c>
      <c r="S16" s="10">
        <v>300</v>
      </c>
      <c r="T16" s="10">
        <v>310</v>
      </c>
      <c r="U16" s="10">
        <v>320</v>
      </c>
      <c r="V16" s="10">
        <v>330</v>
      </c>
      <c r="W16" s="10">
        <v>340</v>
      </c>
      <c r="X16" s="10">
        <v>350</v>
      </c>
    </row>
    <row r="17" spans="1:24">
      <c r="A17" s="4" t="s">
        <v>69</v>
      </c>
      <c r="B17" s="16">
        <f>((B16*0.00314)*'Технический лист'!$G$8)*3.7</f>
        <v>2391.4974025974025</v>
      </c>
      <c r="C17" s="16">
        <f>((C16*0.00314)*'Технический лист'!$G$8)*3.7</f>
        <v>2630.6471428571426</v>
      </c>
      <c r="D17" s="16">
        <f>((D16*0.00314)*'Технический лист'!$G$8)*3.7</f>
        <v>2750.2220129870125</v>
      </c>
      <c r="E17" s="16">
        <f>((E16*0.00314)*'Технический лист'!$G$8)*3.7</f>
        <v>2869.7968831168832</v>
      </c>
      <c r="F17" s="16">
        <f>((F16*0.00314)*'Технический лист'!$G$8)*3.7</f>
        <v>2989.3717532467531</v>
      </c>
      <c r="G17" s="16">
        <f>((G16*0.00314)*'Технический лист'!$G$8)*3.7</f>
        <v>3108.9466233766234</v>
      </c>
      <c r="H17" s="16">
        <f>((H16*0.00314)*'Технический лист'!$G$8)*3.7</f>
        <v>3348.0963636363635</v>
      </c>
      <c r="I17" s="16">
        <f>((I16*0.00314)*'Технический лист'!$G$8)*3.7</f>
        <v>3587.2461038961037</v>
      </c>
      <c r="J17" s="16">
        <f>((J16*0.00314)*'Технический лист'!$G$8)*3.7</f>
        <v>3826.3958441558443</v>
      </c>
      <c r="K17" s="16">
        <f>((K16*0.00314)*'Технический лист'!$G$8)*3.7</f>
        <v>4304.6953246753246</v>
      </c>
      <c r="L17" s="16">
        <f>((L16*0.00314)*'Технический лист'!$G$8)*3.7</f>
        <v>4782.9948051948049</v>
      </c>
      <c r="M17" s="16">
        <f>((M16*0.00314)*'Технический лист'!$G$8)*3.7</f>
        <v>5261.2942857142853</v>
      </c>
      <c r="N17" s="16">
        <f>((N16*0.00314)*'Технический лист'!$G$8)*3.7</f>
        <v>5978.7435064935062</v>
      </c>
      <c r="O17" s="16">
        <f>((O16*0.00314)*'Технический лист'!$G$8)*3.7</f>
        <v>6217.8932467532468</v>
      </c>
      <c r="P17" s="16">
        <f>((P16*0.00314)*'Технический лист'!$G$8)*3.7</f>
        <v>6457.0429870129874</v>
      </c>
      <c r="Q17" s="16">
        <f>((Q16*0.00314)*'Технический лист'!$G$8)*3.7</f>
        <v>6696.1927272727271</v>
      </c>
      <c r="R17" s="16">
        <f>((R16*0.00314)*'Технический лист'!$G$8)*3.7</f>
        <v>6935.3424675324668</v>
      </c>
      <c r="S17" s="16">
        <f>((S16*0.00314)*'Технический лист'!$G$8)*3.7</f>
        <v>7174.4922077922074</v>
      </c>
      <c r="T17" s="16">
        <f>((T16*0.00314)*'Технический лист'!$G$8)*3.7</f>
        <v>7413.641948051948</v>
      </c>
      <c r="U17" s="16">
        <f>((U16*0.00314)*'Технический лист'!$G$8)*3.7</f>
        <v>7652.7916883116886</v>
      </c>
      <c r="V17" s="16">
        <f>((V16*0.00314)*'Технический лист'!$G$8)*3.7</f>
        <v>7891.9414285714283</v>
      </c>
      <c r="W17" s="16">
        <f>((W16*0.00314)*'Технический лист'!$G$8)*3.7</f>
        <v>8131.0911688311689</v>
      </c>
      <c r="X17" s="16">
        <f>((X16*0.00314)*'Технический лист'!$G$8)*3.7</f>
        <v>8370.2409090909096</v>
      </c>
    </row>
    <row r="18" spans="1:24">
      <c r="A18" s="4" t="s">
        <v>70</v>
      </c>
      <c r="B18" s="9">
        <f>((B17/2)*1.07)-10</f>
        <v>1269.4511103896104</v>
      </c>
      <c r="C18" s="9">
        <f t="shared" ref="C18:X18" si="2">((C17/2)*1.07)-10</f>
        <v>1397.3962214285714</v>
      </c>
      <c r="D18" s="9">
        <f t="shared" si="2"/>
        <v>1461.3687769480518</v>
      </c>
      <c r="E18" s="9">
        <f t="shared" si="2"/>
        <v>1525.3413324675325</v>
      </c>
      <c r="F18" s="9">
        <f t="shared" si="2"/>
        <v>1589.313887987013</v>
      </c>
      <c r="G18" s="9">
        <f t="shared" si="2"/>
        <v>1653.2864435064937</v>
      </c>
      <c r="H18" s="9">
        <f t="shared" si="2"/>
        <v>1781.2315545454546</v>
      </c>
      <c r="I18" s="9">
        <f t="shared" si="2"/>
        <v>1909.1766655844156</v>
      </c>
      <c r="J18" s="9">
        <f t="shared" si="2"/>
        <v>2037.1217766233767</v>
      </c>
      <c r="K18" s="9">
        <f t="shared" si="2"/>
        <v>2293.011998701299</v>
      </c>
      <c r="L18" s="9">
        <f t="shared" si="2"/>
        <v>2548.9022207792209</v>
      </c>
      <c r="M18" s="9">
        <f t="shared" si="2"/>
        <v>2804.7924428571428</v>
      </c>
      <c r="N18" s="9">
        <f t="shared" si="2"/>
        <v>3188.627775974026</v>
      </c>
      <c r="O18" s="9">
        <f t="shared" si="2"/>
        <v>3316.5728870129874</v>
      </c>
      <c r="P18" s="9">
        <f t="shared" si="2"/>
        <v>3444.5179980519483</v>
      </c>
      <c r="Q18" s="9">
        <f t="shared" si="2"/>
        <v>3572.4631090909093</v>
      </c>
      <c r="R18" s="9">
        <f t="shared" si="2"/>
        <v>3700.4082201298697</v>
      </c>
      <c r="S18" s="9">
        <f t="shared" si="2"/>
        <v>3828.3533311688311</v>
      </c>
      <c r="T18" s="9">
        <f t="shared" si="2"/>
        <v>3956.2984422077925</v>
      </c>
      <c r="U18" s="9">
        <f t="shared" si="2"/>
        <v>4084.2435532467534</v>
      </c>
      <c r="V18" s="9">
        <f t="shared" si="2"/>
        <v>4212.1886642857144</v>
      </c>
      <c r="W18" s="9">
        <f t="shared" si="2"/>
        <v>4340.1337753246753</v>
      </c>
      <c r="X18" s="9">
        <f t="shared" si="2"/>
        <v>4468.0788863636371</v>
      </c>
    </row>
    <row r="19" spans="1:24">
      <c r="A19" s="4" t="s">
        <v>71</v>
      </c>
      <c r="B19" s="16">
        <f>(((B16*0.00314)*0.55)*'Технический лист'!$I$8)*4.23</f>
        <v>2139.2880557142862</v>
      </c>
      <c r="C19" s="16">
        <f>(((C16*0.00314)*0.55)*'Технический лист'!$I$8)*4.23</f>
        <v>2353.2168612857145</v>
      </c>
      <c r="D19" s="16">
        <f>(((D16*0.00314)*0.55)*'Технический лист'!$I$8)*4.23</f>
        <v>2460.1812640714288</v>
      </c>
      <c r="E19" s="16">
        <f>(((E16*0.00314)*0.55)*'Технический лист'!$I$8)*4.23</f>
        <v>2567.1456668571436</v>
      </c>
      <c r="F19" s="16">
        <f>(((F16*0.00314)*0.55)*'Технический лист'!$I$8)*4.23</f>
        <v>2674.110069642858</v>
      </c>
      <c r="G19" s="16">
        <f>(((G16*0.00314)*0.55)*'Технический лист'!$I$8)*4.23</f>
        <v>2781.0744724285714</v>
      </c>
      <c r="H19" s="16">
        <f>(((H16*0.00314)*0.55)*'Технический лист'!$I$8)*4.23</f>
        <v>2995.0032780000006</v>
      </c>
      <c r="I19" s="16">
        <f>(((I16*0.00314)*0.55)*'Технический лист'!$I$8)*4.23</f>
        <v>3208.9320835714288</v>
      </c>
      <c r="J19" s="16">
        <f>(((J16*0.00314)*0.55)*'Технический лист'!$I$8)*4.23</f>
        <v>3422.8608891428571</v>
      </c>
      <c r="K19" s="16">
        <f>(((K16*0.00314)*0.55)*'Технический лист'!$I$8)*4.23</f>
        <v>3850.718500285715</v>
      </c>
      <c r="L19" s="16">
        <f>(((L16*0.00314)*0.55)*'Технический лист'!$I$8)*4.23</f>
        <v>4278.5761114285724</v>
      </c>
      <c r="M19" s="16">
        <f>(((M16*0.00314)*0.55)*'Технический лист'!$I$8)*4.23</f>
        <v>4706.4337225714289</v>
      </c>
      <c r="N19" s="16">
        <f>(((N16*0.00314)*0.55)*'Технический лист'!$I$8)*4.23</f>
        <v>5348.220139285716</v>
      </c>
      <c r="O19" s="16">
        <f>(((O16*0.00314)*0.55)*'Технический лист'!$I$8)*4.23</f>
        <v>5562.1489448571429</v>
      </c>
      <c r="P19" s="16">
        <f>(((P16*0.00314)*0.55)*'Технический лист'!$I$8)*4.23</f>
        <v>5776.0777504285716</v>
      </c>
      <c r="Q19" s="16">
        <f>(((Q16*0.00314)*0.55)*'Технический лист'!$I$8)*4.23</f>
        <v>5990.0065560000012</v>
      </c>
      <c r="R19" s="16">
        <f>(((R16*0.00314)*0.55)*'Технический лист'!$I$8)*4.23</f>
        <v>6203.935361571429</v>
      </c>
      <c r="S19" s="16">
        <f>(((S16*0.00314)*0.55)*'Технический лист'!$I$8)*4.23</f>
        <v>6417.8641671428577</v>
      </c>
      <c r="T19" s="16">
        <f>(((T16*0.00314)*0.55)*'Технический лист'!$I$8)*4.23</f>
        <v>6631.7929727142864</v>
      </c>
      <c r="U19" s="16">
        <f>(((U16*0.00314)*0.55)*'Технический лист'!$I$8)*4.23</f>
        <v>6845.7217782857142</v>
      </c>
      <c r="V19" s="16">
        <f>(((V16*0.00314)*0.55)*'Технический лист'!$I$8)*4.23</f>
        <v>7059.6505838571429</v>
      </c>
      <c r="W19" s="16">
        <f>(((W16*0.00314)*0.55)*'Технический лист'!$I$8)*4.23</f>
        <v>7273.5793894285734</v>
      </c>
      <c r="X19" s="16">
        <f>(((X16*0.00314)*0.55)*'Технический лист'!$I$8)*4.23</f>
        <v>7487.5081950000013</v>
      </c>
    </row>
    <row r="20" spans="1:24">
      <c r="A20" s="4" t="s">
        <v>72</v>
      </c>
      <c r="B20" s="9">
        <f>((B19*2)/3)-6</f>
        <v>1420.1920371428575</v>
      </c>
      <c r="C20" s="9">
        <f t="shared" ref="C20:X20" si="3">((C19*2)/3)-6</f>
        <v>1562.811240857143</v>
      </c>
      <c r="D20" s="9">
        <f t="shared" si="3"/>
        <v>1634.1208427142858</v>
      </c>
      <c r="E20" s="9">
        <f t="shared" si="3"/>
        <v>1705.430444571429</v>
      </c>
      <c r="F20" s="9">
        <f t="shared" si="3"/>
        <v>1776.740046428572</v>
      </c>
      <c r="G20" s="9">
        <f t="shared" si="3"/>
        <v>1848.0496482857143</v>
      </c>
      <c r="H20" s="9">
        <f t="shared" si="3"/>
        <v>1990.6688520000005</v>
      </c>
      <c r="I20" s="9">
        <f t="shared" si="3"/>
        <v>2133.2880557142857</v>
      </c>
      <c r="J20" s="9">
        <f t="shared" si="3"/>
        <v>2275.9072594285713</v>
      </c>
      <c r="K20" s="9">
        <f t="shared" si="3"/>
        <v>2561.1456668571432</v>
      </c>
      <c r="L20" s="9">
        <f t="shared" si="3"/>
        <v>2846.3840742857151</v>
      </c>
      <c r="M20" s="9">
        <f t="shared" si="3"/>
        <v>3131.6224817142861</v>
      </c>
      <c r="N20" s="9">
        <f t="shared" si="3"/>
        <v>3559.480092857144</v>
      </c>
      <c r="O20" s="9">
        <f t="shared" si="3"/>
        <v>3702.0992965714286</v>
      </c>
      <c r="P20" s="9">
        <f t="shared" si="3"/>
        <v>3844.7185002857145</v>
      </c>
      <c r="Q20" s="9">
        <f t="shared" si="3"/>
        <v>3987.3377040000009</v>
      </c>
      <c r="R20" s="9">
        <f t="shared" si="3"/>
        <v>4129.956907714286</v>
      </c>
      <c r="S20" s="9">
        <f t="shared" si="3"/>
        <v>4272.5761114285715</v>
      </c>
      <c r="T20" s="9">
        <f t="shared" si="3"/>
        <v>4415.1953151428579</v>
      </c>
      <c r="U20" s="9">
        <f t="shared" si="3"/>
        <v>4557.8145188571425</v>
      </c>
      <c r="V20" s="9">
        <f t="shared" si="3"/>
        <v>4700.4337225714289</v>
      </c>
      <c r="W20" s="9">
        <f t="shared" si="3"/>
        <v>4843.0529262857153</v>
      </c>
      <c r="X20" s="9">
        <f t="shared" si="3"/>
        <v>4985.6721300000008</v>
      </c>
    </row>
    <row r="21" spans="1:24">
      <c r="A21" s="4" t="s">
        <v>75</v>
      </c>
      <c r="B21" s="9">
        <f>(((B16*0.00314)*((B16+500)/1000)*'Технический лист'!$K$8))*4.7</f>
        <v>2619.640831168831</v>
      </c>
      <c r="C21" s="9">
        <f>(((C16*0.00314)*((C16+500)/1000)*'Технический лист'!$K$8))*4.7</f>
        <v>2929.6316628571426</v>
      </c>
      <c r="D21" s="9">
        <f>(((D16*0.00314)*((D16+500)/1000)*'Технический лист'!$K$8))*4.7</f>
        <v>3087.9016297402591</v>
      </c>
      <c r="E21" s="9">
        <f>(((E16*0.00314)*((E16+500)/1000)*'Технический лист'!$K$8))*4.7</f>
        <v>3248.3546306493508</v>
      </c>
      <c r="F21" s="9">
        <f>(((F16*0.00314)*((F16+500)/1000)*'Технический лист'!$K$8))*4.7</f>
        <v>3410.9906655844156</v>
      </c>
      <c r="G21" s="9">
        <f>(((G16*0.00314)*((G16+500)/1000)*'Технический лист'!$K$8))*4.7</f>
        <v>3575.8097345454548</v>
      </c>
      <c r="H21" s="9">
        <f>(((H16*0.00314)*((H16+500)/1000)*'Технический лист'!$K$8))*4.7</f>
        <v>3911.9969745454541</v>
      </c>
      <c r="I21" s="9">
        <f>(((I16*0.00314)*((I16+500)/1000)*'Технический лист'!$K$8))*4.7</f>
        <v>4256.9163506493496</v>
      </c>
      <c r="J21" s="9">
        <f>(((J16*0.00314)*((J16+500)/1000)*'Технический лист'!$K$8))*4.7</f>
        <v>4610.5678628571432</v>
      </c>
      <c r="K21" s="9">
        <f>(((K16*0.00314)*((K16+500)/1000)*'Технический лист'!$K$8))*4.7</f>
        <v>5344.0672955844166</v>
      </c>
      <c r="L21" s="9">
        <f>(((L16*0.00314)*((L16+500)/1000)*'Технический лист'!$K$8))*4.7</f>
        <v>6112.495272727273</v>
      </c>
      <c r="M21" s="9">
        <f>(((M16*0.00314)*((M16+500)/1000)*'Технический лист'!$K$8))*4.7</f>
        <v>6915.8517942857143</v>
      </c>
      <c r="N21" s="9">
        <f>(((N16*0.00314)*((N16+500)/1000)*'Технический лист'!$K$8))*4.7</f>
        <v>8186.3775974025975</v>
      </c>
      <c r="O21" s="9">
        <f>(((O16*0.00314)*((O16+500)/1000)*'Технический лист'!$K$8))*4.7</f>
        <v>8627.3504706493513</v>
      </c>
      <c r="P21" s="9">
        <f>(((P16*0.00314)*((P16+500)/1000)*'Технический лист'!$K$8))*4.7</f>
        <v>9077.0554799999991</v>
      </c>
      <c r="Q21" s="9">
        <f>(((Q16*0.00314)*((Q16+500)/1000)*'Технический лист'!$K$8))*4.7</f>
        <v>9535.4926254545462</v>
      </c>
      <c r="R21" s="9">
        <f>(((R16*0.00314)*((R16+500)/1000)*'Технический лист'!$K$8))*4.7</f>
        <v>10002.661907012985</v>
      </c>
      <c r="S21" s="9">
        <f>(((S16*0.00314)*((S16+500)/1000)*'Технический лист'!$K$8))*4.7</f>
        <v>10478.563324675324</v>
      </c>
      <c r="T21" s="9">
        <f>(((T16*0.00314)*((T16+500)/1000)*'Технический лист'!$K$8))*4.7</f>
        <v>10963.19687844156</v>
      </c>
      <c r="U21" s="9">
        <f>(((U16*0.00314)*((U16+500)/1000)*'Технический лист'!$K$8))*4.7</f>
        <v>11456.562568311687</v>
      </c>
      <c r="V21" s="9">
        <f>(((V16*0.00314)*((V16+500)/1000)*'Технический лист'!$K$8))*4.7</f>
        <v>11958.660394285715</v>
      </c>
      <c r="W21" s="9">
        <f>(((W16*0.00314)*((W16+500)/1000)*'Технический лист'!$K$8))*4.7</f>
        <v>12469.490356363638</v>
      </c>
      <c r="X21" s="9">
        <f>(((X16*0.00314)*((X16+500)/1000)*'Технический лист'!$K$8))*4.7</f>
        <v>12989.052454545454</v>
      </c>
    </row>
    <row r="22" spans="1:24">
      <c r="A22" s="4" t="s">
        <v>76</v>
      </c>
      <c r="B22" s="9">
        <f>((((B16*0.00314)*0.16)*'Технический лист'!$O$8)+((((B16+100)/1000)*((B16+100)/1000))*3)*'Технический лист'!$I$8)*4.65</f>
        <v>2325.2096727272733</v>
      </c>
      <c r="C22" s="9">
        <f>((((C16*0.00314)*0.16)*'Технический лист'!$O$8)+((((C16+100)/1000)*((C16+100)/1000))*3)*'Технический лист'!$I$8)*4.65</f>
        <v>2561.8158159740256</v>
      </c>
      <c r="D22" s="9">
        <f>((((D16*0.00314)*0.16)*'Технический лист'!$O$8)+((((D16+100)/1000)*((D16+100)/1000))*3)*'Технический лист'!$I$8)*4.65</f>
        <v>2683.1827695779216</v>
      </c>
      <c r="E22" s="9">
        <f>((((E16*0.00314)*0.16)*'Технический лист'!$O$8)+((((E16+100)/1000)*((E16+100)/1000))*3)*'Технический лист'!$I$8)*4.65</f>
        <v>2806.5923111688317</v>
      </c>
      <c r="F22" s="9">
        <f>((((F16*0.00314)*0.16)*'Технический лист'!$O$8)+((((F16+100)/1000)*((F16+100)/1000))*3)*'Технический лист'!$I$8)*4.65</f>
        <v>2932.0444407467535</v>
      </c>
      <c r="G22" s="9">
        <f>((((G16*0.00314)*0.16)*'Технический лист'!$O$8)+((((G16+100)/1000)*((G16+100)/1000))*3)*'Технический лист'!$I$8)*4.65</f>
        <v>3059.5391583116884</v>
      </c>
      <c r="H22" s="9">
        <f>((((H16*0.00314)*0.16)*'Технический лист'!$O$8)+((((H16+100)/1000)*((H16+100)/1000))*3)*'Технический лист'!$I$8)*4.65</f>
        <v>3320.6563574025972</v>
      </c>
      <c r="I22" s="9">
        <f>((((I16*0.00314)*0.16)*'Технический лист'!$O$8)+((((I16+100)/1000)*((I16+100)/1000))*3)*'Технический лист'!$I$8)*4.65</f>
        <v>3589.9439084415585</v>
      </c>
      <c r="J22" s="9">
        <f>((((J16*0.00314)*0.16)*'Технический лист'!$O$8)+((((J16+100)/1000)*((J16+100)/1000))*3)*'Технический лист'!$I$8)*4.65</f>
        <v>3867.4018114285718</v>
      </c>
      <c r="K22" s="9">
        <f>((((K16*0.00314)*0.16)*'Технический лист'!$O$8)+((((K16+100)/1000)*((K16+100)/1000))*3)*'Технический лист'!$I$8)*4.65</f>
        <v>4446.8286732467532</v>
      </c>
      <c r="L22" s="9">
        <f>((((L16*0.00314)*0.16)*'Технический лист'!$O$8)+((((L16+100)/1000)*((L16+100)/1000))*3)*'Технический лист'!$I$8)*4.65</f>
        <v>5058.9369428571445</v>
      </c>
      <c r="M22" s="9">
        <f>((((M16*0.00314)*0.16)*'Технический лист'!$O$8)+((((M16+100)/1000)*((M16+100)/1000))*3)*'Технический лист'!$I$8)*4.65</f>
        <v>5703.7266202597411</v>
      </c>
      <c r="N22" s="9">
        <f>((((N16*0.00314)*0.16)*'Технический лист'!$O$8)+((((N16+100)/1000)*((N16+100)/1000))*3)*'Технический лист'!$I$8)*4.65</f>
        <v>6732.1887759740257</v>
      </c>
      <c r="O22" s="9">
        <f>((((O16*0.00314)*0.16)*'Технический лист'!$O$8)+((((O16+100)/1000)*((O16+100)/1000))*3)*'Технический лист'!$I$8)*4.65</f>
        <v>7091.3501984415589</v>
      </c>
      <c r="P22" s="9">
        <f>((((P16*0.00314)*0.16)*'Технический лист'!$O$8)+((((P16+100)/1000)*((P16+100)/1000))*3)*'Технический лист'!$I$8)*4.65</f>
        <v>7458.6819728571418</v>
      </c>
      <c r="Q22" s="9">
        <f>((((Q16*0.00314)*0.16)*'Технический лист'!$O$8)+((((Q16+100)/1000)*((Q16+100)/1000))*3)*'Технический лист'!$I$8)*4.65</f>
        <v>7834.184099220779</v>
      </c>
      <c r="R22" s="9">
        <f>((((R16*0.00314)*0.16)*'Технический лист'!$O$8)+((((R16+100)/1000)*((R16+100)/1000))*3)*'Технический лист'!$I$8)*4.65</f>
        <v>8217.8565775324678</v>
      </c>
      <c r="S22" s="9">
        <f>((((S16*0.00314)*0.16)*'Технический лист'!$O$8)+((((S16+100)/1000)*((S16+100)/1000))*3)*'Технический лист'!$I$8)*4.65</f>
        <v>8609.69940779221</v>
      </c>
      <c r="T22" s="9">
        <f>((((T16*0.00314)*0.16)*'Технический лист'!$O$8)+((((T16+100)/1000)*((T16+100)/1000))*3)*'Технический лист'!$I$8)*4.65</f>
        <v>9009.712590000001</v>
      </c>
      <c r="U22" s="9">
        <f>((((U16*0.00314)*0.16)*'Технический лист'!$O$8)+((((U16+100)/1000)*((U16+100)/1000))*3)*'Технический лист'!$I$8)*4.65</f>
        <v>9417.8961241558427</v>
      </c>
      <c r="V22" s="9">
        <f>((((V16*0.00314)*0.16)*'Технический лист'!$O$8)+((((V16+100)/1000)*((V16+100)/1000))*3)*'Технический лист'!$I$8)*4.65</f>
        <v>9834.2500102597405</v>
      </c>
      <c r="W22" s="9">
        <f>((((W16*0.00314)*0.16)*'Технический лист'!$O$8)+((((W16+100)/1000)*((W16+100)/1000))*3)*'Технический лист'!$I$8)*4.65</f>
        <v>10258.774248311687</v>
      </c>
      <c r="X22" s="9">
        <f>((((X16*0.00314)*0.16)*'Технический лист'!$O$8)+((((X16+100)/1000)*((X16+100)/1000))*3)*'Технический лист'!$I$8)*4.65</f>
        <v>10691.46883831169</v>
      </c>
    </row>
    <row r="23" spans="1:24">
      <c r="A23" s="4" t="s">
        <v>100</v>
      </c>
      <c r="B23" s="9">
        <v>2184</v>
      </c>
      <c r="C23" s="9">
        <v>2184</v>
      </c>
      <c r="D23" s="9">
        <v>2184</v>
      </c>
      <c r="E23" s="9">
        <v>2184</v>
      </c>
      <c r="F23" s="9">
        <v>2184</v>
      </c>
      <c r="G23" s="9">
        <v>2184</v>
      </c>
      <c r="H23" s="9">
        <v>2184</v>
      </c>
      <c r="I23" s="9">
        <v>2184</v>
      </c>
      <c r="J23" s="9">
        <v>2184</v>
      </c>
      <c r="K23" s="9">
        <v>2184</v>
      </c>
      <c r="L23" s="9">
        <v>2184</v>
      </c>
      <c r="M23" s="9">
        <v>2184</v>
      </c>
      <c r="N23" s="9">
        <v>2184</v>
      </c>
      <c r="O23" s="9">
        <v>2184</v>
      </c>
      <c r="P23" s="9">
        <v>2184</v>
      </c>
      <c r="Q23" s="9">
        <v>2184</v>
      </c>
      <c r="R23" s="9">
        <v>2184</v>
      </c>
      <c r="S23" s="9">
        <v>2184</v>
      </c>
      <c r="T23" s="9">
        <v>2184</v>
      </c>
      <c r="U23" s="9">
        <v>2184</v>
      </c>
      <c r="V23" s="9">
        <v>2184</v>
      </c>
      <c r="W23" s="9">
        <v>2184</v>
      </c>
      <c r="X23" s="9">
        <v>2184</v>
      </c>
    </row>
  </sheetData>
  <mergeCells count="8">
    <mergeCell ref="A15:N15"/>
    <mergeCell ref="O15:AB15"/>
    <mergeCell ref="A1:C1"/>
    <mergeCell ref="D1:O1"/>
    <mergeCell ref="D2:O2"/>
    <mergeCell ref="D3:O3"/>
    <mergeCell ref="A5:O5"/>
    <mergeCell ref="P5:AD5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D23"/>
  <sheetViews>
    <sheetView zoomScale="80" zoomScaleNormal="80" workbookViewId="0">
      <selection activeCell="B22" sqref="B22:X22"/>
    </sheetView>
  </sheetViews>
  <sheetFormatPr defaultRowHeight="14.4"/>
  <cols>
    <col min="1" max="1" width="20.6640625" customWidth="1"/>
    <col min="2" max="24" width="6.33203125" customWidth="1"/>
  </cols>
  <sheetData>
    <row r="1" spans="1:30" ht="37.200000000000003">
      <c r="A1" s="32"/>
      <c r="B1" s="32"/>
      <c r="C1" s="32"/>
      <c r="D1" s="40" t="s">
        <v>94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1"/>
      <c r="Q1" s="1"/>
    </row>
    <row r="2" spans="1:30" ht="18">
      <c r="D2" s="34" t="s">
        <v>95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1"/>
    </row>
    <row r="3" spans="1:30" ht="18">
      <c r="D3" s="34" t="s">
        <v>112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30" ht="38.25" customHeight="1"/>
    <row r="5" spans="1:30">
      <c r="A5" s="41" t="s">
        <v>120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 t="s">
        <v>84</v>
      </c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</row>
    <row r="6" spans="1:30">
      <c r="A6" s="3" t="s">
        <v>78</v>
      </c>
      <c r="B6" s="10">
        <v>100</v>
      </c>
      <c r="C6" s="10">
        <v>110</v>
      </c>
      <c r="D6" s="10">
        <v>115</v>
      </c>
      <c r="E6" s="10">
        <v>120</v>
      </c>
      <c r="F6" s="10">
        <v>125</v>
      </c>
      <c r="G6" s="10">
        <v>130</v>
      </c>
      <c r="H6" s="10">
        <v>140</v>
      </c>
      <c r="I6" s="10">
        <v>150</v>
      </c>
      <c r="J6" s="10">
        <v>160</v>
      </c>
      <c r="K6" s="10">
        <v>180</v>
      </c>
      <c r="L6" s="10">
        <v>200</v>
      </c>
      <c r="M6" s="10">
        <v>220</v>
      </c>
      <c r="N6" s="10">
        <v>250</v>
      </c>
      <c r="O6" s="10">
        <v>260</v>
      </c>
      <c r="P6" s="10">
        <v>270</v>
      </c>
      <c r="Q6" s="10">
        <v>280</v>
      </c>
      <c r="R6" s="10">
        <v>290</v>
      </c>
      <c r="S6" s="10">
        <v>300</v>
      </c>
      <c r="T6" s="10">
        <v>310</v>
      </c>
      <c r="U6" s="10">
        <v>320</v>
      </c>
      <c r="V6" s="10">
        <v>330</v>
      </c>
      <c r="W6" s="10">
        <v>340</v>
      </c>
      <c r="X6" s="10">
        <v>350</v>
      </c>
    </row>
    <row r="7" spans="1:30">
      <c r="A7" s="4" t="s">
        <v>69</v>
      </c>
      <c r="B7" s="16">
        <f>(((B6*0.00314)*'Технический лист'!$G$9))*3.7</f>
        <v>1806.8313600000001</v>
      </c>
      <c r="C7" s="16">
        <f>(((C6*0.00314)*'Технический лист'!$G$9))*3.7</f>
        <v>1987.514496</v>
      </c>
      <c r="D7" s="16">
        <f>(((D6*0.00314)*'Технический лист'!$G$9))*3.7</f>
        <v>2077.8560640000001</v>
      </c>
      <c r="E7" s="16">
        <f>(((E6*0.00314)*'Технический лист'!$G$9))*3.7</f>
        <v>2168.1976320000003</v>
      </c>
      <c r="F7" s="16">
        <f>(((F6*0.00314)*'Технический лист'!$G$9))*3.7</f>
        <v>2258.5392000000002</v>
      </c>
      <c r="G7" s="16">
        <f>(((G6*0.00314)*'Технический лист'!$G$9))*3.7</f>
        <v>2348.8807680000004</v>
      </c>
      <c r="H7" s="16">
        <f>(((H6*0.00314)*'Технический лист'!$G$9))*3.7</f>
        <v>2529.5639040000001</v>
      </c>
      <c r="I7" s="16">
        <f>(((I6*0.00314)*'Технический лист'!$G$9))*3.7</f>
        <v>2710.2470400000002</v>
      </c>
      <c r="J7" s="16">
        <f>(((J6*0.00314)*'Технический лист'!$G$9))*3.7</f>
        <v>2890.9301759999998</v>
      </c>
      <c r="K7" s="16">
        <f>(((K6*0.00314)*'Технический лист'!$G$9))*3.7</f>
        <v>3252.2964480000005</v>
      </c>
      <c r="L7" s="16">
        <f>(((L6*0.00314)*'Технический лист'!$G$9))*3.7</f>
        <v>3613.6627200000003</v>
      </c>
      <c r="M7" s="16">
        <f>(((M6*0.00314)*'Технический лист'!$G$9))*3.7</f>
        <v>3975.028992</v>
      </c>
      <c r="N7" s="16">
        <f>(((N6*0.00314)*'Технический лист'!$G$9))*3.7</f>
        <v>4517.0784000000003</v>
      </c>
      <c r="O7" s="16">
        <f>(((O6*0.00314)*'Технический лист'!$G$9))*3.7</f>
        <v>4697.7615360000009</v>
      </c>
      <c r="P7" s="16">
        <f>(((P6*0.00314)*'Технический лист'!$G$9))*3.7</f>
        <v>4878.4446720000005</v>
      </c>
      <c r="Q7" s="16">
        <f>(((Q6*0.00314)*'Технический лист'!$G$9))*3.7</f>
        <v>5059.1278080000002</v>
      </c>
      <c r="R7" s="16">
        <f>(((R6*0.00314)*'Технический лист'!$G$9))*3.7</f>
        <v>5239.8109439999998</v>
      </c>
      <c r="S7" s="16">
        <f>(((S6*0.00314)*'Технический лист'!$G$9))*3.7</f>
        <v>5420.4940800000004</v>
      </c>
      <c r="T7" s="16">
        <f>(((T6*0.00314)*'Технический лист'!$G$9))*3.7</f>
        <v>5601.177216</v>
      </c>
      <c r="U7" s="16">
        <f>(((U6*0.00314)*'Технический лист'!$G$9))*3.7</f>
        <v>5781.8603519999997</v>
      </c>
      <c r="V7" s="16">
        <f>(((V6*0.00314)*'Технический лист'!$G$9))*3.7</f>
        <v>5962.5434880000012</v>
      </c>
      <c r="W7" s="16">
        <f>(((W6*0.00314)*'Технический лист'!$G$9))*3.7</f>
        <v>6143.2266240000008</v>
      </c>
      <c r="X7" s="16">
        <f>(((X6*0.00314)*'Технический лист'!$G$9))*3.7</f>
        <v>6323.9097600000005</v>
      </c>
    </row>
    <row r="8" spans="1:30">
      <c r="A8" s="4" t="s">
        <v>70</v>
      </c>
      <c r="B8" s="9">
        <f>((B7/2)*1.07)-10</f>
        <v>956.6547776000001</v>
      </c>
      <c r="C8" s="9">
        <f t="shared" ref="C8:X8" si="0">((C7/2)*1.07)-10</f>
        <v>1053.3202553600001</v>
      </c>
      <c r="D8" s="9">
        <f t="shared" si="0"/>
        <v>1101.65299424</v>
      </c>
      <c r="E8" s="9">
        <f t="shared" si="0"/>
        <v>1149.9857331200003</v>
      </c>
      <c r="F8" s="9">
        <f t="shared" si="0"/>
        <v>1198.3184720000002</v>
      </c>
      <c r="G8" s="9">
        <f t="shared" si="0"/>
        <v>1246.6512108800002</v>
      </c>
      <c r="H8" s="9">
        <f t="shared" si="0"/>
        <v>1343.3166886400002</v>
      </c>
      <c r="I8" s="9">
        <f t="shared" si="0"/>
        <v>1439.9821664000001</v>
      </c>
      <c r="J8" s="9">
        <f t="shared" si="0"/>
        <v>1536.64764416</v>
      </c>
      <c r="K8" s="9">
        <f t="shared" si="0"/>
        <v>1729.9785996800003</v>
      </c>
      <c r="L8" s="9">
        <f t="shared" si="0"/>
        <v>1923.3095552000002</v>
      </c>
      <c r="M8" s="9">
        <f t="shared" si="0"/>
        <v>2116.6405107200003</v>
      </c>
      <c r="N8" s="9">
        <f t="shared" si="0"/>
        <v>2406.6369440000003</v>
      </c>
      <c r="O8" s="9">
        <f t="shared" si="0"/>
        <v>2503.3024217600005</v>
      </c>
      <c r="P8" s="9">
        <f t="shared" si="0"/>
        <v>2599.9678995200006</v>
      </c>
      <c r="Q8" s="9">
        <f t="shared" si="0"/>
        <v>2696.6333772800003</v>
      </c>
      <c r="R8" s="9">
        <f t="shared" si="0"/>
        <v>2793.29885504</v>
      </c>
      <c r="S8" s="9">
        <f t="shared" si="0"/>
        <v>2889.9643328000002</v>
      </c>
      <c r="T8" s="9">
        <f t="shared" si="0"/>
        <v>2986.6298105600004</v>
      </c>
      <c r="U8" s="9">
        <f t="shared" si="0"/>
        <v>3083.2952883200001</v>
      </c>
      <c r="V8" s="9">
        <f t="shared" si="0"/>
        <v>3179.9607660800007</v>
      </c>
      <c r="W8" s="9">
        <f t="shared" si="0"/>
        <v>3276.6262438400008</v>
      </c>
      <c r="X8" s="9">
        <f t="shared" si="0"/>
        <v>3373.2917216000005</v>
      </c>
    </row>
    <row r="9" spans="1:30">
      <c r="A9" s="4" t="s">
        <v>71</v>
      </c>
      <c r="B9" s="16">
        <f>(((B6*0.00314)*0.55)*'Технический лист'!$I$9)*4.2</f>
        <v>1686.5605680000001</v>
      </c>
      <c r="C9" s="16">
        <f>(((C6*0.00314)*0.55)*'Технический лист'!$I$9)*4.2</f>
        <v>1855.2166247999999</v>
      </c>
      <c r="D9" s="16">
        <f>(((D6*0.00314)*0.55)*'Технический лист'!$I$9)*4.2</f>
        <v>1939.5446531999999</v>
      </c>
      <c r="E9" s="16">
        <f>(((E6*0.00314)*0.55)*'Технический лист'!$I$9)*4.2</f>
        <v>2023.8726816000003</v>
      </c>
      <c r="F9" s="16">
        <f>(((F6*0.00314)*0.55)*'Технический лист'!$I$9)*4.2</f>
        <v>2108.2007100000001</v>
      </c>
      <c r="G9" s="16">
        <f>(((G6*0.00314)*0.55)*'Технический лист'!$I$9)*4.2</f>
        <v>2192.5287384000003</v>
      </c>
      <c r="H9" s="16">
        <f>(((H6*0.00314)*0.55)*'Технический лист'!$I$9)*4.2</f>
        <v>2361.1847952000003</v>
      </c>
      <c r="I9" s="16">
        <f>(((I6*0.00314)*0.55)*'Технический лист'!$I$9)*4.2</f>
        <v>2529.8408519999998</v>
      </c>
      <c r="J9" s="16">
        <f>(((J6*0.00314)*0.55)*'Технический лист'!$I$9)*4.2</f>
        <v>2698.4969087999998</v>
      </c>
      <c r="K9" s="16">
        <f>(((K6*0.00314)*0.55)*'Технический лист'!$I$9)*4.2</f>
        <v>3035.8090224000002</v>
      </c>
      <c r="L9" s="16">
        <f>(((L6*0.00314)*0.55)*'Технический лист'!$I$9)*4.2</f>
        <v>3373.1211360000002</v>
      </c>
      <c r="M9" s="16">
        <f>(((M6*0.00314)*0.55)*'Технический лист'!$I$9)*4.2</f>
        <v>3710.4332495999997</v>
      </c>
      <c r="N9" s="16">
        <f>(((N6*0.00314)*0.55)*'Технический лист'!$I$9)*4.2</f>
        <v>4216.4014200000001</v>
      </c>
      <c r="O9" s="16">
        <f>(((O6*0.00314)*0.55)*'Технический лист'!$I$9)*4.2</f>
        <v>4385.0574768000006</v>
      </c>
      <c r="P9" s="16">
        <f>(((P6*0.00314)*0.55)*'Технический лист'!$I$9)*4.2</f>
        <v>4553.7135336000001</v>
      </c>
      <c r="Q9" s="16">
        <f>(((Q6*0.00314)*0.55)*'Технический лист'!$I$9)*4.2</f>
        <v>4722.3695904000006</v>
      </c>
      <c r="R9" s="16">
        <f>(((R6*0.00314)*0.55)*'Технический лист'!$I$9)*4.2</f>
        <v>4891.0256472000001</v>
      </c>
      <c r="S9" s="16">
        <f>(((S6*0.00314)*0.55)*'Технический лист'!$I$9)*4.2</f>
        <v>5059.6817039999996</v>
      </c>
      <c r="T9" s="16">
        <f>(((T6*0.00314)*0.55)*'Технический лист'!$I$9)*4.2</f>
        <v>5228.3377608000001</v>
      </c>
      <c r="U9" s="16">
        <f>(((U6*0.00314)*0.55)*'Технический лист'!$I$9)*4.2</f>
        <v>5396.9938175999996</v>
      </c>
      <c r="V9" s="16">
        <f>(((V6*0.00314)*0.55)*'Технический лист'!$I$9)*4.2</f>
        <v>5565.6498744</v>
      </c>
      <c r="W9" s="16">
        <f>(((W6*0.00314)*0.55)*'Технический лист'!$I$9)*4.2</f>
        <v>5734.3059312000014</v>
      </c>
      <c r="X9" s="16">
        <f>(((X6*0.00314)*0.55)*'Технический лист'!$I$9)*4.2</f>
        <v>5902.961988</v>
      </c>
    </row>
    <row r="10" spans="1:30">
      <c r="A10" s="4" t="s">
        <v>72</v>
      </c>
      <c r="B10" s="9">
        <f>((B9*2)/3)-6</f>
        <v>1118.3737120000001</v>
      </c>
      <c r="C10" s="9">
        <f t="shared" ref="C10:X10" si="1">((C9*2)/3)-6</f>
        <v>1230.8110832</v>
      </c>
      <c r="D10" s="9">
        <f t="shared" si="1"/>
        <v>1287.0297687999998</v>
      </c>
      <c r="E10" s="9">
        <f t="shared" si="1"/>
        <v>1343.2484544000001</v>
      </c>
      <c r="F10" s="9">
        <f t="shared" si="1"/>
        <v>1399.46714</v>
      </c>
      <c r="G10" s="9">
        <f t="shared" si="1"/>
        <v>1455.6858256000003</v>
      </c>
      <c r="H10" s="9">
        <f t="shared" si="1"/>
        <v>1568.1231968000002</v>
      </c>
      <c r="I10" s="9">
        <f t="shared" si="1"/>
        <v>1680.5605679999999</v>
      </c>
      <c r="J10" s="9">
        <f t="shared" si="1"/>
        <v>1792.9979391999998</v>
      </c>
      <c r="K10" s="9">
        <f t="shared" si="1"/>
        <v>2017.8726816000001</v>
      </c>
      <c r="L10" s="9">
        <f t="shared" si="1"/>
        <v>2242.7474240000001</v>
      </c>
      <c r="M10" s="9">
        <f t="shared" si="1"/>
        <v>2467.6221664</v>
      </c>
      <c r="N10" s="9">
        <f t="shared" si="1"/>
        <v>2804.9342799999999</v>
      </c>
      <c r="O10" s="9">
        <f t="shared" si="1"/>
        <v>2917.3716512000005</v>
      </c>
      <c r="P10" s="9">
        <f t="shared" si="1"/>
        <v>3029.8090224000002</v>
      </c>
      <c r="Q10" s="9">
        <f t="shared" si="1"/>
        <v>3142.2463936000004</v>
      </c>
      <c r="R10" s="9">
        <f t="shared" si="1"/>
        <v>3254.6837648000001</v>
      </c>
      <c r="S10" s="9">
        <f t="shared" si="1"/>
        <v>3367.1211359999998</v>
      </c>
      <c r="T10" s="9">
        <f t="shared" si="1"/>
        <v>3479.5585071999999</v>
      </c>
      <c r="U10" s="9">
        <f t="shared" si="1"/>
        <v>3591.9958783999996</v>
      </c>
      <c r="V10" s="9">
        <f t="shared" si="1"/>
        <v>3704.4332496000002</v>
      </c>
      <c r="W10" s="9">
        <f t="shared" si="1"/>
        <v>3816.8706208000008</v>
      </c>
      <c r="X10" s="9">
        <f t="shared" si="1"/>
        <v>3929.307992</v>
      </c>
    </row>
    <row r="11" spans="1:30">
      <c r="A11" s="4" t="s">
        <v>75</v>
      </c>
      <c r="B11" s="9">
        <f>(((B6*0.00314)*((B6+500)/1000)*'Технический лист'!$K$9))*4.75</f>
        <v>2152.4134799999997</v>
      </c>
      <c r="C11" s="9">
        <f>(((C6*0.00314)*((C6+500)/1000)*'Технический лист'!$K$9))*4.75</f>
        <v>2407.1157417999998</v>
      </c>
      <c r="D11" s="9">
        <f>(((D6*0.00314)*((D6+500)/1000)*'Технический лист'!$K$9))*4.75</f>
        <v>2537.1573895499996</v>
      </c>
      <c r="E11" s="9">
        <f>(((E6*0.00314)*((E6+500)/1000)*'Технический лист'!$K$9))*4.75</f>
        <v>2668.9927152</v>
      </c>
      <c r="F11" s="9">
        <f>(((F6*0.00314)*((F6+500)/1000)*'Технический лист'!$K$9))*4.75</f>
        <v>2802.6217187500001</v>
      </c>
      <c r="G11" s="9">
        <f>(((G6*0.00314)*((G6+500)/1000)*'Технический лист'!$K$9))*4.75</f>
        <v>2938.0444001999995</v>
      </c>
      <c r="H11" s="9">
        <f>(((H6*0.00314)*((H6+500)/1000)*'Технический лист'!$K$9))*4.75</f>
        <v>3214.2707967999995</v>
      </c>
      <c r="I11" s="9">
        <f>(((I6*0.00314)*((I6+500)/1000)*'Технический лист'!$K$9))*4.75</f>
        <v>3497.6719049999997</v>
      </c>
      <c r="J11" s="9">
        <f>(((J6*0.00314)*((J6+500)/1000)*'Технический лист'!$K$9))*4.75</f>
        <v>3788.2477247999996</v>
      </c>
      <c r="K11" s="9">
        <f>(((K6*0.00314)*((K6+500)/1000)*'Технический лист'!$K$9))*4.75</f>
        <v>4390.9234992000002</v>
      </c>
      <c r="L11" s="9">
        <f>(((L6*0.00314)*((L6+500)/1000)*'Технический лист'!$K$9))*4.75</f>
        <v>5022.2981200000004</v>
      </c>
      <c r="M11" s="9">
        <f>(((M6*0.00314)*((M6+500)/1000)*'Технический лист'!$K$9))*4.75</f>
        <v>5682.3715872000002</v>
      </c>
      <c r="N11" s="9">
        <f>(((N6*0.00314)*((N6+500)/1000)*'Технический лист'!$K$9))*4.75</f>
        <v>6726.292124999999</v>
      </c>
      <c r="O11" s="9">
        <f>(((O6*0.00314)*((O6+500)/1000)*'Технический лист'!$K$9))*4.75</f>
        <v>7088.6150607999989</v>
      </c>
      <c r="P11" s="9">
        <f>(((P6*0.00314)*((P6+500)/1000)*'Технический лист'!$K$9))*4.75</f>
        <v>7458.1127082000003</v>
      </c>
      <c r="Q11" s="9">
        <f>(((Q6*0.00314)*((Q6+500)/1000)*'Технический лист'!$K$9))*4.75</f>
        <v>7834.7850671999995</v>
      </c>
      <c r="R11" s="9">
        <f>(((R6*0.00314)*((R6+500)/1000)*'Технический лист'!$K$9))*4.75</f>
        <v>8218.6321377999993</v>
      </c>
      <c r="S11" s="9">
        <f>(((S6*0.00314)*((S6+500)/1000)*'Технический лист'!$K$9))*4.75</f>
        <v>8609.6539200000007</v>
      </c>
      <c r="T11" s="9">
        <f>(((T6*0.00314)*((T6+500)/1000)*'Технический лист'!$K$9))*4.75</f>
        <v>9007.8504138000008</v>
      </c>
      <c r="U11" s="9">
        <f>(((U6*0.00314)*((U6+500)/1000)*'Технический лист'!$K$9))*4.75</f>
        <v>9413.2216191999978</v>
      </c>
      <c r="V11" s="9">
        <f>(((V6*0.00314)*((V6+500)/1000)*'Технический лист'!$K$9))*4.75</f>
        <v>9825.7675361999991</v>
      </c>
      <c r="W11" s="9">
        <f>(((W6*0.00314)*((W6+500)/1000)*'Технический лист'!$K$9))*4.75</f>
        <v>10245.488164799999</v>
      </c>
      <c r="X11" s="9">
        <f>(((X6*0.00314)*((X6+500)/1000)*'Технический лист'!$K$9))*4.75</f>
        <v>10672.383504999998</v>
      </c>
    </row>
    <row r="12" spans="1:30">
      <c r="A12" s="4" t="s">
        <v>76</v>
      </c>
      <c r="B12" s="9">
        <f>((((B6*0.00314)*0.18)*'Технический лист'!$O$9)+((((B6+100)/1000)*((B6+100)/1000))*3)*'Технический лист'!$I$7)*6.17</f>
        <v>2377.86804768</v>
      </c>
      <c r="C12" s="9">
        <f>((((C6*0.00314)*0.18)*'Технический лист'!$O$9)+((((C6+100)/1000)*((C6+100)/1000))*3)*'Технический лист'!$I$7)*6.17</f>
        <v>2619.4590276479994</v>
      </c>
      <c r="D12" s="9">
        <f>((((D6*0.00314)*0.18)*'Технический лист'!$O$9)+((((D6+100)/1000)*((D6+100)/1000))*3)*'Технический лист'!$I$7)*6.17</f>
        <v>2743.1076490319997</v>
      </c>
      <c r="E12" s="9">
        <f>((((E6*0.00314)*0.18)*'Технический лист'!$O$9)+((((E6+100)/1000)*((E6+100)/1000))*3)*'Технический лист'!$I$7)*6.17</f>
        <v>2868.6583580159995</v>
      </c>
      <c r="F12" s="9">
        <f>((((F6*0.00314)*0.18)*'Технический лист'!$O$9)+((((F6+100)/1000)*((F6+100)/1000))*3)*'Технический лист'!$I$7)*6.17</f>
        <v>2996.1111545999997</v>
      </c>
      <c r="G12" s="9">
        <f>((((G6*0.00314)*0.18)*'Технический лист'!$O$9)+((((G6+100)/1000)*((G6+100)/1000))*3)*'Технический лист'!$I$7)*6.17</f>
        <v>3125.4660387839999</v>
      </c>
      <c r="H12" s="9">
        <f>((((H6*0.00314)*0.18)*'Технический лист'!$O$9)+((((H6+100)/1000)*((H6+100)/1000))*3)*'Технический лист'!$I$7)*6.17</f>
        <v>3389.8820699519997</v>
      </c>
      <c r="I12" s="9">
        <f>((((I6*0.00314)*0.18)*'Технический лист'!$O$9)+((((I6+100)/1000)*((I6+100)/1000))*3)*'Технический лист'!$I$7)*6.17</f>
        <v>3661.9064515199998</v>
      </c>
      <c r="J12" s="9">
        <f>((((J6*0.00314)*0.18)*'Технический лист'!$O$9)+((((J6+100)/1000)*((J6+100)/1000))*3)*'Технический лист'!$I$7)*6.17</f>
        <v>3941.5391834880002</v>
      </c>
      <c r="K12" s="9">
        <f>((((K6*0.00314)*0.18)*'Технический лист'!$O$9)+((((K6+100)/1000)*((K6+100)/1000))*3)*'Технический лист'!$I$7)*6.17</f>
        <v>4523.6296986240004</v>
      </c>
      <c r="L12" s="9">
        <f>((((L6*0.00314)*0.18)*'Технический лист'!$O$9)+((((L6+100)/1000)*((L6+100)/1000))*3)*'Технический лист'!$I$7)*6.17</f>
        <v>5136.15361536</v>
      </c>
      <c r="M12" s="9">
        <f>((((M6*0.00314)*0.18)*'Технический лист'!$O$9)+((((M6+100)/1000)*((M6+100)/1000))*3)*'Технический лист'!$I$7)*6.17</f>
        <v>5779.1109336959998</v>
      </c>
      <c r="N12" s="9">
        <f>((((N6*0.00314)*0.18)*'Технический лист'!$O$9)+((((N6+100)/1000)*((N6+100)/1000))*3)*'Технический лист'!$I$7)*6.17</f>
        <v>6800.6095391999988</v>
      </c>
      <c r="O12" s="9">
        <f>((((O6*0.00314)*0.18)*'Технический лист'!$O$9)+((((O6+100)/1000)*((O6+100)/1000))*3)*'Технический лист'!$I$7)*6.17</f>
        <v>7156.3257751679994</v>
      </c>
      <c r="P12" s="9">
        <f>((((P6*0.00314)*0.18)*'Технический лист'!$O$9)+((((P6+100)/1000)*((P6+100)/1000))*3)*'Технический лист'!$I$7)*6.17</f>
        <v>7519.6503615359979</v>
      </c>
      <c r="Q12" s="9">
        <f>((((Q6*0.00314)*0.18)*'Технический лист'!$O$9)+((((Q6+100)/1000)*((Q6+100)/1000))*3)*'Технический лист'!$I$7)*6.17</f>
        <v>7890.5832983039982</v>
      </c>
      <c r="R12" s="9">
        <f>((((R6*0.00314)*0.18)*'Технический лист'!$O$9)+((((R6+100)/1000)*((R6+100)/1000))*3)*'Технический лист'!$I$7)*6.17</f>
        <v>8269.124585472</v>
      </c>
      <c r="S12" s="9">
        <f>((((S6*0.00314)*0.18)*'Технический лист'!$O$9)+((((S6+100)/1000)*((S6+100)/1000))*3)*'Технический лист'!$I$7)*6.17</f>
        <v>8655.2742230399999</v>
      </c>
      <c r="T12" s="9">
        <f>((((T6*0.00314)*0.18)*'Технический лист'!$O$9)+((((T6+100)/1000)*((T6+100)/1000))*3)*'Технический лист'!$I$7)*6.17</f>
        <v>9049.0322110079996</v>
      </c>
      <c r="U12" s="9">
        <f>((((U6*0.00314)*0.18)*'Технический лист'!$O$9)+((((U6+100)/1000)*((U6+100)/1000))*3)*'Технический лист'!$I$7)*6.17</f>
        <v>9450.3985493759974</v>
      </c>
      <c r="V12" s="9">
        <f>((((V6*0.00314)*0.18)*'Технический лист'!$O$9)+((((V6+100)/1000)*((V6+100)/1000))*3)*'Технический лист'!$I$7)*6.17</f>
        <v>9859.3732381439986</v>
      </c>
      <c r="W12" s="9">
        <f>((((W6*0.00314)*0.18)*'Технический лист'!$O$9)+((((W6+100)/1000)*((W6+100)/1000))*3)*'Технический лист'!$I$7)*6.17</f>
        <v>10275.956277312</v>
      </c>
      <c r="X12" s="9">
        <f>((((X6*0.00314)*0.18)*'Технический лист'!$O$9)+((((X6+100)/1000)*((X6+100)/1000))*3)*'Технический лист'!$I$7)*6.17</f>
        <v>10700.147666879999</v>
      </c>
    </row>
    <row r="13" spans="1:30">
      <c r="A13" s="4" t="s">
        <v>100</v>
      </c>
      <c r="B13" s="9">
        <v>1755</v>
      </c>
      <c r="C13" s="9">
        <v>1755</v>
      </c>
      <c r="D13" s="9">
        <v>1755</v>
      </c>
      <c r="E13" s="9">
        <v>1755</v>
      </c>
      <c r="F13" s="9">
        <v>1755</v>
      </c>
      <c r="G13" s="9">
        <v>1755</v>
      </c>
      <c r="H13" s="9">
        <v>1755</v>
      </c>
      <c r="I13" s="9">
        <v>1755</v>
      </c>
      <c r="J13" s="9">
        <v>1755</v>
      </c>
      <c r="K13" s="9">
        <v>1755</v>
      </c>
      <c r="L13" s="9">
        <v>1755</v>
      </c>
      <c r="M13" s="9">
        <v>1755</v>
      </c>
      <c r="N13" s="9">
        <v>1755</v>
      </c>
      <c r="O13" s="9">
        <v>1755</v>
      </c>
      <c r="P13" s="9">
        <v>1755</v>
      </c>
      <c r="Q13" s="9">
        <v>1755</v>
      </c>
      <c r="R13" s="9">
        <v>1755</v>
      </c>
      <c r="S13" s="9">
        <v>1755</v>
      </c>
      <c r="T13" s="9">
        <v>1755</v>
      </c>
      <c r="U13" s="9">
        <v>1755</v>
      </c>
      <c r="V13" s="9">
        <v>1755</v>
      </c>
      <c r="W13" s="9">
        <v>1755</v>
      </c>
      <c r="X13" s="9">
        <v>1755</v>
      </c>
    </row>
    <row r="15" spans="1:30">
      <c r="A15" s="41" t="s">
        <v>121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1" t="s">
        <v>85</v>
      </c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</row>
    <row r="16" spans="1:30">
      <c r="A16" s="3" t="s">
        <v>79</v>
      </c>
      <c r="B16" s="10">
        <v>100</v>
      </c>
      <c r="C16" s="10">
        <v>110</v>
      </c>
      <c r="D16" s="10">
        <v>115</v>
      </c>
      <c r="E16" s="10">
        <v>120</v>
      </c>
      <c r="F16" s="10">
        <v>125</v>
      </c>
      <c r="G16" s="10">
        <v>130</v>
      </c>
      <c r="H16" s="10">
        <v>140</v>
      </c>
      <c r="I16" s="10">
        <v>150</v>
      </c>
      <c r="J16" s="10">
        <v>160</v>
      </c>
      <c r="K16" s="10">
        <v>180</v>
      </c>
      <c r="L16" s="10">
        <v>200</v>
      </c>
      <c r="M16" s="10">
        <v>220</v>
      </c>
      <c r="N16" s="10">
        <v>250</v>
      </c>
      <c r="O16" s="10">
        <v>260</v>
      </c>
      <c r="P16" s="10">
        <v>270</v>
      </c>
      <c r="Q16" s="10">
        <v>280</v>
      </c>
      <c r="R16" s="10">
        <v>290</v>
      </c>
      <c r="S16" s="10">
        <v>300</v>
      </c>
      <c r="T16" s="10">
        <v>310</v>
      </c>
      <c r="U16" s="10">
        <v>320</v>
      </c>
      <c r="V16" s="10">
        <v>330</v>
      </c>
      <c r="W16" s="10">
        <v>340</v>
      </c>
      <c r="X16" s="10">
        <v>350</v>
      </c>
    </row>
    <row r="17" spans="1:24">
      <c r="A17" s="4" t="s">
        <v>69</v>
      </c>
      <c r="B17" s="16">
        <f>((B16*0.00314)*'Технический лист'!$G$10)*3.7</f>
        <v>2657.8061038961041</v>
      </c>
      <c r="C17" s="16">
        <f>((C16*0.00314)*'Технический лист'!$G$10)*3.7</f>
        <v>2923.5867142857142</v>
      </c>
      <c r="D17" s="16">
        <f>((D16*0.00314)*'Технический лист'!$G$10)*3.7</f>
        <v>3056.4770194805192</v>
      </c>
      <c r="E17" s="16">
        <f>((E16*0.00314)*'Технический лист'!$G$10)*3.7</f>
        <v>3189.3673246753247</v>
      </c>
      <c r="F17" s="16">
        <f>((F16*0.00314)*'Технический лист'!$G$10)*3.7</f>
        <v>3322.2576298701301</v>
      </c>
      <c r="G17" s="16">
        <f>((G16*0.00314)*'Технический лист'!$G$10)*3.7</f>
        <v>3455.1479350649347</v>
      </c>
      <c r="H17" s="16">
        <f>((H16*0.00314)*'Технический лист'!$G$10)*3.7</f>
        <v>3720.9285454545452</v>
      </c>
      <c r="I17" s="16">
        <f>((I16*0.00314)*'Технический лист'!$G$10)*3.7</f>
        <v>3986.7091558441557</v>
      </c>
      <c r="J17" s="16">
        <f>((J16*0.00314)*'Технический лист'!$G$10)*3.7</f>
        <v>4252.4897662337653</v>
      </c>
      <c r="K17" s="16">
        <f>((K16*0.00314)*'Технический лист'!$G$10)*3.7</f>
        <v>4784.0509870129863</v>
      </c>
      <c r="L17" s="16">
        <f>((L16*0.00314)*'Технический лист'!$G$10)*3.7</f>
        <v>5315.6122077922082</v>
      </c>
      <c r="M17" s="16">
        <f>((M16*0.00314)*'Технический лист'!$G$10)*3.7</f>
        <v>5847.1734285714283</v>
      </c>
      <c r="N17" s="16">
        <f>((N16*0.00314)*'Технический лист'!$G$10)*3.7</f>
        <v>6644.5152597402603</v>
      </c>
      <c r="O17" s="16">
        <f>((O16*0.00314)*'Технический лист'!$G$10)*3.7</f>
        <v>6910.2958701298694</v>
      </c>
      <c r="P17" s="16">
        <f>((P16*0.00314)*'Технический лист'!$G$10)*3.7</f>
        <v>7176.0764805194804</v>
      </c>
      <c r="Q17" s="16">
        <f>((Q16*0.00314)*'Технический лист'!$G$10)*3.7</f>
        <v>7441.8570909090904</v>
      </c>
      <c r="R17" s="16">
        <f>((R16*0.00314)*'Технический лист'!$G$10)*3.7</f>
        <v>7707.6377012987004</v>
      </c>
      <c r="S17" s="16">
        <f>((S16*0.00314)*'Технический лист'!$G$10)*3.7</f>
        <v>7973.4183116883114</v>
      </c>
      <c r="T17" s="16">
        <f>((T16*0.00314)*'Технический лист'!$G$10)*3.7</f>
        <v>8239.1989220779215</v>
      </c>
      <c r="U17" s="16">
        <f>((U16*0.00314)*'Технический лист'!$G$10)*3.7</f>
        <v>8504.9795324675306</v>
      </c>
      <c r="V17" s="16">
        <f>((V16*0.00314)*'Технический лист'!$G$10)*3.7</f>
        <v>8770.7601428571434</v>
      </c>
      <c r="W17" s="16">
        <f>((W16*0.00314)*'Технический лист'!$G$10)*3.7</f>
        <v>9036.5407532467543</v>
      </c>
      <c r="X17" s="16">
        <f>((X16*0.00314)*'Технический лист'!$G$10)*3.7</f>
        <v>9302.3213636363635</v>
      </c>
    </row>
    <row r="18" spans="1:24">
      <c r="A18" s="4" t="s">
        <v>70</v>
      </c>
      <c r="B18" s="9">
        <f>((B17/2)*1.07)-10</f>
        <v>1411.9262655844159</v>
      </c>
      <c r="C18" s="9">
        <f t="shared" ref="C18:X18" si="2">((C17/2)*1.07)-10</f>
        <v>1554.1188921428572</v>
      </c>
      <c r="D18" s="9">
        <f t="shared" si="2"/>
        <v>1625.2152054220778</v>
      </c>
      <c r="E18" s="9">
        <f t="shared" si="2"/>
        <v>1696.3115187012988</v>
      </c>
      <c r="F18" s="9">
        <f t="shared" si="2"/>
        <v>1767.4078319805196</v>
      </c>
      <c r="G18" s="9">
        <f t="shared" si="2"/>
        <v>1838.5041452597402</v>
      </c>
      <c r="H18" s="9">
        <f t="shared" si="2"/>
        <v>1980.6967718181818</v>
      </c>
      <c r="I18" s="9">
        <f t="shared" si="2"/>
        <v>2122.8893983766234</v>
      </c>
      <c r="J18" s="9">
        <f t="shared" si="2"/>
        <v>2265.0820249350645</v>
      </c>
      <c r="K18" s="9">
        <f t="shared" si="2"/>
        <v>2549.4672780519477</v>
      </c>
      <c r="L18" s="9">
        <f t="shared" si="2"/>
        <v>2833.8525311688318</v>
      </c>
      <c r="M18" s="9">
        <f t="shared" si="2"/>
        <v>3118.2377842857145</v>
      </c>
      <c r="N18" s="9">
        <f t="shared" si="2"/>
        <v>3544.8156639610393</v>
      </c>
      <c r="O18" s="9">
        <f t="shared" si="2"/>
        <v>3687.0082905194804</v>
      </c>
      <c r="P18" s="9">
        <f t="shared" si="2"/>
        <v>3829.2009170779224</v>
      </c>
      <c r="Q18" s="9">
        <f t="shared" si="2"/>
        <v>3971.3935436363636</v>
      </c>
      <c r="R18" s="9">
        <f t="shared" si="2"/>
        <v>4113.5861701948052</v>
      </c>
      <c r="S18" s="9">
        <f t="shared" si="2"/>
        <v>4255.7787967532468</v>
      </c>
      <c r="T18" s="9">
        <f t="shared" si="2"/>
        <v>4397.9714233116883</v>
      </c>
      <c r="U18" s="9">
        <f t="shared" si="2"/>
        <v>4540.164049870129</v>
      </c>
      <c r="V18" s="9">
        <f t="shared" si="2"/>
        <v>4682.3566764285715</v>
      </c>
      <c r="W18" s="9">
        <f t="shared" si="2"/>
        <v>4824.549302987014</v>
      </c>
      <c r="X18" s="9">
        <f t="shared" si="2"/>
        <v>4966.7419295454547</v>
      </c>
    </row>
    <row r="19" spans="1:24">
      <c r="A19" s="4" t="s">
        <v>71</v>
      </c>
      <c r="B19" s="16">
        <f>(((B16*0.00314)*0.55)*'Технический лист'!$I$10)*4.2</f>
        <v>2290.3788</v>
      </c>
      <c r="C19" s="16">
        <f>(((C16*0.00314)*0.55)*'Технический лист'!$I$10)*4.2</f>
        <v>2519.4166800000003</v>
      </c>
      <c r="D19" s="16">
        <f>(((D16*0.00314)*0.55)*'Технический лист'!$I$10)*4.2</f>
        <v>2633.9356200000002</v>
      </c>
      <c r="E19" s="16">
        <f>(((E16*0.00314)*0.55)*'Технический лист'!$I$10)*4.2</f>
        <v>2748.4545600000006</v>
      </c>
      <c r="F19" s="16">
        <f>(((F16*0.00314)*0.55)*'Технический лист'!$I$10)*4.2</f>
        <v>2862.9735000000005</v>
      </c>
      <c r="G19" s="16">
        <f>(((G16*0.00314)*0.55)*'Технический лист'!$I$10)*4.2</f>
        <v>2977.49244</v>
      </c>
      <c r="H19" s="16">
        <f>(((H16*0.00314)*0.55)*'Технический лист'!$I$10)*4.2</f>
        <v>3206.5303200000003</v>
      </c>
      <c r="I19" s="16">
        <f>(((I16*0.00314)*0.55)*'Технический лист'!$I$10)*4.2</f>
        <v>3435.5681999999997</v>
      </c>
      <c r="J19" s="16">
        <f>(((J16*0.00314)*0.55)*'Технический лист'!$I$10)*4.2</f>
        <v>3664.60608</v>
      </c>
      <c r="K19" s="16">
        <f>(((K16*0.00314)*0.55)*'Технический лист'!$I$10)*4.2</f>
        <v>4122.6818400000002</v>
      </c>
      <c r="L19" s="16">
        <f>(((L16*0.00314)*0.55)*'Технический лист'!$I$10)*4.2</f>
        <v>4580.7575999999999</v>
      </c>
      <c r="M19" s="16">
        <f>(((M16*0.00314)*0.55)*'Технический лист'!$I$10)*4.2</f>
        <v>5038.8333600000005</v>
      </c>
      <c r="N19" s="16">
        <f>(((N16*0.00314)*0.55)*'Технический лист'!$I$10)*4.2</f>
        <v>5725.947000000001</v>
      </c>
      <c r="O19" s="16">
        <f>(((O16*0.00314)*0.55)*'Технический лист'!$I$10)*4.2</f>
        <v>5954.98488</v>
      </c>
      <c r="P19" s="16">
        <f>(((P16*0.00314)*0.55)*'Технический лист'!$I$10)*4.2</f>
        <v>6184.0227600000007</v>
      </c>
      <c r="Q19" s="16">
        <f>(((Q16*0.00314)*0.55)*'Технический лист'!$I$10)*4.2</f>
        <v>6413.0606400000006</v>
      </c>
      <c r="R19" s="16">
        <f>(((R16*0.00314)*0.55)*'Технический лист'!$I$10)*4.2</f>
        <v>6642.0985199999996</v>
      </c>
      <c r="S19" s="16">
        <f>(((S16*0.00314)*0.55)*'Технический лист'!$I$10)*4.2</f>
        <v>6871.1363999999994</v>
      </c>
      <c r="T19" s="16">
        <f>(((T16*0.00314)*0.55)*'Технический лист'!$I$10)*4.2</f>
        <v>7100.1742799999993</v>
      </c>
      <c r="U19" s="16">
        <f>(((U16*0.00314)*0.55)*'Технический лист'!$I$10)*4.2</f>
        <v>7329.21216</v>
      </c>
      <c r="V19" s="16">
        <f>(((V16*0.00314)*0.55)*'Технический лист'!$I$10)*4.2</f>
        <v>7558.2500399999999</v>
      </c>
      <c r="W19" s="16">
        <f>(((W16*0.00314)*0.55)*'Технический лист'!$I$10)*4.2</f>
        <v>7787.2879200000016</v>
      </c>
      <c r="X19" s="16">
        <f>(((X16*0.00314)*0.55)*'Технический лист'!$I$10)*4.2</f>
        <v>8016.3258000000005</v>
      </c>
    </row>
    <row r="20" spans="1:24">
      <c r="A20" s="4" t="s">
        <v>72</v>
      </c>
      <c r="B20" s="9">
        <f>((B19*2)/3)-6</f>
        <v>1520.9192</v>
      </c>
      <c r="C20" s="9">
        <f t="shared" ref="C20:X20" si="3">((C19*2)/3)-6</f>
        <v>1673.6111200000003</v>
      </c>
      <c r="D20" s="9">
        <f t="shared" si="3"/>
        <v>1749.9570800000001</v>
      </c>
      <c r="E20" s="9">
        <f t="shared" si="3"/>
        <v>1826.3030400000005</v>
      </c>
      <c r="F20" s="9">
        <f t="shared" si="3"/>
        <v>1902.6490000000003</v>
      </c>
      <c r="G20" s="9">
        <f t="shared" si="3"/>
        <v>1978.99496</v>
      </c>
      <c r="H20" s="9">
        <f t="shared" si="3"/>
        <v>2131.6868800000002</v>
      </c>
      <c r="I20" s="9">
        <f t="shared" si="3"/>
        <v>2284.3788</v>
      </c>
      <c r="J20" s="9">
        <f t="shared" si="3"/>
        <v>2437.0707200000002</v>
      </c>
      <c r="K20" s="9">
        <f t="shared" si="3"/>
        <v>2742.4545600000001</v>
      </c>
      <c r="L20" s="9">
        <f t="shared" si="3"/>
        <v>3047.8384000000001</v>
      </c>
      <c r="M20" s="9">
        <f t="shared" si="3"/>
        <v>3353.2222400000005</v>
      </c>
      <c r="N20" s="9">
        <f t="shared" si="3"/>
        <v>3811.2980000000007</v>
      </c>
      <c r="O20" s="9">
        <f t="shared" si="3"/>
        <v>3963.98992</v>
      </c>
      <c r="P20" s="9">
        <f t="shared" si="3"/>
        <v>4116.6818400000002</v>
      </c>
      <c r="Q20" s="9">
        <f t="shared" si="3"/>
        <v>4269.3737600000004</v>
      </c>
      <c r="R20" s="9">
        <f t="shared" si="3"/>
        <v>4422.0656799999997</v>
      </c>
      <c r="S20" s="9">
        <f t="shared" si="3"/>
        <v>4574.7575999999999</v>
      </c>
      <c r="T20" s="9">
        <f t="shared" si="3"/>
        <v>4727.4495199999992</v>
      </c>
      <c r="U20" s="9">
        <f t="shared" si="3"/>
        <v>4880.1414400000003</v>
      </c>
      <c r="V20" s="9">
        <f t="shared" si="3"/>
        <v>5032.8333599999996</v>
      </c>
      <c r="W20" s="9">
        <f t="shared" si="3"/>
        <v>5185.5252800000007</v>
      </c>
      <c r="X20" s="9">
        <f t="shared" si="3"/>
        <v>5338.2172</v>
      </c>
    </row>
    <row r="21" spans="1:24">
      <c r="A21" s="4" t="s">
        <v>75</v>
      </c>
      <c r="B21" s="9">
        <f>(((B16*0.00314)*((B16+500)/1000)*'Технический лист'!$K$10))*4.7</f>
        <v>2840.3208467532468</v>
      </c>
      <c r="C21" s="9">
        <f>(((C16*0.00314)*((C16+500)/1000)*'Технический лист'!$K$10))*4.7</f>
        <v>3176.4254802857145</v>
      </c>
      <c r="D21" s="9">
        <f>(((D16*0.00314)*((D16+500)/1000)*'Технический лист'!$K$10))*4.7</f>
        <v>3348.028198110389</v>
      </c>
      <c r="E21" s="9">
        <f>(((E16*0.00314)*((E16+500)/1000)*'Технический лист'!$K$10))*4.7</f>
        <v>3521.9978499740259</v>
      </c>
      <c r="F21" s="9">
        <f>(((F16*0.00314)*((F16+500)/1000)*'Технический лист'!$K$10))*4.7</f>
        <v>3698.3344358766235</v>
      </c>
      <c r="G21" s="9">
        <f>(((G16*0.00314)*((G16+500)/1000)*'Технический лист'!$K$10))*4.7</f>
        <v>3877.0379558181817</v>
      </c>
      <c r="H21" s="9">
        <f>(((H16*0.00314)*((H16+500)/1000)*'Технический лист'!$K$10))*4.7</f>
        <v>4241.5457978181812</v>
      </c>
      <c r="I21" s="9">
        <f>(((I16*0.00314)*((I16+500)/1000)*'Технический лист'!$K$10))*4.7</f>
        <v>4615.5213759740254</v>
      </c>
      <c r="J21" s="9">
        <f>(((J16*0.00314)*((J16+500)/1000)*'Технический лист'!$K$10))*4.7</f>
        <v>4998.9646902857139</v>
      </c>
      <c r="K21" s="9">
        <f>(((K16*0.00314)*((K16+500)/1000)*'Технический лист'!$K$10))*4.7</f>
        <v>5794.2545273766245</v>
      </c>
      <c r="L21" s="9">
        <f>(((L16*0.00314)*((L16+500)/1000)*'Технический лист'!$K$10))*4.7</f>
        <v>6627.4153090909085</v>
      </c>
      <c r="M21" s="9">
        <f>(((M16*0.00314)*((M16+500)/1000)*'Технический лист'!$K$10))*4.7</f>
        <v>7498.4470354285704</v>
      </c>
      <c r="N21" s="9">
        <f>(((N16*0.00314)*((N16+500)/1000)*'Технический лист'!$K$10))*4.7</f>
        <v>8876.002646103896</v>
      </c>
      <c r="O21" s="9">
        <f>(((O16*0.00314)*((O16+500)/1000)*'Технический лист'!$K$10))*4.7</f>
        <v>9354.1233219740261</v>
      </c>
      <c r="P21" s="9">
        <f>(((P16*0.00314)*((P16+500)/1000)*'Технический лист'!$K$10))*4.7</f>
        <v>9841.7117339999986</v>
      </c>
      <c r="Q21" s="9">
        <f>(((Q16*0.00314)*((Q16+500)/1000)*'Технический лист'!$K$10))*4.7</f>
        <v>10338.767882181819</v>
      </c>
      <c r="R21" s="9">
        <f>(((R16*0.00314)*((R16+500)/1000)*'Технический лист'!$K$10))*4.7</f>
        <v>10845.291766519478</v>
      </c>
      <c r="S21" s="9">
        <f>(((S16*0.00314)*((S16+500)/1000)*'Технический лист'!$K$10))*4.7</f>
        <v>11361.283387012987</v>
      </c>
      <c r="T21" s="9">
        <f>(((T16*0.00314)*((T16+500)/1000)*'Технический лист'!$K$10))*4.7</f>
        <v>11886.742743662338</v>
      </c>
      <c r="U21" s="9">
        <f>(((U16*0.00314)*((U16+500)/1000)*'Технический лист'!$K$10))*4.7</f>
        <v>12421.66983646753</v>
      </c>
      <c r="V21" s="9">
        <f>(((V16*0.00314)*((V16+500)/1000)*'Технический лист'!$K$10))*4.7</f>
        <v>12966.064665428572</v>
      </c>
      <c r="W21" s="9">
        <f>(((W16*0.00314)*((W16+500)/1000)*'Технический лист'!$K$10))*4.7</f>
        <v>13519.927230545454</v>
      </c>
      <c r="X21" s="9">
        <f>(((X16*0.00314)*((X16+500)/1000)*'Технический лист'!$K$10))*4.7</f>
        <v>14083.257531818181</v>
      </c>
    </row>
    <row r="22" spans="1:24">
      <c r="A22" s="4" t="s">
        <v>76</v>
      </c>
      <c r="B22" s="9">
        <f>((((B16*0.00314)*0.16)*'Технический лист'!$O$8)+((((B16+100)/1000)*((B16+100)/1000))*3)*'Технический лист'!$I$8)*5.6</f>
        <v>2800.2525090909094</v>
      </c>
      <c r="C22" s="9">
        <f>((((C16*0.00314)*0.16)*'Технический лист'!$O$8)+((((C16+100)/1000)*((C16+100)/1000))*3)*'Технический лист'!$I$8)*5.6</f>
        <v>3085.197541818181</v>
      </c>
      <c r="D22" s="9">
        <f>((((D16*0.00314)*0.16)*'Технический лист'!$O$8)+((((D16+100)/1000)*((D16+100)/1000))*3)*'Технический лист'!$I$8)*5.6</f>
        <v>3231.3598945454537</v>
      </c>
      <c r="E22" s="9">
        <f>((((E16*0.00314)*0.16)*'Технический лист'!$O$8)+((((E16+100)/1000)*((E16+100)/1000))*3)*'Технический лист'!$I$8)*5.6</f>
        <v>3379.9821381818183</v>
      </c>
      <c r="F22" s="9">
        <f>((((F16*0.00314)*0.16)*'Технический лист'!$O$8)+((((F16+100)/1000)*((F16+100)/1000))*3)*'Технический лист'!$I$8)*5.6</f>
        <v>3531.0642727272725</v>
      </c>
      <c r="G22" s="9">
        <f>((((G16*0.00314)*0.16)*'Технический лист'!$O$8)+((((G16+100)/1000)*((G16+100)/1000))*3)*'Технический лист'!$I$8)*5.6</f>
        <v>3684.6062981818177</v>
      </c>
      <c r="H22" s="9">
        <f>((((H16*0.00314)*0.16)*'Технический лист'!$O$8)+((((H16+100)/1000)*((H16+100)/1000))*3)*'Технический лист'!$I$8)*5.6</f>
        <v>3999.070021818181</v>
      </c>
      <c r="I22" s="9">
        <f>((((I16*0.00314)*0.16)*'Технический лист'!$O$8)+((((I16+100)/1000)*((I16+100)/1000))*3)*'Технический лист'!$I$8)*5.6</f>
        <v>4323.3733090909091</v>
      </c>
      <c r="J22" s="9">
        <f>((((J16*0.00314)*0.16)*'Технический лист'!$O$8)+((((J16+100)/1000)*((J16+100)/1000))*3)*'Технический лист'!$I$8)*5.6</f>
        <v>4657.5161600000001</v>
      </c>
      <c r="K22" s="9">
        <f>((((K16*0.00314)*0.16)*'Технический лист'!$O$8)+((((K16+100)/1000)*((K16+100)/1000))*3)*'Технический лист'!$I$8)*5.6</f>
        <v>5355.3205527272721</v>
      </c>
      <c r="L22" s="9">
        <f>((((L16*0.00314)*0.16)*'Технический лист'!$O$8)+((((L16+100)/1000)*((L16+100)/1000))*3)*'Технический лист'!$I$8)*5.6</f>
        <v>6092.4832000000006</v>
      </c>
      <c r="M22" s="9">
        <f>((((M16*0.00314)*0.16)*'Технический лист'!$O$8)+((((M16+100)/1000)*((M16+100)/1000))*3)*'Технический лист'!$I$8)*5.6</f>
        <v>6869.0041018181819</v>
      </c>
      <c r="N22" s="9">
        <f>((((N16*0.00314)*0.16)*'Технический лист'!$O$8)+((((N16+100)/1000)*((N16+100)/1000))*3)*'Технический лист'!$I$8)*5.6</f>
        <v>8107.5821818181803</v>
      </c>
      <c r="O22" s="9">
        <f>((((O16*0.00314)*0.16)*'Технический лист'!$O$8)+((((O16+100)/1000)*((O16+100)/1000))*3)*'Технический лист'!$I$8)*5.6</f>
        <v>8540.1206690909075</v>
      </c>
      <c r="P22" s="9">
        <f>((((P16*0.00314)*0.16)*'Технический лист'!$O$8)+((((P16+100)/1000)*((P16+100)/1000))*3)*'Технический лист'!$I$8)*5.6</f>
        <v>8982.4987199999978</v>
      </c>
      <c r="Q22" s="9">
        <f>((((Q16*0.00314)*0.16)*'Технический лист'!$O$8)+((((Q16+100)/1000)*((Q16+100)/1000))*3)*'Технический лист'!$I$8)*5.6</f>
        <v>9434.7163345454537</v>
      </c>
      <c r="R22" s="9">
        <f>((((R16*0.00314)*0.16)*'Технический лист'!$O$8)+((((R16+100)/1000)*((R16+100)/1000))*3)*'Технический лист'!$I$8)*5.6</f>
        <v>9896.7735127272717</v>
      </c>
      <c r="S22" s="9">
        <f>((((S16*0.00314)*0.16)*'Технический лист'!$O$8)+((((S16+100)/1000)*((S16+100)/1000))*3)*'Технический лист'!$I$8)*5.6</f>
        <v>10368.670254545455</v>
      </c>
      <c r="T22" s="9">
        <f>((((T16*0.00314)*0.16)*'Технический лист'!$O$8)+((((T16+100)/1000)*((T16+100)/1000))*3)*'Технический лист'!$I$8)*5.6</f>
        <v>10850.406559999999</v>
      </c>
      <c r="U22" s="9">
        <f>((((U16*0.00314)*0.16)*'Технический лист'!$O$8)+((((U16+100)/1000)*((U16+100)/1000))*3)*'Технический лист'!$I$8)*5.6</f>
        <v>11341.982429090905</v>
      </c>
      <c r="V22" s="9">
        <f>((((V16*0.00314)*0.16)*'Технический лист'!$O$8)+((((V16+100)/1000)*((V16+100)/1000))*3)*'Технический лист'!$I$8)*5.6</f>
        <v>11843.397861818181</v>
      </c>
      <c r="W22" s="9">
        <f>((((W16*0.00314)*0.16)*'Технический лист'!$O$8)+((((W16+100)/1000)*((W16+100)/1000))*3)*'Технический лист'!$I$8)*5.6</f>
        <v>12354.652858181817</v>
      </c>
      <c r="X22" s="9">
        <f>((((X16*0.00314)*0.16)*'Технический лист'!$O$8)+((((X16+100)/1000)*((X16+100)/1000))*3)*'Технический лист'!$I$8)*5.6</f>
        <v>12875.747418181818</v>
      </c>
    </row>
    <row r="23" spans="1:24">
      <c r="A23" s="4" t="s">
        <v>100</v>
      </c>
      <c r="B23" s="9">
        <v>2210</v>
      </c>
      <c r="C23" s="9">
        <v>2210</v>
      </c>
      <c r="D23" s="9">
        <v>2210</v>
      </c>
      <c r="E23" s="9">
        <v>2210</v>
      </c>
      <c r="F23" s="9">
        <v>2210</v>
      </c>
      <c r="G23" s="9">
        <v>2210</v>
      </c>
      <c r="H23" s="9">
        <v>2210</v>
      </c>
      <c r="I23" s="9">
        <v>2210</v>
      </c>
      <c r="J23" s="9">
        <v>2210</v>
      </c>
      <c r="K23" s="9">
        <v>2210</v>
      </c>
      <c r="L23" s="9">
        <v>2210</v>
      </c>
      <c r="M23" s="9">
        <v>2210</v>
      </c>
      <c r="N23" s="9">
        <v>2210</v>
      </c>
      <c r="O23" s="9">
        <v>2210</v>
      </c>
      <c r="P23" s="9">
        <v>2210</v>
      </c>
      <c r="Q23" s="9">
        <v>2210</v>
      </c>
      <c r="R23" s="9">
        <v>2210</v>
      </c>
      <c r="S23" s="9">
        <v>2210</v>
      </c>
      <c r="T23" s="9">
        <v>2210</v>
      </c>
      <c r="U23" s="9">
        <v>2210</v>
      </c>
      <c r="V23" s="9">
        <v>2210</v>
      </c>
      <c r="W23" s="9">
        <v>2210</v>
      </c>
      <c r="X23" s="9">
        <v>2210</v>
      </c>
    </row>
  </sheetData>
  <mergeCells count="8">
    <mergeCell ref="A15:N15"/>
    <mergeCell ref="O15:AB15"/>
    <mergeCell ref="A1:C1"/>
    <mergeCell ref="D1:O1"/>
    <mergeCell ref="D2:O2"/>
    <mergeCell ref="D3:O3"/>
    <mergeCell ref="A5:O5"/>
    <mergeCell ref="P5:AD5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S31"/>
  <sheetViews>
    <sheetView workbookViewId="0">
      <selection activeCell="B29" sqref="B29:S29"/>
    </sheetView>
  </sheetViews>
  <sheetFormatPr defaultRowHeight="14.4"/>
  <cols>
    <col min="1" max="1" width="26.6640625" customWidth="1"/>
    <col min="2" max="19" width="6.33203125" customWidth="1"/>
  </cols>
  <sheetData>
    <row r="1" spans="1:19" ht="45" customHeight="1">
      <c r="A1" s="32"/>
      <c r="B1" s="32"/>
      <c r="C1" s="32"/>
      <c r="D1" s="40" t="s">
        <v>94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1"/>
      <c r="Q1" s="1"/>
    </row>
    <row r="2" spans="1:19" ht="15" customHeight="1">
      <c r="D2" s="34" t="s">
        <v>95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1"/>
    </row>
    <row r="3" spans="1:19" ht="15" customHeight="1">
      <c r="D3" s="34" t="s">
        <v>112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9" ht="2.25" customHeight="1"/>
    <row r="5" spans="1:19">
      <c r="A5" s="41" t="s">
        <v>122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1:19">
      <c r="A6" s="3" t="s">
        <v>0</v>
      </c>
      <c r="B6" s="10">
        <v>100</v>
      </c>
      <c r="C6" s="10">
        <v>110</v>
      </c>
      <c r="D6" s="10">
        <v>115</v>
      </c>
      <c r="E6" s="10">
        <v>120</v>
      </c>
      <c r="F6" s="10">
        <v>125</v>
      </c>
      <c r="G6" s="10">
        <v>130</v>
      </c>
      <c r="H6" s="10">
        <v>140</v>
      </c>
      <c r="I6" s="10">
        <v>150</v>
      </c>
      <c r="J6" s="10">
        <v>160</v>
      </c>
      <c r="K6" s="10">
        <v>180</v>
      </c>
      <c r="L6" s="10">
        <v>200</v>
      </c>
      <c r="M6" s="10">
        <v>220</v>
      </c>
      <c r="N6" s="10">
        <v>250</v>
      </c>
      <c r="O6" s="10">
        <v>260</v>
      </c>
      <c r="P6" s="10">
        <v>270</v>
      </c>
      <c r="Q6" s="10">
        <v>280</v>
      </c>
      <c r="R6" s="10">
        <v>290</v>
      </c>
      <c r="S6" s="10">
        <v>300</v>
      </c>
    </row>
    <row r="7" spans="1:19">
      <c r="A7" s="3" t="s">
        <v>1</v>
      </c>
      <c r="B7" s="10">
        <v>200</v>
      </c>
      <c r="C7" s="10">
        <v>210</v>
      </c>
      <c r="D7" s="10">
        <v>215</v>
      </c>
      <c r="E7" s="10">
        <v>220</v>
      </c>
      <c r="F7" s="10">
        <v>225</v>
      </c>
      <c r="G7" s="10">
        <v>230</v>
      </c>
      <c r="H7" s="10">
        <v>240</v>
      </c>
      <c r="I7" s="10">
        <v>250</v>
      </c>
      <c r="J7" s="10">
        <v>260</v>
      </c>
      <c r="K7" s="10">
        <v>280</v>
      </c>
      <c r="L7" s="10">
        <v>300</v>
      </c>
      <c r="M7" s="10">
        <v>320</v>
      </c>
      <c r="N7" s="10">
        <v>350</v>
      </c>
      <c r="O7" s="10">
        <v>360</v>
      </c>
      <c r="P7" s="10">
        <v>370</v>
      </c>
      <c r="Q7" s="10">
        <v>380</v>
      </c>
      <c r="R7" s="10">
        <v>390</v>
      </c>
      <c r="S7" s="10">
        <v>400</v>
      </c>
    </row>
    <row r="8" spans="1:19">
      <c r="A8" s="4" t="s">
        <v>4</v>
      </c>
      <c r="B8" s="16">
        <f>((B6*0.00314)*'Технический лист'!$G$11)+310+((B7*0.00314)*'Технический лист'!$G$11)*4.45</f>
        <v>1409.4081999999999</v>
      </c>
      <c r="C8" s="16">
        <f>((C6*0.00314)*'Технический лист'!$G$11)+310+((C7*0.00314)*'Технический лист'!$G$11)*4.45</f>
        <v>1469.9311766666665</v>
      </c>
      <c r="D8" s="16">
        <f>((D6*0.00314)*'Технический лист'!$G$11)+310+((D7*0.00314)*'Технический лист'!$G$11)*4.45</f>
        <v>1500.1926649999998</v>
      </c>
      <c r="E8" s="16">
        <f>((E6*0.00314)*'Технический лист'!$G$11)+310+((E7*0.00314)*'Технический лист'!$G$11)*4.45</f>
        <v>1530.4541533333331</v>
      </c>
      <c r="F8" s="16">
        <f>((F6*0.00314)*'Технический лист'!$G$11)+310+((F7*0.00314)*'Технический лист'!$G$11)*4.45</f>
        <v>1560.7156416666667</v>
      </c>
      <c r="G8" s="16">
        <f>((G6*0.00314)*'Технический лист'!$G$11)+310+((G7*0.00314)*'Технический лист'!$G$11)*4.45</f>
        <v>1590.9771299999998</v>
      </c>
      <c r="H8" s="16">
        <f>((H6*0.00314)*'Технический лист'!$G$11)+310+((H7*0.00314)*'Технический лист'!$G$11)*4.45</f>
        <v>1651.5001066666664</v>
      </c>
      <c r="I8" s="16">
        <f>((I6*0.00314)*'Технический лист'!$G$11)+310+((I7*0.00314)*'Технический лист'!$G$11)*4.45</f>
        <v>1712.0230833333333</v>
      </c>
      <c r="J8" s="16">
        <f>((J6*0.00314)*'Технический лист'!$G$11)+310+((J7*0.00314)*'Технический лист'!$G$11)*4.45</f>
        <v>1772.5460599999999</v>
      </c>
      <c r="K8" s="16">
        <f>((K6*0.00314)*'Технический лист'!$G$11)+310+((K7*0.00314)*'Технический лист'!$G$11)*4.45</f>
        <v>1893.5920133333332</v>
      </c>
      <c r="L8" s="16">
        <f>((L6*0.00314)*'Технический лист'!$G$11)+310+((L7*0.00314)*'Технический лист'!$G$11)*4.45</f>
        <v>2014.6379666666664</v>
      </c>
      <c r="M8" s="16">
        <f>((M6*0.00314)*'Технический лист'!$G$11)+310+((M7*0.00314)*'Технический лист'!$G$11)*4.45</f>
        <v>2135.6839199999995</v>
      </c>
      <c r="N8" s="16">
        <f>((N6*0.00314)*'Технический лист'!$G$11)+310+((N7*0.00314)*'Технический лист'!$G$11)*4.45</f>
        <v>2317.2528499999999</v>
      </c>
      <c r="O8" s="16">
        <f>((O6*0.00314)*'Технический лист'!$G$11)+310+((O7*0.00314)*'Технический лист'!$G$11)*4.45</f>
        <v>2377.7758266666665</v>
      </c>
      <c r="P8" s="16">
        <f>((P6*0.00314)*'Технический лист'!$G$11)+310+((P7*0.00314)*'Технический лист'!$G$11)*4.45</f>
        <v>2438.2988033333331</v>
      </c>
      <c r="Q8" s="16">
        <f>((Q6*0.00314)*'Технический лист'!$G$11)+310+((Q7*0.00314)*'Технический лист'!$G$11)*4.45</f>
        <v>2498.8217799999998</v>
      </c>
      <c r="R8" s="16">
        <f>((R6*0.00314)*'Технический лист'!$G$11)+310+((R7*0.00314)*'Технический лист'!$G$11)*4.45</f>
        <v>2559.3447566666664</v>
      </c>
      <c r="S8" s="16">
        <f>((S6*0.00314)*'Технический лист'!$G$11)+310+((S7*0.00314)*'Технический лист'!$G$11)*4.45</f>
        <v>2619.867733333333</v>
      </c>
    </row>
    <row r="9" spans="1:19">
      <c r="A9" s="4" t="s">
        <v>3</v>
      </c>
      <c r="B9" s="9">
        <f>(B8/2)*1.07</f>
        <v>754.03338699999995</v>
      </c>
      <c r="C9" s="9">
        <f t="shared" ref="C9:S9" si="0">(C8/2)*1.07</f>
        <v>786.41317951666667</v>
      </c>
      <c r="D9" s="9">
        <f t="shared" si="0"/>
        <v>802.60307577499998</v>
      </c>
      <c r="E9" s="9">
        <f t="shared" si="0"/>
        <v>818.79297203333329</v>
      </c>
      <c r="F9" s="9">
        <f t="shared" si="0"/>
        <v>834.9828682916667</v>
      </c>
      <c r="G9" s="9">
        <f t="shared" si="0"/>
        <v>851.1727645499999</v>
      </c>
      <c r="H9" s="9">
        <f t="shared" si="0"/>
        <v>883.55255706666662</v>
      </c>
      <c r="I9" s="9">
        <f t="shared" si="0"/>
        <v>915.93234958333335</v>
      </c>
      <c r="J9" s="9">
        <f t="shared" si="0"/>
        <v>948.31214209999996</v>
      </c>
      <c r="K9" s="9">
        <f t="shared" si="0"/>
        <v>1013.0717271333333</v>
      </c>
      <c r="L9" s="9">
        <f t="shared" si="0"/>
        <v>1077.8313121666665</v>
      </c>
      <c r="M9" s="9">
        <f t="shared" si="0"/>
        <v>1142.5908971999997</v>
      </c>
      <c r="N9" s="9">
        <f t="shared" si="0"/>
        <v>1239.73027475</v>
      </c>
      <c r="O9" s="9">
        <f t="shared" si="0"/>
        <v>1272.1100672666666</v>
      </c>
      <c r="P9" s="9">
        <f t="shared" si="0"/>
        <v>1304.4898597833333</v>
      </c>
      <c r="Q9" s="9">
        <f t="shared" si="0"/>
        <v>1336.8696522999999</v>
      </c>
      <c r="R9" s="9">
        <f t="shared" si="0"/>
        <v>1369.2494448166667</v>
      </c>
      <c r="S9" s="9">
        <f t="shared" si="0"/>
        <v>1401.6292373333333</v>
      </c>
    </row>
    <row r="10" spans="1:19">
      <c r="A10" s="4" t="s">
        <v>5</v>
      </c>
      <c r="B10" s="16">
        <f>(((B6*0.00314)*0.5)*'Технический лист'!$I$11)+310+(((B7*0.00314)*0.5)*'Технический лист'!$I$11)*4.6</f>
        <v>1396.8167999999998</v>
      </c>
      <c r="C10" s="16">
        <f>(((C6*0.00314)*0.5)*'Технический лист'!$I$11)+310+(((C7*0.00314)*0.5)*'Технический лист'!$I$11)*4.6</f>
        <v>1456.485173333333</v>
      </c>
      <c r="D10" s="16">
        <f>(((D6*0.00314)*0.5)*'Технический лист'!$I$11)+310+(((D7*0.00314)*0.5)*'Технический лист'!$I$11)*4.6</f>
        <v>1486.3193599999997</v>
      </c>
      <c r="E10" s="16">
        <f>(((E6*0.00314)*0.5)*'Технический лист'!$I$11)+310+(((E7*0.00314)*0.5)*'Технический лист'!$I$11)*4.6</f>
        <v>1516.1535466666664</v>
      </c>
      <c r="F10" s="16">
        <f>(((F6*0.00314)*0.5)*'Технический лист'!$I$11)+310+(((F7*0.00314)*0.5)*'Технический лист'!$I$11)*4.6</f>
        <v>1545.9877333333332</v>
      </c>
      <c r="G10" s="16">
        <f>(((G6*0.00314)*0.5)*'Технический лист'!$I$11)+310+(((G7*0.00314)*0.5)*'Технический лист'!$I$11)*4.6</f>
        <v>1575.8219199999996</v>
      </c>
      <c r="H10" s="16">
        <f>(((H6*0.00314)*0.5)*'Технический лист'!$I$11)+310+(((H7*0.00314)*0.5)*'Технический лист'!$I$11)*4.6</f>
        <v>1635.4902933333333</v>
      </c>
      <c r="I10" s="16">
        <f>(((I6*0.00314)*0.5)*'Технический лист'!$I$11)+310+(((I7*0.00314)*0.5)*'Технический лист'!$I$11)*4.6</f>
        <v>1695.1586666666665</v>
      </c>
      <c r="J10" s="16">
        <f>(((J6*0.00314)*0.5)*'Технический лист'!$I$11)+310+(((J7*0.00314)*0.5)*'Технический лист'!$I$11)*4.6</f>
        <v>1754.8270399999997</v>
      </c>
      <c r="K10" s="16">
        <f>(((K6*0.00314)*0.5)*'Технический лист'!$I$11)+310+(((K7*0.00314)*0.5)*'Технический лист'!$I$11)*4.6</f>
        <v>1874.1637866666665</v>
      </c>
      <c r="L10" s="16">
        <f>(((L6*0.00314)*0.5)*'Технический лист'!$I$11)+310+(((L7*0.00314)*0.5)*'Технический лист'!$I$11)*4.6</f>
        <v>1993.5005333333331</v>
      </c>
      <c r="M10" s="16">
        <f>(((M6*0.00314)*0.5)*'Технический лист'!$I$11)+310+(((M7*0.00314)*0.5)*'Технический лист'!$I$11)*4.6</f>
        <v>2112.8372799999997</v>
      </c>
      <c r="N10" s="16">
        <f>(((N6*0.00314)*0.5)*'Технический лист'!$I$11)+310+(((N7*0.00314)*0.5)*'Технический лист'!$I$11)*4.6</f>
        <v>2291.8423999999995</v>
      </c>
      <c r="O10" s="16">
        <f>(((O6*0.00314)*0.5)*'Технический лист'!$I$11)+310+(((O7*0.00314)*0.5)*'Технический лист'!$I$11)*4.6</f>
        <v>2351.5107733333334</v>
      </c>
      <c r="P10" s="16">
        <f>(((P6*0.00314)*0.5)*'Технический лист'!$I$11)+310+(((P7*0.00314)*0.5)*'Технический лист'!$I$11)*4.6</f>
        <v>2411.1791466666664</v>
      </c>
      <c r="Q10" s="16">
        <f>(((Q6*0.00314)*0.5)*'Технический лист'!$I$11)+310+(((Q7*0.00314)*0.5)*'Технический лист'!$I$11)*4.6</f>
        <v>2470.8475199999998</v>
      </c>
      <c r="R10" s="16">
        <f>(((R6*0.00314)*0.5)*'Технический лист'!$I$11)+310+(((R7*0.00314)*0.5)*'Технический лист'!$I$11)*4.6</f>
        <v>2530.5158933333332</v>
      </c>
      <c r="S10" s="16">
        <f>(((S6*0.00314)*0.5)*'Технический лист'!$I$11)+310+(((S7*0.00314)*0.5)*'Технический лист'!$I$11)*4.6</f>
        <v>2590.1842666666662</v>
      </c>
    </row>
    <row r="11" spans="1:19">
      <c r="A11" s="4" t="s">
        <v>96</v>
      </c>
      <c r="B11" s="9">
        <f>(B10*2)/3</f>
        <v>931.21119999999985</v>
      </c>
      <c r="C11" s="9">
        <f t="shared" ref="C11:S11" si="1">(C10*2)/3</f>
        <v>970.99011555555535</v>
      </c>
      <c r="D11" s="9">
        <f t="shared" si="1"/>
        <v>990.87957333333316</v>
      </c>
      <c r="E11" s="9">
        <f t="shared" si="1"/>
        <v>1010.769031111111</v>
      </c>
      <c r="F11" s="9">
        <f t="shared" si="1"/>
        <v>1030.6584888888888</v>
      </c>
      <c r="G11" s="9">
        <f t="shared" si="1"/>
        <v>1050.5479466666663</v>
      </c>
      <c r="H11" s="9">
        <f t="shared" si="1"/>
        <v>1090.3268622222222</v>
      </c>
      <c r="I11" s="9">
        <f t="shared" si="1"/>
        <v>1130.1057777777776</v>
      </c>
      <c r="J11" s="9">
        <f t="shared" si="1"/>
        <v>1169.8846933333332</v>
      </c>
      <c r="K11" s="9">
        <f t="shared" si="1"/>
        <v>1249.4425244444444</v>
      </c>
      <c r="L11" s="9">
        <f t="shared" si="1"/>
        <v>1329.0003555555554</v>
      </c>
      <c r="M11" s="9">
        <f t="shared" si="1"/>
        <v>1408.5581866666664</v>
      </c>
      <c r="N11" s="9">
        <f t="shared" si="1"/>
        <v>1527.894933333333</v>
      </c>
      <c r="O11" s="9">
        <f t="shared" si="1"/>
        <v>1567.6738488888889</v>
      </c>
      <c r="P11" s="9">
        <f t="shared" si="1"/>
        <v>1607.4527644444443</v>
      </c>
      <c r="Q11" s="9">
        <f t="shared" si="1"/>
        <v>1647.2316799999999</v>
      </c>
      <c r="R11" s="9">
        <f t="shared" si="1"/>
        <v>1687.0105955555555</v>
      </c>
      <c r="S11" s="9">
        <f t="shared" si="1"/>
        <v>1726.7895111111109</v>
      </c>
    </row>
    <row r="12" spans="1:19">
      <c r="A12" s="4" t="s">
        <v>6</v>
      </c>
      <c r="B12" s="16">
        <f>(((B6*0.00314)*0.22)*'Технический лист'!$M$11)+100+(((B7*0.00314)*0.21)*'Технический лист'!$O$11)+(((B6+30)*(B6+30)/1000000)*'Технический лист'!$E$19)*10</f>
        <v>780.71685333333335</v>
      </c>
      <c r="C12" s="16">
        <f>(((C6*0.00314)*0.22)*'Технический лист'!$M$11)+100+(((C7*0.00314)*0.21)*'Технический лист'!$O$11)+(((C6+30)*(C6+30)/1000000)*'Технический лист'!$E$19)*10</f>
        <v>866.92581066666662</v>
      </c>
      <c r="D12" s="16">
        <f>(((D6*0.00314)*0.22)*'Технический лист'!$M$11)+100+(((D7*0.00314)*0.21)*'Технический лист'!$O$11)+(((D6+30)*(D6+30)/1000000)*'Технический лист'!$E$19)*10</f>
        <v>911.90528933333326</v>
      </c>
      <c r="E12" s="16">
        <f>(((E6*0.00314)*0.22)*'Технический лист'!$M$11)+100+(((E7*0.00314)*0.21)*'Технический лист'!$O$11)+(((E6+30)*(E6+30)/1000000)*'Технический лист'!$E$19)*10</f>
        <v>958.13476800000001</v>
      </c>
      <c r="F12" s="16">
        <f>(((F6*0.00314)*0.22)*'Технический лист'!$M$11)+100+(((F7*0.00314)*0.21)*'Технический лист'!$O$11)+(((F6+30)*(F6+30)/1000000)*'Технический лист'!$E$19)*10</f>
        <v>1005.6142466666668</v>
      </c>
      <c r="G12" s="16">
        <f>(((G6*0.00314)*0.22)*'Технический лист'!$M$11)+100+(((G7*0.00314)*0.21)*'Технический лист'!$O$11)+(((G6+30)*(G6+30)/1000000)*'Технический лист'!$E$19)*10</f>
        <v>1054.3437253333334</v>
      </c>
      <c r="H12" s="16">
        <f>(((H6*0.00314)*0.22)*'Технический лист'!$M$11)+100+(((H7*0.00314)*0.21)*'Технический лист'!$O$11)+(((H6+30)*(H6+30)/1000000)*'Технический лист'!$E$19)*10</f>
        <v>1155.5526826666667</v>
      </c>
      <c r="I12" s="16">
        <f>(((I6*0.00314)*0.22)*'Технический лист'!$M$11)+100+(((I7*0.00314)*0.21)*'Технический лист'!$O$11)+(((I6+30)*(I6+30)/1000000)*'Технический лист'!$E$19)*10</f>
        <v>1261.7616400000002</v>
      </c>
      <c r="J12" s="16">
        <f>(((J6*0.00314)*0.22)*'Технический лист'!$M$11)+100+(((J7*0.00314)*0.21)*'Технический лист'!$O$11)+(((J6+30)*(J6+30)/1000000)*'Технический лист'!$E$19)*10</f>
        <v>1372.9705973333334</v>
      </c>
      <c r="K12" s="16">
        <f>(((K6*0.00314)*0.22)*'Технический лист'!$M$11)+100+(((K7*0.00314)*0.21)*'Технический лист'!$O$11)+(((K6+30)*(K6+30)/1000000)*'Технический лист'!$E$19)*10</f>
        <v>1610.388512</v>
      </c>
      <c r="L12" s="16">
        <f>(((L6*0.00314)*0.22)*'Технический лист'!$M$11)+100+(((L7*0.00314)*0.21)*'Технический лист'!$O$11)+(((L6+30)*(L6+30)/1000000)*'Технический лист'!$E$19)*10</f>
        <v>1867.8064266666665</v>
      </c>
      <c r="M12" s="16">
        <f>(((M6*0.00314)*0.22)*'Технический лист'!$M$11)+100+(((M7*0.00314)*0.21)*'Технический лист'!$O$11)+(((M6+30)*(M6+30)/1000000)*'Технический лист'!$E$19)*10</f>
        <v>2145.2243413333335</v>
      </c>
      <c r="N12" s="16">
        <f>(((N6*0.00314)*0.22)*'Технический лист'!$M$11)+100+(((N7*0.00314)*0.21)*'Технический лист'!$O$11)+(((N6+30)*(N6+30)/1000000)*'Технический лист'!$E$19)*10</f>
        <v>2598.8512133333334</v>
      </c>
      <c r="O12" s="16">
        <f>(((O6*0.00314)*0.22)*'Технический лист'!$M$11)+100+(((O7*0.00314)*0.21)*'Технический лист'!$O$11)+(((O6+30)*(O6+30)/1000000)*'Технический лист'!$E$19)*10</f>
        <v>2760.0601706666662</v>
      </c>
      <c r="P12" s="16">
        <f>(((P6*0.00314)*0.22)*'Технический лист'!$M$11)+100+(((P7*0.00314)*0.21)*'Технический лист'!$O$11)+(((P6+30)*(P6+30)/1000000)*'Технический лист'!$E$19)*10</f>
        <v>2926.2691279999999</v>
      </c>
      <c r="Q12" s="16">
        <f>(((Q6*0.00314)*0.22)*'Технический лист'!$M$11)+100+(((Q7*0.00314)*0.21)*'Технический лист'!$O$11)+(((Q6+30)*(Q6+30)/1000000)*'Технический лист'!$E$19)*10</f>
        <v>3097.4780853333332</v>
      </c>
      <c r="R12" s="16">
        <f>(((R6*0.00314)*0.22)*'Технический лист'!$M$11)+100+(((R7*0.00314)*0.21)*'Технический лист'!$O$11)+(((R6+30)*(R6+30)/1000000)*'Технический лист'!$E$19)*10</f>
        <v>3273.6870426666665</v>
      </c>
      <c r="S12" s="16">
        <f>(((S6*0.00314)*0.22)*'Технический лист'!$M$11)+100+(((S7*0.00314)*0.21)*'Технический лист'!$O$11)+(((S6+30)*(S6+30)/1000000)*'Технический лист'!$E$19)*10</f>
        <v>3454.8959999999997</v>
      </c>
    </row>
    <row r="13" spans="1:19">
      <c r="A13" s="4" t="s">
        <v>7</v>
      </c>
      <c r="B13" s="9">
        <f>B12*1.8</f>
        <v>1405.290336</v>
      </c>
      <c r="C13" s="9">
        <f t="shared" ref="C13:S13" si="2">C12*1.8</f>
        <v>1560.4664591999999</v>
      </c>
      <c r="D13" s="9">
        <f t="shared" si="2"/>
        <v>1641.4295207999999</v>
      </c>
      <c r="E13" s="9">
        <f t="shared" si="2"/>
        <v>1724.6425824</v>
      </c>
      <c r="F13" s="9">
        <f t="shared" si="2"/>
        <v>1810.1056440000002</v>
      </c>
      <c r="G13" s="9">
        <f t="shared" si="2"/>
        <v>1897.8187056000002</v>
      </c>
      <c r="H13" s="9">
        <f t="shared" si="2"/>
        <v>2079.9948288000001</v>
      </c>
      <c r="I13" s="9">
        <f t="shared" si="2"/>
        <v>2271.1709520000004</v>
      </c>
      <c r="J13" s="9">
        <f t="shared" si="2"/>
        <v>2471.3470752000003</v>
      </c>
      <c r="K13" s="9">
        <f t="shared" si="2"/>
        <v>2898.6993216000001</v>
      </c>
      <c r="L13" s="9">
        <f t="shared" si="2"/>
        <v>3362.0515679999999</v>
      </c>
      <c r="M13" s="9">
        <f t="shared" si="2"/>
        <v>3861.4038144000006</v>
      </c>
      <c r="N13" s="9">
        <f t="shared" si="2"/>
        <v>4677.9321840000002</v>
      </c>
      <c r="O13" s="9">
        <f t="shared" si="2"/>
        <v>4968.1083071999992</v>
      </c>
      <c r="P13" s="9">
        <f t="shared" si="2"/>
        <v>5267.2844304</v>
      </c>
      <c r="Q13" s="9">
        <f t="shared" si="2"/>
        <v>5575.4605535999999</v>
      </c>
      <c r="R13" s="9">
        <f t="shared" si="2"/>
        <v>5892.6366767999998</v>
      </c>
      <c r="S13" s="9">
        <f t="shared" si="2"/>
        <v>6218.8127999999997</v>
      </c>
    </row>
    <row r="14" spans="1:19">
      <c r="A14" s="4" t="s">
        <v>8</v>
      </c>
      <c r="B14" s="16">
        <f>(((B6*0.00314)*0.2)*'Технический лист'!$M$11)+50+(((B7*0.00314)*0.22)*'Технический лист'!$O$11)*4</f>
        <v>751.53461333333348</v>
      </c>
      <c r="C14" s="16">
        <f>(((C6*0.00314)*0.2)*'Технический лист'!$M$11)+50+(((C7*0.00314)*0.22)*'Технический лист'!$O$11)*4</f>
        <v>791.8823573333334</v>
      </c>
      <c r="D14" s="16">
        <f>(((D6*0.00314)*0.2)*'Технический лист'!$M$11)+50+(((D7*0.00314)*0.22)*'Технический лист'!$O$11)*4</f>
        <v>812.05622933333336</v>
      </c>
      <c r="E14" s="16">
        <f>(((E6*0.00314)*0.2)*'Технический лист'!$M$11)+50+(((E7*0.00314)*0.22)*'Технический лист'!$O$11)*4</f>
        <v>832.23010133333344</v>
      </c>
      <c r="F14" s="16">
        <f>(((F6*0.00314)*0.2)*'Технический лист'!$M$11)+50+(((F7*0.00314)*0.22)*'Технический лист'!$O$11)*4</f>
        <v>852.40397333333351</v>
      </c>
      <c r="G14" s="16">
        <f>(((G6*0.00314)*0.2)*'Технический лист'!$M$11)+50+(((G7*0.00314)*0.22)*'Технический лист'!$O$11)*4</f>
        <v>872.57784533333347</v>
      </c>
      <c r="H14" s="16">
        <f>(((H6*0.00314)*0.2)*'Технический лист'!$M$11)+50+(((H7*0.00314)*0.22)*'Технический лист'!$O$11)*4</f>
        <v>912.92558933333351</v>
      </c>
      <c r="I14" s="16">
        <f>(((I6*0.00314)*0.2)*'Технический лист'!$M$11)+50+(((I7*0.00314)*0.22)*'Технический лист'!$O$11)*4</f>
        <v>953.27333333333343</v>
      </c>
      <c r="J14" s="16">
        <f>(((J6*0.00314)*0.2)*'Технический лист'!$M$11)+50+(((J7*0.00314)*0.22)*'Технический лист'!$O$11)*4</f>
        <v>993.62107733333346</v>
      </c>
      <c r="K14" s="16">
        <f>(((K6*0.00314)*0.2)*'Технический лист'!$M$11)+50+(((K7*0.00314)*0.22)*'Технический лист'!$O$11)*4</f>
        <v>1074.3165653333333</v>
      </c>
      <c r="L14" s="16">
        <f>(((L6*0.00314)*0.2)*'Технический лист'!$M$11)+50+(((L7*0.00314)*0.22)*'Технический лист'!$O$11)*4</f>
        <v>1155.0120533333334</v>
      </c>
      <c r="M14" s="16">
        <f>(((M6*0.00314)*0.2)*'Технический лист'!$M$11)+50+(((M7*0.00314)*0.22)*'Технический лист'!$O$11)*4</f>
        <v>1235.7075413333332</v>
      </c>
      <c r="N14" s="16">
        <f>(((N6*0.00314)*0.2)*'Технический лист'!$M$11)+50+(((N7*0.00314)*0.22)*'Технический лист'!$O$11)*4</f>
        <v>1356.7507733333334</v>
      </c>
      <c r="O14" s="16">
        <f>(((O6*0.00314)*0.2)*'Технический лист'!$M$11)+50+(((O7*0.00314)*0.22)*'Технический лист'!$O$11)*4</f>
        <v>1397.0985173333333</v>
      </c>
      <c r="P14" s="16">
        <f>(((P6*0.00314)*0.2)*'Технический лист'!$M$11)+50+(((P7*0.00314)*0.22)*'Технический лист'!$O$11)*4</f>
        <v>1437.4462613333335</v>
      </c>
      <c r="Q14" s="16">
        <f>(((Q6*0.00314)*0.2)*'Технический лист'!$M$11)+50+(((Q7*0.00314)*0.22)*'Технический лист'!$O$11)*4</f>
        <v>1477.7940053333336</v>
      </c>
      <c r="R14" s="16">
        <f>(((R6*0.00314)*0.2)*'Технический лист'!$M$11)+50+(((R7*0.00314)*0.22)*'Технический лист'!$O$11)*4</f>
        <v>1518.1417493333333</v>
      </c>
      <c r="S14" s="16">
        <f>(((S6*0.00314)*0.2)*'Технический лист'!$M$11)+50+(((S7*0.00314)*0.22)*'Технический лист'!$O$11)*4</f>
        <v>1558.4894933333335</v>
      </c>
    </row>
    <row r="15" spans="1:19">
      <c r="A15" s="4" t="s">
        <v>9</v>
      </c>
      <c r="B15" s="9">
        <f>(((B6*0.00314)*((B6+545)/1000))*'Технический лист'!$K$11)+370+((B7*0.00314)*((B7+450)/1000))*'Технический лист'!$K$11*5.2</f>
        <v>1948.0153733333334</v>
      </c>
      <c r="C15" s="9">
        <f>(((C6*0.00314)*((C6+545)/1000))*'Технический лист'!$K$11)+370+((C7*0.00314)*((C7+450)/1000))*'Технический лист'!$K$11*5.2</f>
        <v>2059.4034402666666</v>
      </c>
      <c r="D15" s="9">
        <f>(((D6*0.00314)*((D6+545)/1000))*'Технический лист'!$K$11)+370+((D7*0.00314)*((D7+450)/1000))*'Технический лист'!$K$11*5.2</f>
        <v>2116.0883949333338</v>
      </c>
      <c r="E15" s="9">
        <f>(((E6*0.00314)*((E6+545)/1000))*'Технический лист'!$K$11)+370+((E7*0.00314)*((E7+450)/1000))*'Технический лист'!$K$11*5.2</f>
        <v>2173.4339637333333</v>
      </c>
      <c r="F15" s="9">
        <f>(((F6*0.00314)*((F6+545)/1000))*'Технический лист'!$K$11)+370+((F7*0.00314)*((F7+450)/1000))*'Технический лист'!$K$11*5.2</f>
        <v>2231.4401466666668</v>
      </c>
      <c r="G15" s="9">
        <f>(((G6*0.00314)*((G6+545)/1000))*'Технический лист'!$K$11)+370+((G7*0.00314)*((G7+450)/1000))*'Технический лист'!$K$11*5.2</f>
        <v>2290.1069437333335</v>
      </c>
      <c r="H15" s="9">
        <f>(((H6*0.00314)*((H6+545)/1000))*'Технический лист'!$K$11)+370+((H7*0.00314)*((H7+450)/1000))*'Технический лист'!$K$11*5.2</f>
        <v>2409.4223802666666</v>
      </c>
      <c r="I15" s="9">
        <f>(((I6*0.00314)*((I6+545)/1000))*'Технический лист'!$K$11)+370+((I7*0.00314)*((I7+450)/1000))*'Технический лист'!$K$11*5.2</f>
        <v>2531.3802733333332</v>
      </c>
      <c r="J15" s="9">
        <f>(((J6*0.00314)*((J6+545)/1000))*'Технический лист'!$K$11)+370+((J7*0.00314)*((J7+450)/1000))*'Технический лист'!$K$11*5.2</f>
        <v>2655.9806229333331</v>
      </c>
      <c r="K15" s="9">
        <f>(((K6*0.00314)*((K6+545)/1000))*'Технический лист'!$K$11)+370+((K7*0.00314)*((K7+450)/1000))*'Технический лист'!$K$11*5.2</f>
        <v>2913.1086917333332</v>
      </c>
      <c r="L15" s="9">
        <f>(((L6*0.00314)*((L6+545)/1000))*'Технический лист'!$K$11)+370+((L7*0.00314)*((L7+450)/1000))*'Технический лист'!$K$11*5.2</f>
        <v>3180.8065866666666</v>
      </c>
      <c r="M15" s="9">
        <f>(((M6*0.00314)*((M6+545)/1000))*'Технический лист'!$K$11)+370+((M7*0.00314)*((M7+450)/1000))*'Технический лист'!$K$11*5.2</f>
        <v>3459.0743077333327</v>
      </c>
      <c r="N15" s="9">
        <f>(((N6*0.00314)*((N6+545)/1000))*'Технический лист'!$K$11)+370+((N7*0.00314)*((N7+450)/1000))*'Технический лист'!$K$11*5.2</f>
        <v>3896.2943133333333</v>
      </c>
      <c r="O15" s="9">
        <f>(((O6*0.00314)*((O6+545)/1000))*'Технический лист'!$K$11)+370+((O7*0.00314)*((O7+450)/1000))*'Технический лист'!$K$11*5.2</f>
        <v>4047.3192282666669</v>
      </c>
      <c r="P15" s="9">
        <f>(((P6*0.00314)*((P6+545)/1000))*'Технический лист'!$K$11)+370+((P7*0.00314)*((P7+450)/1000))*'Технический лист'!$K$11*5.2</f>
        <v>4200.9865997333327</v>
      </c>
      <c r="Q15" s="9">
        <f>(((Q6*0.00314)*((Q6+545)/1000))*'Технический лист'!$K$11)+370+((Q7*0.00314)*((Q7+450)/1000))*'Технический лист'!$K$11*5.2</f>
        <v>4357.2964277333331</v>
      </c>
      <c r="R15" s="9">
        <f>(((R6*0.00314)*((R6+545)/1000))*'Технический лист'!$K$11)+370+((R7*0.00314)*((R7+450)/1000))*'Технический лист'!$K$11*5.2</f>
        <v>4516.2487122666662</v>
      </c>
      <c r="S15" s="9">
        <f>(((S6*0.00314)*((S6+545)/1000))*'Технический лист'!$K$11)+370+((S7*0.00314)*((S7+450)/1000))*'Технический лист'!$K$11*5.2</f>
        <v>4677.8434533333329</v>
      </c>
    </row>
    <row r="16" spans="1:19" ht="0.75" hidden="1" customHeight="1">
      <c r="A16" s="4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>
      <c r="A17" s="4" t="s">
        <v>118</v>
      </c>
      <c r="B17" s="16">
        <v>1800</v>
      </c>
      <c r="C17" s="16">
        <v>1800</v>
      </c>
      <c r="D17" s="16">
        <v>1800</v>
      </c>
      <c r="E17" s="16">
        <v>1800</v>
      </c>
      <c r="F17" s="16">
        <v>1800</v>
      </c>
      <c r="G17" s="16">
        <v>1800</v>
      </c>
      <c r="H17" s="16">
        <v>1800</v>
      </c>
      <c r="I17" s="16">
        <v>1800</v>
      </c>
      <c r="J17" s="16">
        <v>1800</v>
      </c>
      <c r="K17" s="16">
        <v>1800</v>
      </c>
      <c r="L17" s="16">
        <v>1800</v>
      </c>
      <c r="M17" s="16">
        <v>1800</v>
      </c>
      <c r="N17" s="16">
        <v>1800</v>
      </c>
      <c r="O17" s="16">
        <v>1800</v>
      </c>
      <c r="P17" s="16">
        <v>1800</v>
      </c>
      <c r="Q17" s="16">
        <v>1800</v>
      </c>
      <c r="R17" s="16">
        <v>1800</v>
      </c>
      <c r="S17" s="16">
        <v>1800</v>
      </c>
    </row>
    <row r="19" spans="1:19">
      <c r="A19" s="41" t="s">
        <v>123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19">
      <c r="A20" s="3" t="s">
        <v>0</v>
      </c>
      <c r="B20" s="10">
        <v>100</v>
      </c>
      <c r="C20" s="10">
        <v>110</v>
      </c>
      <c r="D20" s="10">
        <v>115</v>
      </c>
      <c r="E20" s="10">
        <v>120</v>
      </c>
      <c r="F20" s="10">
        <v>125</v>
      </c>
      <c r="G20" s="10">
        <v>130</v>
      </c>
      <c r="H20" s="10">
        <v>140</v>
      </c>
      <c r="I20" s="10">
        <v>150</v>
      </c>
      <c r="J20" s="10">
        <v>160</v>
      </c>
      <c r="K20" s="10">
        <v>180</v>
      </c>
      <c r="L20" s="10">
        <v>200</v>
      </c>
      <c r="M20" s="10">
        <v>220</v>
      </c>
      <c r="N20" s="10">
        <v>250</v>
      </c>
      <c r="O20" s="10">
        <v>260</v>
      </c>
      <c r="P20" s="10">
        <v>270</v>
      </c>
      <c r="Q20" s="10">
        <v>280</v>
      </c>
      <c r="R20" s="10">
        <v>290</v>
      </c>
      <c r="S20" s="10">
        <v>300</v>
      </c>
    </row>
    <row r="21" spans="1:19">
      <c r="A21" s="3" t="s">
        <v>1</v>
      </c>
      <c r="B21" s="10">
        <v>200</v>
      </c>
      <c r="C21" s="10">
        <v>210</v>
      </c>
      <c r="D21" s="10">
        <v>215</v>
      </c>
      <c r="E21" s="10">
        <v>220</v>
      </c>
      <c r="F21" s="10">
        <v>225</v>
      </c>
      <c r="G21" s="10">
        <v>230</v>
      </c>
      <c r="H21" s="10">
        <v>240</v>
      </c>
      <c r="I21" s="10">
        <v>250</v>
      </c>
      <c r="J21" s="10">
        <v>260</v>
      </c>
      <c r="K21" s="10">
        <v>280</v>
      </c>
      <c r="L21" s="10">
        <v>300</v>
      </c>
      <c r="M21" s="10">
        <v>320</v>
      </c>
      <c r="N21" s="10">
        <v>350</v>
      </c>
      <c r="O21" s="10">
        <v>360</v>
      </c>
      <c r="P21" s="10">
        <v>370</v>
      </c>
      <c r="Q21" s="10">
        <v>380</v>
      </c>
      <c r="R21" s="10">
        <v>390</v>
      </c>
      <c r="S21" s="10">
        <v>400</v>
      </c>
    </row>
    <row r="22" spans="1:19">
      <c r="A22" s="4" t="s">
        <v>4</v>
      </c>
      <c r="B22" s="16">
        <f>((B20*0.00314)*'Технический лист'!$G$11)+310+((B21*0.00314)*'Технический лист'!$G$5)*3.1</f>
        <v>2632.6161333333334</v>
      </c>
      <c r="C22" s="16">
        <f>((C20*0.00314)*'Технический лист'!$G$11)+310+((C21*0.00314)*'Технический лист'!$G$5)*3.1</f>
        <v>2754.2995066666667</v>
      </c>
      <c r="D22" s="16">
        <f>((D20*0.00314)*'Технический лист'!$G$11)+310+((D21*0.00314)*'Технический лист'!$G$5)*3.1</f>
        <v>2815.1411933333338</v>
      </c>
      <c r="E22" s="16">
        <f>((E20*0.00314)*'Технический лист'!$G$11)+310+((E21*0.00314)*'Технический лист'!$G$5)*3.1</f>
        <v>2875.9828799999996</v>
      </c>
      <c r="F22" s="16">
        <f>((F20*0.00314)*'Технический лист'!$G$11)+310+((F21*0.00314)*'Технический лист'!$G$5)*3.1</f>
        <v>2936.8245666666667</v>
      </c>
      <c r="G22" s="16">
        <f>((G20*0.00314)*'Технический лист'!$G$11)+310+((G21*0.00314)*'Технический лист'!$G$5)*3.1</f>
        <v>2997.6662533333333</v>
      </c>
      <c r="H22" s="16">
        <f>((H20*0.00314)*'Технический лист'!$G$11)+310+((H21*0.00314)*'Технический лист'!$G$5)*3.1</f>
        <v>3119.3496266666671</v>
      </c>
      <c r="I22" s="16">
        <f>((I20*0.00314)*'Технический лист'!$G$11)+310+((I21*0.00314)*'Технический лист'!$G$5)*3.1</f>
        <v>3241.0330000000004</v>
      </c>
      <c r="J22" s="16">
        <f>((J20*0.00314)*'Технический лист'!$G$11)+310+((J21*0.00314)*'Технический лист'!$G$5)*3.1</f>
        <v>3362.7163733333332</v>
      </c>
      <c r="K22" s="16">
        <f>((K20*0.00314)*'Технический лист'!$G$11)+310+((K21*0.00314)*'Технический лист'!$G$5)*3.1</f>
        <v>3606.0831200000002</v>
      </c>
      <c r="L22" s="16">
        <f>((L20*0.00314)*'Технический лист'!$G$11)+310+((L21*0.00314)*'Технический лист'!$G$5)*3.1</f>
        <v>3849.4498666666664</v>
      </c>
      <c r="M22" s="16">
        <f>((M20*0.00314)*'Технический лист'!$G$11)+310+((M21*0.00314)*'Технический лист'!$G$5)*3.1</f>
        <v>4092.8166133333325</v>
      </c>
      <c r="N22" s="16">
        <f>((N20*0.00314)*'Технический лист'!$G$11)+310+((N21*0.00314)*'Технический лист'!$G$5)*3.1</f>
        <v>4457.8667333333333</v>
      </c>
      <c r="O22" s="16">
        <f>((O20*0.00314)*'Технический лист'!$G$11)+310+((O21*0.00314)*'Технический лист'!$G$5)*3.1</f>
        <v>4579.5501066666675</v>
      </c>
      <c r="P22" s="16">
        <f>((P20*0.00314)*'Технический лист'!$G$11)+310+((P21*0.00314)*'Технический лист'!$G$5)*3.1</f>
        <v>4701.2334799999999</v>
      </c>
      <c r="Q22" s="16">
        <f>((Q20*0.00314)*'Технический лист'!$G$11)+310+((Q21*0.00314)*'Технический лист'!$G$5)*3.1</f>
        <v>4822.9168533333341</v>
      </c>
      <c r="R22" s="16">
        <f>((R20*0.00314)*'Технический лист'!$G$11)+310+((R21*0.00314)*'Технический лист'!$G$5)*3.1</f>
        <v>4944.6002266666665</v>
      </c>
      <c r="S22" s="16">
        <f>((S20*0.00314)*'Технический лист'!$G$11)+310+((S21*0.00314)*'Технический лист'!$G$5)*3.1</f>
        <v>5066.2836000000007</v>
      </c>
    </row>
    <row r="23" spans="1:19">
      <c r="A23" s="4" t="s">
        <v>3</v>
      </c>
      <c r="B23" s="9">
        <f>(B22/2)*1.07</f>
        <v>1408.4496313333334</v>
      </c>
      <c r="C23" s="9">
        <f t="shared" ref="C23:S23" si="3">(C22/2)*1.07</f>
        <v>1473.5502360666667</v>
      </c>
      <c r="D23" s="9">
        <f t="shared" si="3"/>
        <v>1506.1005384333337</v>
      </c>
      <c r="E23" s="9">
        <f t="shared" si="3"/>
        <v>1538.6508408</v>
      </c>
      <c r="F23" s="9">
        <f t="shared" si="3"/>
        <v>1571.2011431666667</v>
      </c>
      <c r="G23" s="9">
        <f t="shared" si="3"/>
        <v>1603.7514455333335</v>
      </c>
      <c r="H23" s="9">
        <f t="shared" si="3"/>
        <v>1668.852050266667</v>
      </c>
      <c r="I23" s="9">
        <f t="shared" si="3"/>
        <v>1733.9526550000003</v>
      </c>
      <c r="J23" s="9">
        <f t="shared" si="3"/>
        <v>1799.0532597333333</v>
      </c>
      <c r="K23" s="9">
        <f t="shared" si="3"/>
        <v>1929.2544692000001</v>
      </c>
      <c r="L23" s="9">
        <f t="shared" si="3"/>
        <v>2059.4556786666667</v>
      </c>
      <c r="M23" s="9">
        <f t="shared" si="3"/>
        <v>2189.6568881333328</v>
      </c>
      <c r="N23" s="9">
        <f t="shared" si="3"/>
        <v>2384.9587023333333</v>
      </c>
      <c r="O23" s="9">
        <f t="shared" si="3"/>
        <v>2450.0593070666673</v>
      </c>
      <c r="P23" s="9">
        <f t="shared" si="3"/>
        <v>2515.1599117999999</v>
      </c>
      <c r="Q23" s="9">
        <f t="shared" si="3"/>
        <v>2580.2605165333339</v>
      </c>
      <c r="R23" s="9">
        <f t="shared" si="3"/>
        <v>2645.3611212666665</v>
      </c>
      <c r="S23" s="9">
        <f t="shared" si="3"/>
        <v>2710.4617260000005</v>
      </c>
    </row>
    <row r="24" spans="1:19">
      <c r="A24" s="4" t="s">
        <v>5</v>
      </c>
      <c r="B24" s="16">
        <f>(((B20*0.00314)*0.5)*'Технический лист'!$I$11)+310+(((B21*0.00314)*0.5)*'Технический лист'!$I$5)*3.8</f>
        <v>2547.6058666666663</v>
      </c>
      <c r="C24" s="16">
        <f>(((C20*0.00314)*0.5)*'Технический лист'!$I$11)+310+(((C21*0.00314)*0.5)*'Технический лист'!$I$5)*3.8</f>
        <v>2664.813693333333</v>
      </c>
      <c r="D24" s="16">
        <f>(((D20*0.00314)*0.5)*'Технический лист'!$I$11)+310+(((D21*0.00314)*0.5)*'Технический лист'!$I$5)*3.8</f>
        <v>2723.4176066666669</v>
      </c>
      <c r="E24" s="16">
        <f>(((E20*0.00314)*0.5)*'Технический лист'!$I$11)+310+(((E21*0.00314)*0.5)*'Технический лист'!$I$5)*3.8</f>
        <v>2782.0215199999998</v>
      </c>
      <c r="F24" s="16">
        <f>(((F20*0.00314)*0.5)*'Технический лист'!$I$11)+310+(((F21*0.00314)*0.5)*'Технический лист'!$I$5)*3.8</f>
        <v>2840.6254333333331</v>
      </c>
      <c r="G24" s="16">
        <f>(((G20*0.00314)*0.5)*'Технический лист'!$I$11)+310+(((G21*0.00314)*0.5)*'Технический лист'!$I$5)*3.8</f>
        <v>2899.2293466666661</v>
      </c>
      <c r="H24" s="16">
        <f>(((H20*0.00314)*0.5)*'Технический лист'!$I$11)+310+(((H21*0.00314)*0.5)*'Технический лист'!$I$5)*3.8</f>
        <v>3016.4371733333337</v>
      </c>
      <c r="I24" s="16">
        <f>(((I20*0.00314)*0.5)*'Технический лист'!$I$11)+310+(((I21*0.00314)*0.5)*'Технический лист'!$I$5)*3.8</f>
        <v>3133.645</v>
      </c>
      <c r="J24" s="16">
        <f>(((J20*0.00314)*0.5)*'Технический лист'!$I$11)+310+(((J21*0.00314)*0.5)*'Технический лист'!$I$5)*3.8</f>
        <v>3250.8528266666667</v>
      </c>
      <c r="K24" s="16">
        <f>(((K20*0.00314)*0.5)*'Технический лист'!$I$11)+310+(((K21*0.00314)*0.5)*'Технический лист'!$I$5)*3.8</f>
        <v>3485.2684799999997</v>
      </c>
      <c r="L24" s="16">
        <f>(((L20*0.00314)*0.5)*'Технический лист'!$I$11)+310+(((L21*0.00314)*0.5)*'Технический лист'!$I$5)*3.8</f>
        <v>3719.6841333333332</v>
      </c>
      <c r="M24" s="16">
        <f>(((M20*0.00314)*0.5)*'Технический лист'!$I$11)+310+(((M21*0.00314)*0.5)*'Технический лист'!$I$5)*3.8</f>
        <v>3954.0997866666667</v>
      </c>
      <c r="N24" s="16">
        <f>(((N20*0.00314)*0.5)*'Технический лист'!$I$11)+310+(((N21*0.00314)*0.5)*'Технический лист'!$I$5)*3.8</f>
        <v>4305.7232666666659</v>
      </c>
      <c r="O24" s="16">
        <f>(((O20*0.00314)*0.5)*'Технический лист'!$I$11)+310+(((O21*0.00314)*0.5)*'Технический лист'!$I$5)*3.8</f>
        <v>4422.9310933333327</v>
      </c>
      <c r="P24" s="16">
        <f>(((P20*0.00314)*0.5)*'Технический лист'!$I$11)+310+(((P21*0.00314)*0.5)*'Технический лист'!$I$5)*3.8</f>
        <v>4540.1389199999994</v>
      </c>
      <c r="Q24" s="16">
        <f>(((Q20*0.00314)*0.5)*'Технический лист'!$I$11)+310+(((Q21*0.00314)*0.5)*'Технический лист'!$I$5)*3.8</f>
        <v>4657.3467466666671</v>
      </c>
      <c r="R24" s="16">
        <f>(((R20*0.00314)*0.5)*'Технический лист'!$I$11)+310+(((R21*0.00314)*0.5)*'Технический лист'!$I$5)*3.8</f>
        <v>4774.5545733333329</v>
      </c>
      <c r="S24" s="16">
        <f>(((S20*0.00314)*0.5)*'Технический лист'!$I$11)+310+(((S21*0.00314)*0.5)*'Технический лист'!$I$5)*3.8</f>
        <v>4891.7623999999996</v>
      </c>
    </row>
    <row r="25" spans="1:19">
      <c r="A25" s="4" t="s">
        <v>96</v>
      </c>
      <c r="B25" s="9">
        <f>(B24*2)/3</f>
        <v>1698.4039111111108</v>
      </c>
      <c r="C25" s="9">
        <f t="shared" ref="C25:S25" si="4">(C24*2)/3</f>
        <v>1776.542462222222</v>
      </c>
      <c r="D25" s="9">
        <f t="shared" si="4"/>
        <v>1815.611737777778</v>
      </c>
      <c r="E25" s="9">
        <f t="shared" si="4"/>
        <v>1854.6810133333331</v>
      </c>
      <c r="F25" s="9">
        <f t="shared" si="4"/>
        <v>1893.7502888888887</v>
      </c>
      <c r="G25" s="9">
        <f t="shared" si="4"/>
        <v>1932.819564444444</v>
      </c>
      <c r="H25" s="9">
        <f t="shared" si="4"/>
        <v>2010.9581155555559</v>
      </c>
      <c r="I25" s="9">
        <f t="shared" si="4"/>
        <v>2089.0966666666668</v>
      </c>
      <c r="J25" s="9">
        <f t="shared" si="4"/>
        <v>2167.235217777778</v>
      </c>
      <c r="K25" s="9">
        <f t="shared" si="4"/>
        <v>2323.5123199999998</v>
      </c>
      <c r="L25" s="9">
        <f t="shared" si="4"/>
        <v>2479.7894222222221</v>
      </c>
      <c r="M25" s="9">
        <f t="shared" si="4"/>
        <v>2636.0665244444444</v>
      </c>
      <c r="N25" s="9">
        <f t="shared" si="4"/>
        <v>2870.4821777777775</v>
      </c>
      <c r="O25" s="9">
        <f t="shared" si="4"/>
        <v>2948.6207288888886</v>
      </c>
      <c r="P25" s="9">
        <f t="shared" si="4"/>
        <v>3026.7592799999998</v>
      </c>
      <c r="Q25" s="9">
        <f t="shared" si="4"/>
        <v>3104.8978311111114</v>
      </c>
      <c r="R25" s="9">
        <f t="shared" si="4"/>
        <v>3183.0363822222221</v>
      </c>
      <c r="S25" s="9">
        <f t="shared" si="4"/>
        <v>3261.1749333333332</v>
      </c>
    </row>
    <row r="26" spans="1:19">
      <c r="A26" s="4" t="s">
        <v>6</v>
      </c>
      <c r="B26" s="16">
        <f>(((B20*0.00314)*0.22)*'Технический лист'!$M$11)+100+(((B21*0.00314)*0.21)*'Технический лист'!$O$5)+(((B20+30)*(B20+30)/1000000)*'Технический лист'!$E$19)*12</f>
        <v>988.83237333333318</v>
      </c>
      <c r="C26" s="16">
        <f>(((C20*0.00314)*0.22)*'Технический лист'!$M$11)+100+(((C21*0.00314)*0.21)*'Технический лист'!$O$5)+(((C20+30)*(C20+30)/1000000)*'Технический лист'!$E$19)*12</f>
        <v>1094.7221066666666</v>
      </c>
      <c r="D26" s="16">
        <f>(((D20*0.00314)*0.22)*'Технический лист'!$M$11)+100+(((D21*0.00314)*0.21)*'Технический лист'!$O$5)+(((D20+30)*(D20+30)/1000000)*'Технический лист'!$E$19)*12</f>
        <v>1149.9169733333333</v>
      </c>
      <c r="E26" s="16">
        <f>(((E20*0.00314)*0.22)*'Технический лист'!$M$11)+100+(((E21*0.00314)*0.21)*'Технический лист'!$O$5)+(((E20+30)*(E20+30)/1000000)*'Технический лист'!$E$19)*12</f>
        <v>1206.61184</v>
      </c>
      <c r="F26" s="16">
        <f>(((F20*0.00314)*0.22)*'Технический лист'!$M$11)+100+(((F21*0.00314)*0.21)*'Технический лист'!$O$5)+(((F20+30)*(F20+30)/1000000)*'Технический лист'!$E$19)*12</f>
        <v>1264.8067066666667</v>
      </c>
      <c r="G26" s="16">
        <f>(((G20*0.00314)*0.22)*'Технический лист'!$M$11)+100+(((G21*0.00314)*0.21)*'Технический лист'!$O$5)+(((G20+30)*(G20+30)/1000000)*'Технический лист'!$E$19)*12</f>
        <v>1324.5015733333335</v>
      </c>
      <c r="H26" s="16">
        <f>(((H20*0.00314)*0.22)*'Технический лист'!$M$11)+100+(((H21*0.00314)*0.21)*'Технический лист'!$O$5)+(((H20+30)*(H20+30)/1000000)*'Технический лист'!$E$19)*12</f>
        <v>1448.3913066666667</v>
      </c>
      <c r="I26" s="16">
        <f>(((I20*0.00314)*0.22)*'Технический лист'!$M$11)+100+(((I21*0.00314)*0.21)*'Технический лист'!$O$5)+(((I20+30)*(I20+30)/1000000)*'Технический лист'!$E$19)*12</f>
        <v>1578.2810400000001</v>
      </c>
      <c r="J26" s="16">
        <f>(((J20*0.00314)*0.22)*'Технический лист'!$M$11)+100+(((J21*0.00314)*0.21)*'Технический лист'!$O$5)+(((J20+30)*(J20+30)/1000000)*'Технический лист'!$E$19)*12</f>
        <v>1714.1707733333333</v>
      </c>
      <c r="K26" s="16">
        <f>(((K20*0.00314)*0.22)*'Технический лист'!$M$11)+100+(((K21*0.00314)*0.21)*'Технический лист'!$O$5)+(((K20+30)*(K20+30)/1000000)*'Технический лист'!$E$19)*12</f>
        <v>2003.9502399999999</v>
      </c>
      <c r="L26" s="16">
        <f>(((L20*0.00314)*0.22)*'Технический лист'!$M$11)+100+(((L21*0.00314)*0.21)*'Технический лист'!$O$5)+(((L20+30)*(L20+30)/1000000)*'Технический лист'!$E$19)*12</f>
        <v>2317.7297066666665</v>
      </c>
      <c r="M26" s="16">
        <f>(((M20*0.00314)*0.22)*'Технический лист'!$M$11)+100+(((M21*0.00314)*0.21)*'Технический лист'!$O$5)+(((M20+30)*(M20+30)/1000000)*'Технический лист'!$E$19)*12</f>
        <v>2655.5091733333334</v>
      </c>
      <c r="N26" s="16">
        <f>(((N20*0.00314)*0.22)*'Технический лист'!$M$11)+100+(((N21*0.00314)*0.21)*'Технический лист'!$O$5)+(((N20+30)*(N20+30)/1000000)*'Технический лист'!$E$19)*12</f>
        <v>3207.1783733333332</v>
      </c>
      <c r="O26" s="16">
        <f>(((O20*0.00314)*0.22)*'Технический лист'!$M$11)+100+(((O21*0.00314)*0.21)*'Технический лист'!$O$5)+(((O20+30)*(O20+30)/1000000)*'Технический лист'!$E$19)*12</f>
        <v>3403.0681066666662</v>
      </c>
      <c r="P26" s="16">
        <f>(((P20*0.00314)*0.22)*'Технический лист'!$M$11)+100+(((P21*0.00314)*0.21)*'Технический лист'!$O$5)+(((P20+30)*(P20+30)/1000000)*'Технический лист'!$E$19)*12</f>
        <v>3604.95784</v>
      </c>
      <c r="Q26" s="16">
        <f>(((Q20*0.00314)*0.22)*'Технический лист'!$M$11)+100+(((Q21*0.00314)*0.21)*'Технический лист'!$O$5)+(((Q20+30)*(Q20+30)/1000000)*'Технический лист'!$E$19)*12</f>
        <v>3812.8475733333335</v>
      </c>
      <c r="R26" s="16">
        <f>(((R20*0.00314)*0.22)*'Технический лист'!$M$11)+100+(((R21*0.00314)*0.21)*'Технический лист'!$O$5)+(((R20+30)*(R20+30)/1000000)*'Технический лист'!$E$19)*12</f>
        <v>4026.7373066666664</v>
      </c>
      <c r="S26" s="16">
        <f>(((S20*0.00314)*0.22)*'Технический лист'!$M$11)+100+(((S21*0.00314)*0.21)*'Технический лист'!$O$5)+(((S20+30)*(S20+30)/1000000)*'Технический лист'!$E$19)*12</f>
        <v>4246.6270399999994</v>
      </c>
    </row>
    <row r="27" spans="1:19">
      <c r="A27" s="4" t="s">
        <v>7</v>
      </c>
      <c r="B27" s="9">
        <f>B26*1.8</f>
        <v>1779.8982719999997</v>
      </c>
      <c r="C27" s="9">
        <f t="shared" ref="C27:S27" si="5">C26*1.8</f>
        <v>1970.4997919999998</v>
      </c>
      <c r="D27" s="9">
        <f t="shared" si="5"/>
        <v>2069.8505519999999</v>
      </c>
      <c r="E27" s="9">
        <f t="shared" si="5"/>
        <v>2171.901312</v>
      </c>
      <c r="F27" s="9">
        <f t="shared" si="5"/>
        <v>2276.6520720000003</v>
      </c>
      <c r="G27" s="9">
        <f t="shared" si="5"/>
        <v>2384.1028320000005</v>
      </c>
      <c r="H27" s="9">
        <f t="shared" si="5"/>
        <v>2607.1043519999998</v>
      </c>
      <c r="I27" s="9">
        <f t="shared" si="5"/>
        <v>2840.9058720000003</v>
      </c>
      <c r="J27" s="9">
        <f t="shared" si="5"/>
        <v>3085.507392</v>
      </c>
      <c r="K27" s="9">
        <f t="shared" si="5"/>
        <v>3607.1104319999999</v>
      </c>
      <c r="L27" s="9">
        <f t="shared" si="5"/>
        <v>4171.9134720000002</v>
      </c>
      <c r="M27" s="9">
        <f t="shared" si="5"/>
        <v>4779.9165119999998</v>
      </c>
      <c r="N27" s="9">
        <f t="shared" si="5"/>
        <v>5772.9210720000001</v>
      </c>
      <c r="O27" s="9">
        <f t="shared" si="5"/>
        <v>6125.5225919999993</v>
      </c>
      <c r="P27" s="9">
        <f t="shared" si="5"/>
        <v>6488.9241120000006</v>
      </c>
      <c r="Q27" s="9">
        <f t="shared" si="5"/>
        <v>6863.1256320000002</v>
      </c>
      <c r="R27" s="9">
        <f t="shared" si="5"/>
        <v>7248.127152</v>
      </c>
      <c r="S27" s="9">
        <f t="shared" si="5"/>
        <v>7643.9286719999991</v>
      </c>
    </row>
    <row r="28" spans="1:19">
      <c r="A28" s="4" t="s">
        <v>8</v>
      </c>
      <c r="B28" s="16">
        <f>(((B20*0.00314)*0.2)*'Технический лист'!$M$11)+50+(((B21*0.00314)*0.22)*'Технический лист'!$O$5)*2.7</f>
        <v>907.45277866666675</v>
      </c>
      <c r="C28" s="16">
        <f>(((C20*0.00314)*0.2)*'Технический лист'!$M$11)+50+(((C21*0.00314)*0.22)*'Технический лист'!$O$5)*2.7</f>
        <v>955.59643093333341</v>
      </c>
      <c r="D28" s="16">
        <f>(((D20*0.00314)*0.2)*'Технический лист'!$M$11)+50+(((D21*0.00314)*0.22)*'Технический лист'!$O$5)*2.7</f>
        <v>979.6682570666668</v>
      </c>
      <c r="E28" s="16">
        <f>(((E20*0.00314)*0.2)*'Технический лист'!$M$11)+50+(((E21*0.00314)*0.22)*'Технический лист'!$O$5)*2.7</f>
        <v>1003.7400832000001</v>
      </c>
      <c r="F28" s="16">
        <f>(((F20*0.00314)*0.2)*'Технический лист'!$M$11)+50+(((F21*0.00314)*0.22)*'Технический лист'!$O$5)*2.7</f>
        <v>1027.8119093333335</v>
      </c>
      <c r="G28" s="16">
        <f>(((G20*0.00314)*0.2)*'Технический лист'!$M$11)+50+(((G21*0.00314)*0.22)*'Технический лист'!$O$5)*2.7</f>
        <v>1051.8837354666666</v>
      </c>
      <c r="H28" s="16">
        <f>(((H20*0.00314)*0.2)*'Технический лист'!$M$11)+50+(((H21*0.00314)*0.22)*'Технический лист'!$O$5)*2.7</f>
        <v>1100.0273877333336</v>
      </c>
      <c r="I28" s="16">
        <f>(((I20*0.00314)*0.2)*'Технический лист'!$M$11)+50+(((I21*0.00314)*0.22)*'Технический лист'!$O$5)*2.7</f>
        <v>1148.1710400000002</v>
      </c>
      <c r="J28" s="16">
        <f>(((J20*0.00314)*0.2)*'Технический лист'!$M$11)+50+(((J21*0.00314)*0.22)*'Технический лист'!$O$5)*2.7</f>
        <v>1196.314692266667</v>
      </c>
      <c r="K28" s="16">
        <f>(((K20*0.00314)*0.2)*'Технический лист'!$M$11)+50+(((K21*0.00314)*0.22)*'Технический лист'!$O$5)*2.7</f>
        <v>1292.6019968000001</v>
      </c>
      <c r="L28" s="16">
        <f>(((L20*0.00314)*0.2)*'Технический лист'!$M$11)+50+(((L21*0.00314)*0.22)*'Технический лист'!$O$5)*2.7</f>
        <v>1388.8893013333332</v>
      </c>
      <c r="M28" s="16">
        <f>(((M20*0.00314)*0.2)*'Технический лист'!$M$11)+50+(((M21*0.00314)*0.22)*'Технический лист'!$O$5)*2.7</f>
        <v>1485.1766058666667</v>
      </c>
      <c r="N28" s="16">
        <f>(((N20*0.00314)*0.2)*'Технический лист'!$M$11)+50+(((N21*0.00314)*0.22)*'Технический лист'!$O$5)*2.7</f>
        <v>1629.6075626666668</v>
      </c>
      <c r="O28" s="16">
        <f>(((O20*0.00314)*0.2)*'Технический лист'!$M$11)+50+(((O21*0.00314)*0.22)*'Технический лист'!$O$5)*2.7</f>
        <v>1677.7512149333338</v>
      </c>
      <c r="P28" s="16">
        <f>(((P20*0.00314)*0.2)*'Технический лист'!$M$11)+50+(((P21*0.00314)*0.22)*'Технический лист'!$O$5)*2.7</f>
        <v>1725.8948671999999</v>
      </c>
      <c r="Q28" s="16">
        <f>(((Q20*0.00314)*0.2)*'Технический лист'!$M$11)+50+(((Q21*0.00314)*0.22)*'Технический лист'!$O$5)*2.7</f>
        <v>1774.0385194666669</v>
      </c>
      <c r="R28" s="16">
        <f>(((R20*0.00314)*0.2)*'Технический лист'!$M$11)+50+(((R21*0.00314)*0.22)*'Технический лист'!$O$5)*2.7</f>
        <v>1822.1821717333335</v>
      </c>
      <c r="S28" s="16">
        <f>(((S20*0.00314)*0.2)*'Технический лист'!$M$11)+50+(((S21*0.00314)*0.22)*'Технический лист'!$O$5)*2.7</f>
        <v>1870.3258240000002</v>
      </c>
    </row>
    <row r="29" spans="1:19">
      <c r="A29" s="4" t="s">
        <v>9</v>
      </c>
      <c r="B29" s="9">
        <f>(((B20*0.00314)*((B20+545)/1000))*'Технический лист'!$K$11)+370+((B21*0.00314)*((B21+450)/1000))*'Технический лист'!$K$5*3.5</f>
        <v>3316.2745599999998</v>
      </c>
      <c r="C29" s="9">
        <f>(((C20*0.00314)*((C20+545)/1000))*'Технический лист'!$K$11)+370+((C21*0.00314)*((C21+450)/1000))*'Технический лист'!$K$5*3.5</f>
        <v>3518.1782346666669</v>
      </c>
      <c r="D29" s="9">
        <f>(((D20*0.00314)*((D20+545)/1000))*'Технический лист'!$K$11)+370+((D21*0.00314)*((D21+450)/1000))*'Технический лист'!$K$5*3.5</f>
        <v>3620.9103734999999</v>
      </c>
      <c r="E29" s="9">
        <f>(((E20*0.00314)*((E20+545)/1000))*'Технический лист'!$K$11)+370+((E21*0.00314)*((E21+450)/1000))*'Технический лист'!$K$5*3.5</f>
        <v>3724.8293800000001</v>
      </c>
      <c r="F29" s="9">
        <f>(((F20*0.00314)*((F20+545)/1000))*'Технический лист'!$K$11)+370+((F21*0.00314)*((F21+450)/1000))*'Технический лист'!$K$5*3.5</f>
        <v>3829.9352541666667</v>
      </c>
      <c r="G29" s="9">
        <f>(((G20*0.00314)*((G20+545)/1000))*'Технический лист'!$K$11)+370+((G21*0.00314)*((G21+450)/1000))*'Технический лист'!$K$5*3.5</f>
        <v>3936.2279960000001</v>
      </c>
      <c r="H29" s="9">
        <f>(((H20*0.00314)*((H20+545)/1000))*'Технический лист'!$K$11)+370+((H21*0.00314)*((H21+450)/1000))*'Технический лист'!$K$5*3.5</f>
        <v>4152.3740826666672</v>
      </c>
      <c r="I29" s="9">
        <f>(((I20*0.00314)*((I20+545)/1000))*'Технический лист'!$K$11)+370+((I21*0.00314)*((I21+450)/1000))*'Технический лист'!$K$5*3.5</f>
        <v>4373.26764</v>
      </c>
      <c r="J29" s="9">
        <f>(((J20*0.00314)*((J20+545)/1000))*'Технический лист'!$K$11)+370+((J21*0.00314)*((J21+450)/1000))*'Технический лист'!$K$5*3.5</f>
        <v>4598.908668</v>
      </c>
      <c r="K29" s="9">
        <f>(((K20*0.00314)*((K20+545)/1000))*'Технический лист'!$K$11)+370+((K21*0.00314)*((K21+450)/1000))*'Технический лист'!$K$5*3.5</f>
        <v>5064.4331359999996</v>
      </c>
      <c r="L29" s="9">
        <f>(((L20*0.00314)*((L20+545)/1000))*'Технический лист'!$K$11)+370+((L21*0.00314)*((L21+450)/1000))*'Технический лист'!$K$5*3.5</f>
        <v>5548.947486666666</v>
      </c>
      <c r="M29" s="9">
        <f>(((M20*0.00314)*((M20+545)/1000))*'Технический лист'!$K$11)+370+((M21*0.00314)*((M21+450)/1000))*'Технический лист'!$K$5*3.5</f>
        <v>6052.4517199999991</v>
      </c>
      <c r="N29" s="9">
        <f>(((N20*0.00314)*((N20+545)/1000))*'Технический лист'!$K$11)+370+((N21*0.00314)*((N21+450)/1000))*'Технический лист'!$K$5*3.5</f>
        <v>6843.3140999999996</v>
      </c>
      <c r="O29" s="9">
        <f>(((O20*0.00314)*((O20+545)/1000))*'Технический лист'!$K$11)+370+((O21*0.00314)*((O21+450)/1000))*'Технический лист'!$K$5*3.5</f>
        <v>7116.4298346666674</v>
      </c>
      <c r="P29" s="9">
        <f>(((P20*0.00314)*((P20+545)/1000))*'Технический лист'!$K$11)+370+((P21*0.00314)*((P21+450)/1000))*'Технический лист'!$K$5*3.5</f>
        <v>7394.2930399999996</v>
      </c>
      <c r="Q29" s="9">
        <f>(((Q20*0.00314)*((Q20+545)/1000))*'Технический лист'!$K$11)+370+((Q21*0.00314)*((Q21+450)/1000))*'Технический лист'!$K$5*3.5</f>
        <v>7676.9037159999998</v>
      </c>
      <c r="R29" s="9">
        <f>(((R20*0.00314)*((R20+545)/1000))*'Технический лист'!$K$11)+370+((R21*0.00314)*((R21+450)/1000))*'Технический лист'!$K$5*3.5</f>
        <v>7964.2618626666663</v>
      </c>
      <c r="S29" s="9">
        <f>(((S20*0.00314)*((S20+545)/1000))*'Технический лист'!$K$11)+370+((S21*0.00314)*((S21+450)/1000))*'Технический лист'!$K$5*3.5</f>
        <v>8256.367479999999</v>
      </c>
    </row>
    <row r="30" spans="1:19" hidden="1">
      <c r="A30" s="4" t="s">
        <v>8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>
      <c r="A31" s="4" t="s">
        <v>119</v>
      </c>
      <c r="B31" s="16">
        <v>2100</v>
      </c>
      <c r="C31" s="16">
        <v>2100</v>
      </c>
      <c r="D31" s="16">
        <v>2100</v>
      </c>
      <c r="E31" s="16">
        <v>2100</v>
      </c>
      <c r="F31" s="16">
        <v>2100</v>
      </c>
      <c r="G31" s="16">
        <v>2100</v>
      </c>
      <c r="H31" s="16">
        <v>2100</v>
      </c>
      <c r="I31" s="16">
        <v>2100</v>
      </c>
      <c r="J31" s="16">
        <v>2100</v>
      </c>
      <c r="K31" s="16">
        <v>2100</v>
      </c>
      <c r="L31" s="16">
        <v>2100</v>
      </c>
      <c r="M31" s="16">
        <v>2100</v>
      </c>
      <c r="N31" s="16">
        <v>2100</v>
      </c>
      <c r="O31" s="16">
        <v>2100</v>
      </c>
      <c r="P31" s="16">
        <v>2100</v>
      </c>
      <c r="Q31" s="16">
        <v>2100</v>
      </c>
      <c r="R31" s="16">
        <v>2100</v>
      </c>
      <c r="S31" s="16">
        <v>2100</v>
      </c>
    </row>
  </sheetData>
  <mergeCells count="6">
    <mergeCell ref="A19:N19"/>
    <mergeCell ref="A1:C1"/>
    <mergeCell ref="D1:O1"/>
    <mergeCell ref="D2:O2"/>
    <mergeCell ref="D3:O3"/>
    <mergeCell ref="A5:O5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S31"/>
  <sheetViews>
    <sheetView workbookViewId="0">
      <selection activeCell="B15" sqref="B15"/>
    </sheetView>
  </sheetViews>
  <sheetFormatPr defaultRowHeight="14.4"/>
  <cols>
    <col min="1" max="1" width="26.6640625" customWidth="1"/>
    <col min="2" max="19" width="6.33203125" customWidth="1"/>
  </cols>
  <sheetData>
    <row r="1" spans="1:19" ht="45" customHeight="1">
      <c r="A1" s="32"/>
      <c r="B1" s="32"/>
      <c r="C1" s="32"/>
      <c r="D1" s="40" t="s">
        <v>94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1"/>
      <c r="Q1" s="1"/>
    </row>
    <row r="2" spans="1:19" ht="15" customHeight="1">
      <c r="D2" s="34" t="s">
        <v>95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1"/>
    </row>
    <row r="3" spans="1:19" ht="15" customHeight="1">
      <c r="D3" s="34" t="s">
        <v>112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9" ht="2.25" customHeight="1"/>
    <row r="5" spans="1:19">
      <c r="A5" s="41" t="s">
        <v>126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1:19">
      <c r="A6" s="3" t="s">
        <v>0</v>
      </c>
      <c r="B6" s="10">
        <v>100</v>
      </c>
      <c r="C6" s="10">
        <v>110</v>
      </c>
      <c r="D6" s="10">
        <v>115</v>
      </c>
      <c r="E6" s="10">
        <v>120</v>
      </c>
      <c r="F6" s="10">
        <v>125</v>
      </c>
      <c r="G6" s="10">
        <v>130</v>
      </c>
      <c r="H6" s="10">
        <v>140</v>
      </c>
      <c r="I6" s="10">
        <v>150</v>
      </c>
      <c r="J6" s="10">
        <v>160</v>
      </c>
      <c r="K6" s="10">
        <v>180</v>
      </c>
      <c r="L6" s="10">
        <v>200</v>
      </c>
      <c r="M6" s="10">
        <v>220</v>
      </c>
      <c r="N6" s="10">
        <v>250</v>
      </c>
      <c r="O6" s="10">
        <v>260</v>
      </c>
      <c r="P6" s="10">
        <v>270</v>
      </c>
      <c r="Q6" s="10">
        <v>280</v>
      </c>
      <c r="R6" s="10">
        <v>290</v>
      </c>
      <c r="S6" s="10">
        <v>300</v>
      </c>
    </row>
    <row r="7" spans="1:19">
      <c r="A7" s="3" t="s">
        <v>1</v>
      </c>
      <c r="B7" s="10">
        <f>B6+100</f>
        <v>200</v>
      </c>
      <c r="C7" s="10">
        <f t="shared" ref="C7:S7" si="0">C6+100</f>
        <v>210</v>
      </c>
      <c r="D7" s="10">
        <f t="shared" si="0"/>
        <v>215</v>
      </c>
      <c r="E7" s="10">
        <f t="shared" si="0"/>
        <v>220</v>
      </c>
      <c r="F7" s="10">
        <f t="shared" si="0"/>
        <v>225</v>
      </c>
      <c r="G7" s="10">
        <f t="shared" si="0"/>
        <v>230</v>
      </c>
      <c r="H7" s="10">
        <f t="shared" si="0"/>
        <v>240</v>
      </c>
      <c r="I7" s="10">
        <f t="shared" si="0"/>
        <v>250</v>
      </c>
      <c r="J7" s="10">
        <f t="shared" si="0"/>
        <v>260</v>
      </c>
      <c r="K7" s="10">
        <f t="shared" si="0"/>
        <v>280</v>
      </c>
      <c r="L7" s="10">
        <f t="shared" si="0"/>
        <v>300</v>
      </c>
      <c r="M7" s="10">
        <f t="shared" si="0"/>
        <v>320</v>
      </c>
      <c r="N7" s="10">
        <f t="shared" si="0"/>
        <v>350</v>
      </c>
      <c r="O7" s="10">
        <f t="shared" si="0"/>
        <v>360</v>
      </c>
      <c r="P7" s="10">
        <f t="shared" si="0"/>
        <v>370</v>
      </c>
      <c r="Q7" s="10">
        <f t="shared" si="0"/>
        <v>380</v>
      </c>
      <c r="R7" s="10">
        <f t="shared" si="0"/>
        <v>390</v>
      </c>
      <c r="S7" s="10">
        <f t="shared" si="0"/>
        <v>400</v>
      </c>
    </row>
    <row r="8" spans="1:19">
      <c r="A8" s="4" t="s">
        <v>4</v>
      </c>
      <c r="B8" s="16">
        <f>(((B6*0.00314)*'Технический лист'!$G$10)+365+((B7*0.00314)*'Технический лист'!$G$11))*2.38</f>
        <v>3106.920164848485</v>
      </c>
      <c r="C8" s="16">
        <f>(((C6*0.00314)*'Технический лист'!$G$10)+365+((C7*0.00314)*'Технический лист'!$G$11))*2.38</f>
        <v>3304.3119639999995</v>
      </c>
      <c r="D8" s="16">
        <f>(((D6*0.00314)*'Технический лист'!$G$10)+365+((D7*0.00314)*'Технический лист'!$G$11))*2.38</f>
        <v>3403.0078635757568</v>
      </c>
      <c r="E8" s="16">
        <f>(((E6*0.00314)*'Технический лист'!$G$10)+365+((E7*0.00314)*'Технический лист'!$G$11))*2.38</f>
        <v>3501.703763151515</v>
      </c>
      <c r="F8" s="16">
        <f>(((F6*0.00314)*'Технический лист'!$G$10)+365+((F7*0.00314)*'Технический лист'!$G$11))*2.38</f>
        <v>3600.3996627272722</v>
      </c>
      <c r="G8" s="16">
        <f>(((G6*0.00314)*'Технический лист'!$G$10)+365+((G7*0.00314)*'Технический лист'!$G$11))*2.38</f>
        <v>3699.0955623030295</v>
      </c>
      <c r="H8" s="16">
        <f>(((H6*0.00314)*'Технический лист'!$G$10)+365+((H7*0.00314)*'Технический лист'!$G$11))*2.38</f>
        <v>3896.487361454545</v>
      </c>
      <c r="I8" s="16">
        <f>(((I6*0.00314)*'Технический лист'!$G$10)+365+((I7*0.00314)*'Технический лист'!$G$11))*2.38</f>
        <v>4093.8791606060604</v>
      </c>
      <c r="J8" s="16">
        <f>(((J6*0.00314)*'Технический лист'!$G$10)+365+((J7*0.00314)*'Технический лист'!$G$11))*2.38</f>
        <v>4291.2709597575749</v>
      </c>
      <c r="K8" s="16">
        <f>(((K6*0.00314)*'Технический лист'!$G$10)+365+((K7*0.00314)*'Технический лист'!$G$11))*2.38</f>
        <v>4686.0545580606058</v>
      </c>
      <c r="L8" s="16">
        <f>(((L6*0.00314)*'Технический лист'!$G$10)+365+((L7*0.00314)*'Технический лист'!$G$11))*2.38</f>
        <v>5080.8381563636358</v>
      </c>
      <c r="M8" s="16">
        <f>(((M6*0.00314)*'Технический лист'!$G$10)+365+((M7*0.00314)*'Технический лист'!$G$11))*2.38</f>
        <v>5475.6217546666658</v>
      </c>
      <c r="N8" s="16">
        <f>(((N6*0.00314)*'Технический лист'!$G$10)+365+((N7*0.00314)*'Технический лист'!$G$11))*2.38</f>
        <v>6067.7971521212112</v>
      </c>
      <c r="O8" s="16">
        <f>(((O6*0.00314)*'Технический лист'!$G$10)+365+((O7*0.00314)*'Технический лист'!$G$11))*2.38</f>
        <v>6265.1889512727257</v>
      </c>
      <c r="P8" s="16">
        <f>(((P6*0.00314)*'Технический лист'!$G$10)+365+((P7*0.00314)*'Технический лист'!$G$11))*2.38</f>
        <v>6462.5807504242412</v>
      </c>
      <c r="Q8" s="16">
        <f>(((Q6*0.00314)*'Технический лист'!$G$10)+365+((Q7*0.00314)*'Технический лист'!$G$11))*2.38</f>
        <v>6659.9725495757557</v>
      </c>
      <c r="R8" s="16">
        <f>(((R6*0.00314)*'Технический лист'!$G$10)+365+((R7*0.00314)*'Технический лист'!$G$11))*2.38</f>
        <v>6857.3643487272711</v>
      </c>
      <c r="S8" s="16">
        <f>(((S6*0.00314)*'Технический лист'!$G$10)+365+((S7*0.00314)*'Технический лист'!$G$11))*2.38</f>
        <v>7054.7561478787875</v>
      </c>
    </row>
    <row r="9" spans="1:19">
      <c r="A9" s="4" t="s">
        <v>3</v>
      </c>
      <c r="B9" s="9">
        <f>((B8/2)*1.07)-10</f>
        <v>1652.2022881939395</v>
      </c>
      <c r="C9" s="9">
        <f t="shared" ref="C9:S9" si="1">((C8/2)*1.07)-10</f>
        <v>1757.8069007399999</v>
      </c>
      <c r="D9" s="9">
        <f t="shared" si="1"/>
        <v>1810.6092070130301</v>
      </c>
      <c r="E9" s="9">
        <f t="shared" si="1"/>
        <v>1863.4115132860607</v>
      </c>
      <c r="F9" s="9">
        <f t="shared" si="1"/>
        <v>1916.2138195590908</v>
      </c>
      <c r="G9" s="9">
        <f t="shared" si="1"/>
        <v>1969.0161258321209</v>
      </c>
      <c r="H9" s="9">
        <f t="shared" si="1"/>
        <v>2074.6207383781816</v>
      </c>
      <c r="I9" s="9">
        <f t="shared" si="1"/>
        <v>2180.2253509242423</v>
      </c>
      <c r="J9" s="9">
        <f t="shared" si="1"/>
        <v>2285.8299634703026</v>
      </c>
      <c r="K9" s="9">
        <f t="shared" si="1"/>
        <v>2497.0391885624244</v>
      </c>
      <c r="L9" s="9">
        <f t="shared" si="1"/>
        <v>2708.2484136545454</v>
      </c>
      <c r="M9" s="9">
        <f t="shared" si="1"/>
        <v>2919.4576387466664</v>
      </c>
      <c r="N9" s="9">
        <f t="shared" si="1"/>
        <v>3236.271476384848</v>
      </c>
      <c r="O9" s="9">
        <f t="shared" si="1"/>
        <v>3341.8760889309083</v>
      </c>
      <c r="P9" s="9">
        <f t="shared" si="1"/>
        <v>3447.4807014769694</v>
      </c>
      <c r="Q9" s="9">
        <f t="shared" si="1"/>
        <v>3553.0853140230297</v>
      </c>
      <c r="R9" s="9">
        <f t="shared" si="1"/>
        <v>3658.6899265690904</v>
      </c>
      <c r="S9" s="9">
        <f t="shared" si="1"/>
        <v>3764.2945391151516</v>
      </c>
    </row>
    <row r="10" spans="1:19">
      <c r="A10" s="4" t="s">
        <v>5</v>
      </c>
      <c r="B10" s="16">
        <f>((((B6*0.00314)*0.5)*'Технический лист'!$I$10)+310+(((B7*0.00314)*0.5)*'Технический лист'!$I$11))*2.45</f>
        <v>2496.1930848484849</v>
      </c>
      <c r="C10" s="16">
        <f>((((C6*0.00314)*0.5)*'Технический лист'!$I$10)+310+(((C7*0.00314)*0.5)*'Технический лист'!$I$11))*2.45</f>
        <v>2643.7574799999998</v>
      </c>
      <c r="D10" s="16">
        <f>((((D6*0.00314)*0.5)*'Технический лист'!$I$10)+310+(((D7*0.00314)*0.5)*'Технический лист'!$I$11))*2.45</f>
        <v>2717.5396775757577</v>
      </c>
      <c r="E10" s="16">
        <f>((((E6*0.00314)*0.5)*'Технический лист'!$I$10)+310+(((E7*0.00314)*0.5)*'Технический лист'!$I$11))*2.45</f>
        <v>2791.3218751515155</v>
      </c>
      <c r="F10" s="16">
        <f>((((F6*0.00314)*0.5)*'Технический лист'!$I$10)+310+(((F7*0.00314)*0.5)*'Технический лист'!$I$11))*2.45</f>
        <v>2865.1040727272725</v>
      </c>
      <c r="G10" s="16">
        <f>((((G6*0.00314)*0.5)*'Технический лист'!$I$10)+310+(((G7*0.00314)*0.5)*'Технический лист'!$I$11))*2.45</f>
        <v>2938.8862703030304</v>
      </c>
      <c r="H10" s="16">
        <f>((((H6*0.00314)*0.5)*'Технический лист'!$I$10)+310+(((H7*0.00314)*0.5)*'Технический лист'!$I$11))*2.45</f>
        <v>3086.4506654545453</v>
      </c>
      <c r="I10" s="16">
        <f>((((I6*0.00314)*0.5)*'Технический лист'!$I$10)+310+(((I7*0.00314)*0.5)*'Технический лист'!$I$11))*2.45</f>
        <v>3234.0150606060611</v>
      </c>
      <c r="J10" s="16">
        <f>((((J6*0.00314)*0.5)*'Технический лист'!$I$10)+310+(((J7*0.00314)*0.5)*'Технический лист'!$I$11))*2.45</f>
        <v>3381.5794557575755</v>
      </c>
      <c r="K10" s="16">
        <f>((((K6*0.00314)*0.5)*'Технический лист'!$I$10)+310+(((K7*0.00314)*0.5)*'Технический лист'!$I$11))*2.45</f>
        <v>3676.7082460606066</v>
      </c>
      <c r="L10" s="16">
        <f>((((L6*0.00314)*0.5)*'Технический лист'!$I$10)+310+(((L7*0.00314)*0.5)*'Технический лист'!$I$11))*2.45</f>
        <v>3971.8370363636368</v>
      </c>
      <c r="M10" s="16">
        <f>((((M6*0.00314)*0.5)*'Технический лист'!$I$10)+310+(((M7*0.00314)*0.5)*'Технический лист'!$I$11))*2.45</f>
        <v>4266.9658266666665</v>
      </c>
      <c r="N10" s="16">
        <f>((((N6*0.00314)*0.5)*'Технический лист'!$I$10)+310+(((N7*0.00314)*0.5)*'Технический лист'!$I$11))*2.45</f>
        <v>4709.6590121212121</v>
      </c>
      <c r="O10" s="16">
        <f>((((O6*0.00314)*0.5)*'Технический лист'!$I$10)+310+(((O7*0.00314)*0.5)*'Технический лист'!$I$11))*2.45</f>
        <v>4857.2234072727279</v>
      </c>
      <c r="P10" s="16">
        <f>((((P6*0.00314)*0.5)*'Технический лист'!$I$10)+310+(((P7*0.00314)*0.5)*'Технический лист'!$I$11))*2.45</f>
        <v>5004.7878024242427</v>
      </c>
      <c r="Q10" s="16">
        <f>((((Q6*0.00314)*0.5)*'Технический лист'!$I$10)+310+(((Q7*0.00314)*0.5)*'Технический лист'!$I$11))*2.45</f>
        <v>5152.3521975757576</v>
      </c>
      <c r="R10" s="16">
        <f>((((R6*0.00314)*0.5)*'Технический лист'!$I$10)+310+(((R7*0.00314)*0.5)*'Технический лист'!$I$11))*2.45</f>
        <v>5299.9165927272725</v>
      </c>
      <c r="S10" s="16">
        <f>((((S6*0.00314)*0.5)*'Технический лист'!$I$10)+310+(((S7*0.00314)*0.5)*'Технический лист'!$I$11))*2.45</f>
        <v>5447.4809878787873</v>
      </c>
    </row>
    <row r="11" spans="1:19">
      <c r="A11" s="4" t="s">
        <v>96</v>
      </c>
      <c r="B11" s="9">
        <f>((B10*2)/3)-6</f>
        <v>1658.1287232323232</v>
      </c>
      <c r="C11" s="9">
        <f t="shared" ref="C11:S11" si="2">((C10*2)/3)-6</f>
        <v>1756.5049866666666</v>
      </c>
      <c r="D11" s="9">
        <f t="shared" si="2"/>
        <v>1805.6931183838385</v>
      </c>
      <c r="E11" s="9">
        <f t="shared" si="2"/>
        <v>1854.8812501010104</v>
      </c>
      <c r="F11" s="9">
        <f t="shared" si="2"/>
        <v>1904.0693818181817</v>
      </c>
      <c r="G11" s="9">
        <f t="shared" si="2"/>
        <v>1953.2575135353536</v>
      </c>
      <c r="H11" s="9">
        <f t="shared" si="2"/>
        <v>2051.633776969697</v>
      </c>
      <c r="I11" s="9">
        <f t="shared" si="2"/>
        <v>2150.0100404040409</v>
      </c>
      <c r="J11" s="9">
        <f t="shared" si="2"/>
        <v>2248.3863038383838</v>
      </c>
      <c r="K11" s="9">
        <f t="shared" si="2"/>
        <v>2445.1388307070711</v>
      </c>
      <c r="L11" s="9">
        <f t="shared" si="2"/>
        <v>2641.8913575757579</v>
      </c>
      <c r="M11" s="9">
        <f t="shared" si="2"/>
        <v>2838.6438844444442</v>
      </c>
      <c r="N11" s="9">
        <f t="shared" si="2"/>
        <v>3133.7726747474749</v>
      </c>
      <c r="O11" s="9">
        <f t="shared" si="2"/>
        <v>3232.1489381818187</v>
      </c>
      <c r="P11" s="9">
        <f t="shared" si="2"/>
        <v>3330.5252016161617</v>
      </c>
      <c r="Q11" s="9">
        <f t="shared" si="2"/>
        <v>3428.9014650505051</v>
      </c>
      <c r="R11" s="9">
        <f t="shared" si="2"/>
        <v>3527.2777284848485</v>
      </c>
      <c r="S11" s="9">
        <f t="shared" si="2"/>
        <v>3625.6539919191914</v>
      </c>
    </row>
    <row r="12" spans="1:19">
      <c r="A12" s="4" t="s">
        <v>6</v>
      </c>
      <c r="B12" s="16">
        <f>((((B6*0.00314)*0.22)*'Технический лист'!$M$10)+100+(((B7*0.00314)*0.21)*'Технический лист'!$O$11)+(((B6+30)*(B6+30)/1000000)*'Технический лист'!$E$20))*2.5</f>
        <v>1368.3206857142859</v>
      </c>
      <c r="C12" s="16">
        <f>((((C6*0.00314)*0.22)*'Технический лист'!$M$10)+100+(((C7*0.00314)*0.21)*'Технический лист'!$O$11)+(((C6+30)*(C6+30)/1000000)*'Технический лист'!$E$20))*2.5</f>
        <v>1472.4709342857141</v>
      </c>
      <c r="D12" s="16">
        <f>((((D6*0.00314)*0.22)*'Технический лист'!$M$10)+100+(((D7*0.00314)*0.21)*'Технический лист'!$O$11)+(((D6+30)*(D6+30)/1000000)*'Технический лист'!$E$20))*2.5</f>
        <v>1525.2960585714286</v>
      </c>
      <c r="E12" s="16">
        <f>((((E6*0.00314)*0.22)*'Технический лист'!$M$10)+100+(((E7*0.00314)*0.21)*'Технический лист'!$O$11)+(((E6+30)*(E6+30)/1000000)*'Технический лист'!$E$20))*2.5</f>
        <v>1578.6211828571431</v>
      </c>
      <c r="F12" s="16">
        <f>((((F6*0.00314)*0.22)*'Технический лист'!$M$10)+100+(((F7*0.00314)*0.21)*'Технический лист'!$O$11)+(((F6+30)*(F6+30)/1000000)*'Технический лист'!$E$20))*2.5</f>
        <v>1632.446307142857</v>
      </c>
      <c r="G12" s="16">
        <f>((((G6*0.00314)*0.22)*'Технический лист'!$M$10)+100+(((G7*0.00314)*0.21)*'Технический лист'!$O$11)+(((G6+30)*(G6+30)/1000000)*'Технический лист'!$E$20))*2.5</f>
        <v>1686.7714314285715</v>
      </c>
      <c r="H12" s="16">
        <f>((((H6*0.00314)*0.22)*'Технический лист'!$M$10)+100+(((H7*0.00314)*0.21)*'Технический лист'!$O$11)+(((H6+30)*(H6+30)/1000000)*'Технический лист'!$E$20))*2.5</f>
        <v>1796.9216800000002</v>
      </c>
      <c r="I12" s="16">
        <f>((((I6*0.00314)*0.22)*'Технический лист'!$M$10)+100+(((I7*0.00314)*0.21)*'Технический лист'!$O$11)+(((I6+30)*(I6+30)/1000000)*'Технический лист'!$E$20))*2.5</f>
        <v>1909.0719285714285</v>
      </c>
      <c r="J12" s="16">
        <f>((((J6*0.00314)*0.22)*'Технический лист'!$M$10)+100+(((J7*0.00314)*0.21)*'Технический лист'!$O$11)+(((J6+30)*(J6+30)/1000000)*'Технический лист'!$E$20))*2.5</f>
        <v>2023.2221771428569</v>
      </c>
      <c r="K12" s="16">
        <f>((((K6*0.00314)*0.22)*'Технический лист'!$M$10)+100+(((K7*0.00314)*0.21)*'Технический лист'!$O$11)+(((K6+30)*(K6+30)/1000000)*'Технический лист'!$E$20))*2.5</f>
        <v>2257.5226742857144</v>
      </c>
      <c r="L12" s="16">
        <f>((((L6*0.00314)*0.22)*'Технический лист'!$M$10)+100+(((L7*0.00314)*0.21)*'Технический лист'!$O$11)+(((L6+30)*(L6+30)/1000000)*'Технический лист'!$E$20))*2.5</f>
        <v>2499.8231714285712</v>
      </c>
      <c r="M12" s="16">
        <f>((((M6*0.00314)*0.22)*'Технический лист'!$M$10)+100+(((M7*0.00314)*0.21)*'Технический лист'!$O$11)+(((M6+30)*(M6+30)/1000000)*'Технический лист'!$E$20))*2.5</f>
        <v>2750.1236685714284</v>
      </c>
      <c r="N12" s="16">
        <f>((((N6*0.00314)*0.22)*'Технический лист'!$M$10)+100+(((N7*0.00314)*0.21)*'Технический лист'!$O$11)+(((N6+30)*(N6+30)/1000000)*'Технический лист'!$E$20))*2.5</f>
        <v>3140.5744142857138</v>
      </c>
      <c r="O12" s="16">
        <f>((((O6*0.00314)*0.22)*'Технический лист'!$M$10)+100+(((O7*0.00314)*0.21)*'Технический лист'!$O$11)+(((O6+30)*(O6+30)/1000000)*'Технический лист'!$E$20))*2.5</f>
        <v>3274.7246628571429</v>
      </c>
      <c r="P12" s="16">
        <f>((((P6*0.00314)*0.22)*'Технический лист'!$M$10)+100+(((P7*0.00314)*0.21)*'Технический лист'!$O$11)+(((P6+30)*(P6+30)/1000000)*'Технический лист'!$E$20))*2.5</f>
        <v>3410.8749114285711</v>
      </c>
      <c r="Q12" s="16">
        <f>((((Q6*0.00314)*0.22)*'Технический лист'!$M$10)+100+(((Q7*0.00314)*0.21)*'Технический лист'!$O$11)+(((Q6+30)*(Q6+30)/1000000)*'Технический лист'!$E$20))*2.5</f>
        <v>3549.0251600000001</v>
      </c>
      <c r="R12" s="16">
        <f>((((R6*0.00314)*0.22)*'Технический лист'!$M$10)+100+(((R7*0.00314)*0.21)*'Технический лист'!$O$11)+(((R6+30)*(R6+30)/1000000)*'Технический лист'!$E$20))*2.5</f>
        <v>3689.1754085714283</v>
      </c>
      <c r="S12" s="16">
        <f>((((S6*0.00314)*0.22)*'Технический лист'!$M$10)+100+(((S7*0.00314)*0.21)*'Технический лист'!$O$11)+(((S6+30)*(S6+30)/1000000)*'Технический лист'!$E$20))*2.5</f>
        <v>3831.3256571428565</v>
      </c>
    </row>
    <row r="13" spans="1:19">
      <c r="A13" s="4" t="s">
        <v>7</v>
      </c>
      <c r="B13" s="9">
        <f>(B12*2.2)+24</f>
        <v>3034.3055085714291</v>
      </c>
      <c r="C13" s="9">
        <f t="shared" ref="C13:S13" si="3">(C12*2.2)+24</f>
        <v>3263.4360554285713</v>
      </c>
      <c r="D13" s="9">
        <f t="shared" si="3"/>
        <v>3379.6513288571432</v>
      </c>
      <c r="E13" s="9">
        <f t="shared" si="3"/>
        <v>3496.966602285715</v>
      </c>
      <c r="F13" s="9">
        <f t="shared" si="3"/>
        <v>3615.3818757142858</v>
      </c>
      <c r="G13" s="9">
        <f t="shared" si="3"/>
        <v>3734.8971491428579</v>
      </c>
      <c r="H13" s="9">
        <f t="shared" si="3"/>
        <v>3977.2276960000008</v>
      </c>
      <c r="I13" s="9">
        <f t="shared" si="3"/>
        <v>4223.958242857143</v>
      </c>
      <c r="J13" s="9">
        <f t="shared" si="3"/>
        <v>4475.0887897142857</v>
      </c>
      <c r="K13" s="9">
        <f t="shared" si="3"/>
        <v>4990.5498834285718</v>
      </c>
      <c r="L13" s="9">
        <f t="shared" si="3"/>
        <v>5523.6109771428573</v>
      </c>
      <c r="M13" s="9">
        <f t="shared" si="3"/>
        <v>6074.2720708571433</v>
      </c>
      <c r="N13" s="9">
        <f t="shared" si="3"/>
        <v>6933.2637114285708</v>
      </c>
      <c r="O13" s="9">
        <f t="shared" si="3"/>
        <v>7228.3942582857153</v>
      </c>
      <c r="P13" s="9">
        <f t="shared" si="3"/>
        <v>7527.9248051428567</v>
      </c>
      <c r="Q13" s="9">
        <f t="shared" si="3"/>
        <v>7831.8553520000005</v>
      </c>
      <c r="R13" s="9">
        <f t="shared" si="3"/>
        <v>8140.185898857143</v>
      </c>
      <c r="S13" s="9">
        <f t="shared" si="3"/>
        <v>8452.9164457142851</v>
      </c>
    </row>
    <row r="14" spans="1:19">
      <c r="A14" s="4" t="s">
        <v>8</v>
      </c>
      <c r="B14" s="16">
        <f>((((B6*0.00314)*0.2)*'Технический лист'!$M$10)+50+(((B7*0.00314)*0.22)*'Технический лист'!$O$11))*2.5</f>
        <v>1037.2844536796538</v>
      </c>
      <c r="C14" s="16">
        <f>((((C6*0.00314)*0.2)*'Технический лист'!$M$10)+50+(((C7*0.00314)*0.22)*'Технический лист'!$O$11))*2.5</f>
        <v>1109.8843257142858</v>
      </c>
      <c r="D14" s="16">
        <f>((((D6*0.00314)*0.2)*'Технический лист'!$M$10)+50+(((D7*0.00314)*0.22)*'Технический лист'!$O$11))*2.5</f>
        <v>1146.1842617316017</v>
      </c>
      <c r="E14" s="16">
        <f>((((E6*0.00314)*0.2)*'Технический лист'!$M$10)+50+(((E7*0.00314)*0.22)*'Технический лист'!$O$11))*2.5</f>
        <v>1182.4841977489177</v>
      </c>
      <c r="F14" s="16">
        <f>((((F6*0.00314)*0.2)*'Технический лист'!$M$10)+50+(((F7*0.00314)*0.22)*'Технический лист'!$O$11))*2.5</f>
        <v>1218.7841337662339</v>
      </c>
      <c r="G14" s="16">
        <f>((((G6*0.00314)*0.2)*'Технический лист'!$M$10)+50+(((G7*0.00314)*0.22)*'Технический лист'!$O$11))*2.5</f>
        <v>1255.0840697835499</v>
      </c>
      <c r="H14" s="16">
        <f>((((H6*0.00314)*0.2)*'Технический лист'!$M$10)+50+(((H7*0.00314)*0.22)*'Технический лист'!$O$11))*2.5</f>
        <v>1327.6839418181817</v>
      </c>
      <c r="I14" s="16">
        <f>((((I6*0.00314)*0.2)*'Технический лист'!$M$10)+50+(((I7*0.00314)*0.22)*'Технический лист'!$O$11))*2.5</f>
        <v>1400.2838138528139</v>
      </c>
      <c r="J14" s="16">
        <f>((((J6*0.00314)*0.2)*'Технический лист'!$M$10)+50+(((J7*0.00314)*0.22)*'Технический лист'!$O$11))*2.5</f>
        <v>1472.8836858874458</v>
      </c>
      <c r="K14" s="16">
        <f>((((K6*0.00314)*0.2)*'Технический лист'!$M$10)+50+(((K7*0.00314)*0.22)*'Технический лист'!$O$11))*2.5</f>
        <v>1618.08342995671</v>
      </c>
      <c r="L14" s="16">
        <f>((((L6*0.00314)*0.2)*'Технический лист'!$M$10)+50+(((L7*0.00314)*0.22)*'Технический лист'!$O$11))*2.5</f>
        <v>1763.2831740259739</v>
      </c>
      <c r="M14" s="16">
        <f>((((M6*0.00314)*0.2)*'Технический лист'!$M$10)+50+(((M7*0.00314)*0.22)*'Технический лист'!$O$11))*2.5</f>
        <v>1908.4829180952379</v>
      </c>
      <c r="N14" s="16">
        <f>((((N6*0.00314)*0.2)*'Технический лист'!$M$10)+50+(((N7*0.00314)*0.22)*'Технический лист'!$O$11))*2.5</f>
        <v>2126.2825341991347</v>
      </c>
      <c r="O14" s="16">
        <f>((((O6*0.00314)*0.2)*'Технический лист'!$M$10)+50+(((O7*0.00314)*0.22)*'Технический лист'!$O$11))*2.5</f>
        <v>2198.8824062337662</v>
      </c>
      <c r="P14" s="16">
        <f>((((P6*0.00314)*0.2)*'Технический лист'!$M$10)+50+(((P7*0.00314)*0.22)*'Технический лист'!$O$11))*2.5</f>
        <v>2271.4822782683987</v>
      </c>
      <c r="Q14" s="16">
        <f>((((Q6*0.00314)*0.2)*'Технический лист'!$M$10)+50+(((Q7*0.00314)*0.22)*'Технический лист'!$O$11))*2.5</f>
        <v>2344.0821503030302</v>
      </c>
      <c r="R14" s="16">
        <f>((((R6*0.00314)*0.2)*'Технический лист'!$M$10)+50+(((R7*0.00314)*0.22)*'Технический лист'!$O$11))*2.5</f>
        <v>2416.6820223376626</v>
      </c>
      <c r="S14" s="16">
        <f>((((S6*0.00314)*0.2)*'Технический лист'!$M$10)+50+(((S7*0.00314)*0.22)*'Технический лист'!$O$11))*2.5</f>
        <v>2489.2818943722941</v>
      </c>
    </row>
    <row r="15" spans="1:19">
      <c r="A15" s="4" t="s">
        <v>9</v>
      </c>
      <c r="B15" s="9">
        <f>((((B6*0.00314)*((B6+545)/1000))*'Технический лист'!$K$10)+370+((B7*0.00314)*((B7+450)/1000))*'Технический лист'!$K$11)*2.54</f>
        <v>3293.5661499134198</v>
      </c>
      <c r="C15" s="9">
        <f>((((C6*0.00314)*((C6+545)/1000))*'Технический лист'!$K$10)+370+((C7*0.00314)*((C7+450)/1000))*'Технический лист'!$K$11)*2.54</f>
        <v>3533.2678948057146</v>
      </c>
      <c r="D15" s="9">
        <f>((((D6*0.00314)*((D6+545)/1000))*'Технический лист'!$K$10)+370+((D7*0.00314)*((D7+450)/1000))*'Технический лист'!$K$11)*2.54</f>
        <v>3655.4434526723803</v>
      </c>
      <c r="E15" s="9">
        <f>((((E6*0.00314)*((E6+545)/1000))*'Технический лист'!$K$10)+370+((E7*0.00314)*((E7+450)/1000))*'Технический лист'!$K$11)*2.54</f>
        <v>3779.1688008193942</v>
      </c>
      <c r="F15" s="9">
        <f>((((F6*0.00314)*((F6+545)/1000))*'Технический лист'!$K$10)+370+((F7*0.00314)*((F7+450)/1000))*'Технический лист'!$K$11)*2.54</f>
        <v>3904.443939246753</v>
      </c>
      <c r="G15" s="9">
        <f>((((G6*0.00314)*((G6+545)/1000))*'Технический лист'!$K$10)+370+((G7*0.00314)*((G7+450)/1000))*'Технический лист'!$K$11)*2.54</f>
        <v>4031.268867954459</v>
      </c>
      <c r="H15" s="9">
        <f>((((H6*0.00314)*((H6+545)/1000))*'Технический лист'!$K$10)+370+((H7*0.00314)*((H7+450)/1000))*'Технический лист'!$K$11)*2.54</f>
        <v>4289.5680962109091</v>
      </c>
      <c r="I15" s="9">
        <f>((((I6*0.00314)*((I6+545)/1000))*'Технический лист'!$K$10)+370+((I7*0.00314)*((I7+450)/1000))*'Технический лист'!$K$11)*2.54</f>
        <v>4554.0664855887444</v>
      </c>
      <c r="J15" s="9">
        <f>((((J6*0.00314)*((J6+545)/1000))*'Технический лист'!$K$10)+370+((J7*0.00314)*((J7+450)/1000))*'Технический лист'!$K$11)*2.54</f>
        <v>4824.7640360879641</v>
      </c>
      <c r="K15" s="9">
        <f>((((K6*0.00314)*((K6+545)/1000))*'Технический лист'!$K$10)+370+((K7*0.00314)*((K7+450)/1000))*'Технический лист'!$K$11)*2.54</f>
        <v>5384.7566204505629</v>
      </c>
      <c r="L15" s="9">
        <f>((((L6*0.00314)*((L6+545)/1000))*'Технический лист'!$K$10)+370+((L7*0.00314)*((L7+450)/1000))*'Технический лист'!$K$11)*2.54</f>
        <v>5969.5458492987009</v>
      </c>
      <c r="M15" s="9">
        <f>((((M6*0.00314)*((M6+545)/1000))*'Технический лист'!$K$10)+370+((M7*0.00314)*((M7+450)/1000))*'Технический лист'!$K$11)*2.54</f>
        <v>6579.1317226323799</v>
      </c>
      <c r="N15" s="9">
        <f>((((N6*0.00314)*((N6+545)/1000))*'Технический лист'!$K$10)+370+((N7*0.00314)*((N7+450)/1000))*'Технический лист'!$K$11)*2.54</f>
        <v>7540.0042410432898</v>
      </c>
      <c r="O15" s="9">
        <f>((((O6*0.00314)*((O6+545)/1000))*'Технический лист'!$K$10)+370+((O7*0.00314)*((O7+450)/1000))*'Технический лист'!$K$11)*2.54</f>
        <v>7872.6934027563639</v>
      </c>
      <c r="P15" s="9">
        <f>((((P6*0.00314)*((P6+545)/1000))*'Технический лист'!$K$10)+370+((P7*0.00314)*((P7+450)/1000))*'Технический лист'!$K$11)*2.54</f>
        <v>8211.5817255908205</v>
      </c>
      <c r="Q15" s="9">
        <f>((((Q6*0.00314)*((Q6+545)/1000))*'Технический лист'!$K$10)+370+((Q7*0.00314)*((Q7+450)/1000))*'Технический лист'!$K$11)*2.54</f>
        <v>8556.669209546666</v>
      </c>
      <c r="R15" s="9">
        <f>((((R6*0.00314)*((R6+545)/1000))*'Технический лист'!$K$10)+370+((R7*0.00314)*((R7+450)/1000))*'Технический лист'!$K$11)*2.54</f>
        <v>8907.955854623895</v>
      </c>
      <c r="S15" s="9">
        <f>((((S6*0.00314)*((S6+545)/1000))*'Технический лист'!$K$10)+370+((S7*0.00314)*((S7+450)/1000))*'Технический лист'!$K$11)*2.54</f>
        <v>9265.441660822511</v>
      </c>
    </row>
    <row r="16" spans="1:19" ht="0.75" hidden="1" customHeight="1">
      <c r="A16" s="4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>
      <c r="A17" s="4" t="s">
        <v>118</v>
      </c>
      <c r="B17" s="16">
        <v>1800</v>
      </c>
      <c r="C17" s="16">
        <v>1800</v>
      </c>
      <c r="D17" s="16">
        <v>1800</v>
      </c>
      <c r="E17" s="16">
        <v>1800</v>
      </c>
      <c r="F17" s="16">
        <v>1800</v>
      </c>
      <c r="G17" s="16">
        <v>1800</v>
      </c>
      <c r="H17" s="16">
        <v>1800</v>
      </c>
      <c r="I17" s="16">
        <v>1800</v>
      </c>
      <c r="J17" s="16">
        <v>1800</v>
      </c>
      <c r="K17" s="16">
        <v>1800</v>
      </c>
      <c r="L17" s="16">
        <v>1800</v>
      </c>
      <c r="M17" s="16">
        <v>1800</v>
      </c>
      <c r="N17" s="16">
        <v>1800</v>
      </c>
      <c r="O17" s="16">
        <v>1800</v>
      </c>
      <c r="P17" s="16">
        <v>1800</v>
      </c>
      <c r="Q17" s="16">
        <v>1800</v>
      </c>
      <c r="R17" s="16">
        <v>1800</v>
      </c>
      <c r="S17" s="16">
        <v>1800</v>
      </c>
    </row>
    <row r="19" spans="1:19">
      <c r="A19" s="41" t="s">
        <v>127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19">
      <c r="A20" s="3" t="s">
        <v>0</v>
      </c>
      <c r="B20" s="10">
        <v>100</v>
      </c>
      <c r="C20" s="10">
        <v>110</v>
      </c>
      <c r="D20" s="10">
        <v>115</v>
      </c>
      <c r="E20" s="10">
        <v>120</v>
      </c>
      <c r="F20" s="10">
        <v>125</v>
      </c>
      <c r="G20" s="10">
        <v>130</v>
      </c>
      <c r="H20" s="10">
        <v>140</v>
      </c>
      <c r="I20" s="10">
        <v>150</v>
      </c>
      <c r="J20" s="10">
        <v>160</v>
      </c>
      <c r="K20" s="10">
        <v>180</v>
      </c>
      <c r="L20" s="10">
        <v>200</v>
      </c>
      <c r="M20" s="10">
        <v>220</v>
      </c>
      <c r="N20" s="10">
        <v>250</v>
      </c>
      <c r="O20" s="10">
        <v>260</v>
      </c>
      <c r="P20" s="10">
        <v>270</v>
      </c>
      <c r="Q20" s="10">
        <v>280</v>
      </c>
      <c r="R20" s="10">
        <v>290</v>
      </c>
      <c r="S20" s="10">
        <v>300</v>
      </c>
    </row>
    <row r="21" spans="1:19">
      <c r="A21" s="3" t="s">
        <v>1</v>
      </c>
      <c r="B21" s="10">
        <f>B20+100</f>
        <v>200</v>
      </c>
      <c r="C21" s="10">
        <f t="shared" ref="C21:S21" si="4">C20+100</f>
        <v>210</v>
      </c>
      <c r="D21" s="10">
        <f t="shared" si="4"/>
        <v>215</v>
      </c>
      <c r="E21" s="10">
        <f t="shared" si="4"/>
        <v>220</v>
      </c>
      <c r="F21" s="10">
        <f t="shared" si="4"/>
        <v>225</v>
      </c>
      <c r="G21" s="10">
        <f t="shared" si="4"/>
        <v>230</v>
      </c>
      <c r="H21" s="10">
        <f t="shared" si="4"/>
        <v>240</v>
      </c>
      <c r="I21" s="10">
        <f t="shared" si="4"/>
        <v>250</v>
      </c>
      <c r="J21" s="10">
        <f t="shared" si="4"/>
        <v>260</v>
      </c>
      <c r="K21" s="10">
        <f t="shared" si="4"/>
        <v>280</v>
      </c>
      <c r="L21" s="10">
        <f t="shared" si="4"/>
        <v>300</v>
      </c>
      <c r="M21" s="10">
        <f t="shared" si="4"/>
        <v>320</v>
      </c>
      <c r="N21" s="10">
        <f t="shared" si="4"/>
        <v>350</v>
      </c>
      <c r="O21" s="10">
        <f t="shared" si="4"/>
        <v>360</v>
      </c>
      <c r="P21" s="10">
        <f t="shared" si="4"/>
        <v>370</v>
      </c>
      <c r="Q21" s="10">
        <f t="shared" si="4"/>
        <v>380</v>
      </c>
      <c r="R21" s="10">
        <f t="shared" si="4"/>
        <v>390</v>
      </c>
      <c r="S21" s="10">
        <f t="shared" si="4"/>
        <v>400</v>
      </c>
    </row>
    <row r="22" spans="1:19">
      <c r="A22" s="4" t="s">
        <v>4</v>
      </c>
      <c r="B22" s="16">
        <f>(((B20*0.00314)*'Технический лист'!$G$10)+365+((B21*0.00314)*'Технический лист'!$G$5))*2.38</f>
        <v>4276.226858181818</v>
      </c>
      <c r="C22" s="16">
        <f>(((C20*0.00314)*'Технический лист'!$G$10)+365+((C21*0.00314)*'Технический лист'!$G$5))*2.38</f>
        <v>4532.0839919999999</v>
      </c>
      <c r="D22" s="16">
        <f>(((D20*0.00314)*'Технический лист'!$G$10)+365+((D21*0.00314)*'Технический лист'!$G$5))*2.38</f>
        <v>4660.0125589090903</v>
      </c>
      <c r="E22" s="16">
        <f>(((E20*0.00314)*'Технический лист'!$G$10)+365+((E21*0.00314)*'Технический лист'!$G$5))*2.38</f>
        <v>4787.9411258181817</v>
      </c>
      <c r="F22" s="16">
        <f>(((F20*0.00314)*'Технический лист'!$G$10)+365+((F21*0.00314)*'Технический лист'!$G$5))*2.38</f>
        <v>4915.8696927272731</v>
      </c>
      <c r="G22" s="16">
        <f>(((G20*0.00314)*'Технический лист'!$G$10)+365+((G21*0.00314)*'Технический лист'!$G$5))*2.38</f>
        <v>5043.7982596363627</v>
      </c>
      <c r="H22" s="16">
        <f>(((H20*0.00314)*'Технический лист'!$G$10)+365+((H21*0.00314)*'Технический лист'!$G$5))*2.38</f>
        <v>5299.6553934545454</v>
      </c>
      <c r="I22" s="16">
        <f>(((I20*0.00314)*'Технический лист'!$G$10)+365+((I21*0.00314)*'Технический лист'!$G$5))*2.38</f>
        <v>5555.5125272727273</v>
      </c>
      <c r="J22" s="16">
        <f>(((J20*0.00314)*'Технический лист'!$G$10)+365+((J21*0.00314)*'Технический лист'!$G$5))*2.38</f>
        <v>5811.3696610909083</v>
      </c>
      <c r="K22" s="16">
        <f>(((K20*0.00314)*'Технический лист'!$G$10)+365+((K21*0.00314)*'Технический лист'!$G$5))*2.38</f>
        <v>6323.083928727272</v>
      </c>
      <c r="L22" s="16">
        <f>(((L20*0.00314)*'Технический лист'!$G$10)+365+((L21*0.00314)*'Технический лист'!$G$5))*2.38</f>
        <v>6834.7981963636357</v>
      </c>
      <c r="M22" s="16">
        <f>(((M20*0.00314)*'Технический лист'!$G$10)+365+((M21*0.00314)*'Технический лист'!$G$5))*2.38</f>
        <v>7346.5124639999985</v>
      </c>
      <c r="N22" s="16">
        <f>(((N20*0.00314)*'Технический лист'!$G$10)+365+((N21*0.00314)*'Технический лист'!$G$5))*2.38</f>
        <v>8114.083865454545</v>
      </c>
      <c r="O22" s="16">
        <f>(((O20*0.00314)*'Технический лист'!$G$10)+365+((O21*0.00314)*'Технический лист'!$G$5))*2.38</f>
        <v>8369.9409992727251</v>
      </c>
      <c r="P22" s="16">
        <f>(((P20*0.00314)*'Технический лист'!$G$10)+365+((P21*0.00314)*'Технический лист'!$G$5))*2.38</f>
        <v>8625.7981330909079</v>
      </c>
      <c r="Q22" s="16">
        <f>(((Q20*0.00314)*'Технический лист'!$G$10)+365+((Q21*0.00314)*'Технический лист'!$G$5))*2.38</f>
        <v>8881.6552669090888</v>
      </c>
      <c r="R22" s="16">
        <f>(((R20*0.00314)*'Технический лист'!$G$10)+365+((R21*0.00314)*'Технический лист'!$G$5))*2.38</f>
        <v>9137.5124007272716</v>
      </c>
      <c r="S22" s="16">
        <f>(((S20*0.00314)*'Технический лист'!$G$10)+365+((S21*0.00314)*'Технический лист'!$G$5))*2.38</f>
        <v>9393.3695345454526</v>
      </c>
    </row>
    <row r="23" spans="1:19">
      <c r="A23" s="4" t="s">
        <v>3</v>
      </c>
      <c r="B23" s="9">
        <f>((B22/2)*1.07)-10</f>
        <v>2277.7813691272727</v>
      </c>
      <c r="C23" s="9">
        <f t="shared" ref="C23:S23" si="5">((C22/2)*1.07)-10</f>
        <v>2414.6649357199999</v>
      </c>
      <c r="D23" s="9">
        <f t="shared" si="5"/>
        <v>2483.1067190163635</v>
      </c>
      <c r="E23" s="9">
        <f t="shared" si="5"/>
        <v>2551.5485023127276</v>
      </c>
      <c r="F23" s="9">
        <f t="shared" si="5"/>
        <v>2619.9902856090912</v>
      </c>
      <c r="G23" s="9">
        <f t="shared" si="5"/>
        <v>2688.4320689054543</v>
      </c>
      <c r="H23" s="9">
        <f t="shared" si="5"/>
        <v>2825.315635498182</v>
      </c>
      <c r="I23" s="9">
        <f t="shared" si="5"/>
        <v>2962.1992020909092</v>
      </c>
      <c r="J23" s="9">
        <f t="shared" si="5"/>
        <v>3099.082768683636</v>
      </c>
      <c r="K23" s="9">
        <f t="shared" si="5"/>
        <v>3372.8499018690909</v>
      </c>
      <c r="L23" s="9">
        <f t="shared" si="5"/>
        <v>3646.6170350545453</v>
      </c>
      <c r="M23" s="9">
        <f t="shared" si="5"/>
        <v>3920.3841682399993</v>
      </c>
      <c r="N23" s="9">
        <f t="shared" si="5"/>
        <v>4331.0348680181814</v>
      </c>
      <c r="O23" s="9">
        <f t="shared" si="5"/>
        <v>4467.9184346109078</v>
      </c>
      <c r="P23" s="9">
        <f t="shared" si="5"/>
        <v>4604.8020012036359</v>
      </c>
      <c r="Q23" s="9">
        <f t="shared" si="5"/>
        <v>4741.6855677963631</v>
      </c>
      <c r="R23" s="9">
        <f t="shared" si="5"/>
        <v>4878.5691343890903</v>
      </c>
      <c r="S23" s="9">
        <f t="shared" si="5"/>
        <v>5015.4527009818175</v>
      </c>
    </row>
    <row r="24" spans="1:19">
      <c r="A24" s="4" t="s">
        <v>5</v>
      </c>
      <c r="B24" s="16">
        <f>((((B20*0.00314)*0.5)*'Технический лист'!$I$10)+310+(((B21*0.00314)*0.5)*'Технический лист'!$I$5))*2.45</f>
        <v>3348.0646181818183</v>
      </c>
      <c r="C24" s="16">
        <f>((((C20*0.00314)*0.5)*'Технический лист'!$I$10)+310+(((C21*0.00314)*0.5)*'Технический лист'!$I$5))*2.45</f>
        <v>3538.2225900000003</v>
      </c>
      <c r="D24" s="16">
        <f>((((D20*0.00314)*0.5)*'Технический лист'!$I$10)+310+(((D21*0.00314)*0.5)*'Технический лист'!$I$5))*2.45</f>
        <v>3633.3015759090913</v>
      </c>
      <c r="E24" s="16">
        <f>((((E20*0.00314)*0.5)*'Технический лист'!$I$10)+310+(((E21*0.00314)*0.5)*'Технический лист'!$I$5))*2.45</f>
        <v>3728.3805618181823</v>
      </c>
      <c r="F24" s="16">
        <f>((((F20*0.00314)*0.5)*'Технический лист'!$I$10)+310+(((F21*0.00314)*0.5)*'Технический лист'!$I$5))*2.45</f>
        <v>3823.4595477272728</v>
      </c>
      <c r="G24" s="16">
        <f>((((G20*0.00314)*0.5)*'Технический лист'!$I$10)+310+(((G21*0.00314)*0.5)*'Технический лист'!$I$5))*2.45</f>
        <v>3918.5385336363638</v>
      </c>
      <c r="H24" s="16">
        <f>((((H20*0.00314)*0.5)*'Технический лист'!$I$10)+310+(((H21*0.00314)*0.5)*'Технический лист'!$I$5))*2.45</f>
        <v>4108.6965054545453</v>
      </c>
      <c r="I24" s="16">
        <f>((((I20*0.00314)*0.5)*'Технический лист'!$I$10)+310+(((I21*0.00314)*0.5)*'Технический лист'!$I$5))*2.45</f>
        <v>4298.8544772727273</v>
      </c>
      <c r="J24" s="16">
        <f>((((J20*0.00314)*0.5)*'Технический лист'!$I$10)+310+(((J21*0.00314)*0.5)*'Технический лист'!$I$5))*2.45</f>
        <v>4489.0124490909093</v>
      </c>
      <c r="K24" s="16">
        <f>((((K20*0.00314)*0.5)*'Технический лист'!$I$10)+310+(((K21*0.00314)*0.5)*'Технический лист'!$I$5))*2.45</f>
        <v>4869.3283927272732</v>
      </c>
      <c r="L24" s="16">
        <f>((((L20*0.00314)*0.5)*'Технический лист'!$I$10)+310+(((L21*0.00314)*0.5)*'Технический лист'!$I$5))*2.45</f>
        <v>5249.6443363636372</v>
      </c>
      <c r="M24" s="16">
        <f>((((M20*0.00314)*0.5)*'Технический лист'!$I$10)+310+(((M21*0.00314)*0.5)*'Технический лист'!$I$5))*2.45</f>
        <v>5629.9602800000011</v>
      </c>
      <c r="N24" s="16">
        <f>((((N20*0.00314)*0.5)*'Технический лист'!$I$10)+310+(((N21*0.00314)*0.5)*'Технический лист'!$I$5))*2.45</f>
        <v>6200.4341954545453</v>
      </c>
      <c r="O24" s="16">
        <f>((((O20*0.00314)*0.5)*'Технический лист'!$I$10)+310+(((O21*0.00314)*0.5)*'Технический лист'!$I$5))*2.45</f>
        <v>6390.5921672727281</v>
      </c>
      <c r="P24" s="16">
        <f>((((P20*0.00314)*0.5)*'Технический лист'!$I$10)+310+(((P21*0.00314)*0.5)*'Технический лист'!$I$5))*2.45</f>
        <v>6580.7501390909092</v>
      </c>
      <c r="Q24" s="16">
        <f>((((Q20*0.00314)*0.5)*'Технический лист'!$I$10)+310+(((Q21*0.00314)*0.5)*'Технический лист'!$I$5))*2.45</f>
        <v>6770.9081109090912</v>
      </c>
      <c r="R24" s="16">
        <f>((((R20*0.00314)*0.5)*'Технический лист'!$I$10)+310+(((R21*0.00314)*0.5)*'Технический лист'!$I$5))*2.45</f>
        <v>6961.0660827272723</v>
      </c>
      <c r="S24" s="16">
        <f>((((S20*0.00314)*0.5)*'Технический лист'!$I$10)+310+(((S21*0.00314)*0.5)*'Технический лист'!$I$5))*2.45</f>
        <v>7151.2240545454542</v>
      </c>
    </row>
    <row r="25" spans="1:19">
      <c r="A25" s="4" t="s">
        <v>96</v>
      </c>
      <c r="B25" s="9">
        <f>((B24*2)/3)-6</f>
        <v>2226.043078787879</v>
      </c>
      <c r="C25" s="9">
        <f t="shared" ref="C25:S25" si="6">((C24*2)/3)-6</f>
        <v>2352.8150600000004</v>
      </c>
      <c r="D25" s="9">
        <f t="shared" si="6"/>
        <v>2416.201050606061</v>
      </c>
      <c r="E25" s="9">
        <f t="shared" si="6"/>
        <v>2479.5870412121217</v>
      </c>
      <c r="F25" s="9">
        <f t="shared" si="6"/>
        <v>2542.9730318181819</v>
      </c>
      <c r="G25" s="9">
        <f t="shared" si="6"/>
        <v>2606.3590224242425</v>
      </c>
      <c r="H25" s="9">
        <f t="shared" si="6"/>
        <v>2733.1310036363634</v>
      </c>
      <c r="I25" s="9">
        <f t="shared" si="6"/>
        <v>2859.9029848484847</v>
      </c>
      <c r="J25" s="9">
        <f t="shared" si="6"/>
        <v>2986.674966060606</v>
      </c>
      <c r="K25" s="9">
        <f t="shared" si="6"/>
        <v>3240.2189284848487</v>
      </c>
      <c r="L25" s="9">
        <f t="shared" si="6"/>
        <v>3493.7628909090913</v>
      </c>
      <c r="M25" s="9">
        <f t="shared" si="6"/>
        <v>3747.3068533333339</v>
      </c>
      <c r="N25" s="9">
        <f t="shared" si="6"/>
        <v>4127.6227969696965</v>
      </c>
      <c r="O25" s="9">
        <f t="shared" si="6"/>
        <v>4254.3947781818188</v>
      </c>
      <c r="P25" s="9">
        <f t="shared" si="6"/>
        <v>4381.1667593939392</v>
      </c>
      <c r="Q25" s="9">
        <f t="shared" si="6"/>
        <v>4507.9387406060605</v>
      </c>
      <c r="R25" s="9">
        <f t="shared" si="6"/>
        <v>4634.7107218181818</v>
      </c>
      <c r="S25" s="9">
        <f t="shared" si="6"/>
        <v>4761.4827030303031</v>
      </c>
    </row>
    <row r="26" spans="1:19">
      <c r="A26" s="4" t="s">
        <v>6</v>
      </c>
      <c r="B26" s="16">
        <f>((((B20*0.00314)*0.22)*'Технический лист'!$M$10)+100+(((B21*0.00314)*0.21)*'Технический лист'!$O$5)+(((B20+30)*(B20+30)/1000000)*'Технический лист'!$E$20))*2.45</f>
        <v>1643.8122960000001</v>
      </c>
      <c r="C26" s="16">
        <f>((((C20*0.00314)*0.22)*'Технический лист'!$M$10)+100+(((C21*0.00314)*0.21)*'Технический лист'!$O$5)+(((C20+30)*(C20+30)/1000000)*'Технический лист'!$E$20))*2.45</f>
        <v>1761.0224407999999</v>
      </c>
      <c r="D26" s="16">
        <f>((((D20*0.00314)*0.22)*'Технический лист'!$M$10)+100+(((D21*0.00314)*0.21)*'Технический лист'!$O$5)+(((D20+30)*(D20+30)/1000000)*'Технический лист'!$E$20))*2.45</f>
        <v>1820.3625132000002</v>
      </c>
      <c r="E26" s="16">
        <f>((((E20*0.00314)*0.22)*'Технический лист'!$M$10)+100+(((E21*0.00314)*0.21)*'Технический лист'!$O$5)+(((E20+30)*(E20+30)/1000000)*'Технический лист'!$E$20))*2.45</f>
        <v>1880.1925856</v>
      </c>
      <c r="F26" s="16">
        <f>((((F20*0.00314)*0.22)*'Технический лист'!$M$10)+100+(((F21*0.00314)*0.21)*'Технический лист'!$O$5)+(((F20+30)*(F20+30)/1000000)*'Технический лист'!$E$20))*2.45</f>
        <v>1940.5126580000001</v>
      </c>
      <c r="G26" s="16">
        <f>((((G20*0.00314)*0.22)*'Технический лист'!$M$10)+100+(((G21*0.00314)*0.21)*'Технический лист'!$O$5)+(((G20+30)*(G20+30)/1000000)*'Технический лист'!$E$20))*2.45</f>
        <v>2001.3227304</v>
      </c>
      <c r="H26" s="16">
        <f>((((H20*0.00314)*0.22)*'Технический лист'!$M$10)+100+(((H21*0.00314)*0.21)*'Технический лист'!$O$5)+(((H20+30)*(H20+30)/1000000)*'Технический лист'!$E$20))*2.45</f>
        <v>2124.4128752000001</v>
      </c>
      <c r="I26" s="16">
        <f>((((I20*0.00314)*0.22)*'Технический лист'!$M$10)+100+(((I21*0.00314)*0.21)*'Технический лист'!$O$5)+(((I20+30)*(I20+30)/1000000)*'Технический лист'!$E$20))*2.45</f>
        <v>2249.4630200000001</v>
      </c>
      <c r="J26" s="16">
        <f>((((J20*0.00314)*0.22)*'Технический лист'!$M$10)+100+(((J21*0.00314)*0.21)*'Технический лист'!$O$5)+(((J20+30)*(J20+30)/1000000)*'Технический лист'!$E$20))*2.45</f>
        <v>2376.4731647999997</v>
      </c>
      <c r="K26" s="16">
        <f>((((K20*0.00314)*0.22)*'Технический лист'!$M$10)+100+(((K21*0.00314)*0.21)*'Технический лист'!$O$5)+(((K20+30)*(K20+30)/1000000)*'Технический лист'!$E$20))*2.45</f>
        <v>2636.3734544000004</v>
      </c>
      <c r="L26" s="16">
        <f>((((L20*0.00314)*0.22)*'Технический лист'!$M$10)+100+(((L21*0.00314)*0.21)*'Технический лист'!$O$5)+(((L20+30)*(L20+30)/1000000)*'Технический лист'!$E$20))*2.45</f>
        <v>2904.1137440000002</v>
      </c>
      <c r="M26" s="16">
        <f>((((M20*0.00314)*0.22)*'Технический лист'!$M$10)+100+(((M21*0.00314)*0.21)*'Технический лист'!$O$5)+(((M20+30)*(M20+30)/1000000)*'Технический лист'!$E$20))*2.45</f>
        <v>3179.6940335999998</v>
      </c>
      <c r="N26" s="16">
        <f>((((N20*0.00314)*0.22)*'Технический лист'!$M$10)+100+(((N21*0.00314)*0.21)*'Технический лист'!$O$5)+(((N20+30)*(N20+30)/1000000)*'Технический лист'!$E$20))*2.45</f>
        <v>3607.7644679999999</v>
      </c>
      <c r="O26" s="16">
        <f>((((O20*0.00314)*0.22)*'Технический лист'!$M$10)+100+(((O21*0.00314)*0.21)*'Технический лист'!$O$5)+(((O20+30)*(O20+30)/1000000)*'Технический лист'!$E$20))*2.45</f>
        <v>3754.3746128000002</v>
      </c>
      <c r="P26" s="16">
        <f>((((P20*0.00314)*0.22)*'Технический лист'!$M$10)+100+(((P21*0.00314)*0.21)*'Технический лист'!$O$5)+(((P20+30)*(P20+30)/1000000)*'Технический лист'!$E$20))*2.45</f>
        <v>3902.9447575999998</v>
      </c>
      <c r="Q26" s="16">
        <f>((((Q20*0.00314)*0.22)*'Технический лист'!$M$10)+100+(((Q21*0.00314)*0.21)*'Технический лист'!$O$5)+(((Q20+30)*(Q20+30)/1000000)*'Технический лист'!$E$20))*2.45</f>
        <v>4053.4749024000002</v>
      </c>
      <c r="R26" s="16">
        <f>((((R20*0.00314)*0.22)*'Технический лист'!$M$10)+100+(((R21*0.00314)*0.21)*'Технический лист'!$O$5)+(((R20+30)*(R20+30)/1000000)*'Технический лист'!$E$20))*2.45</f>
        <v>4205.9650471999994</v>
      </c>
      <c r="S26" s="16">
        <f>((((S20*0.00314)*0.22)*'Технический лист'!$M$10)+100+(((S21*0.00314)*0.21)*'Технический лист'!$O$5)+(((S20+30)*(S20+30)/1000000)*'Технический лист'!$E$20))*2.45</f>
        <v>4360.4151920000004</v>
      </c>
    </row>
    <row r="27" spans="1:19">
      <c r="A27" s="4" t="s">
        <v>7</v>
      </c>
      <c r="B27" s="9">
        <f>(B26*2.2)+24</f>
        <v>3640.3870512000003</v>
      </c>
      <c r="C27" s="9">
        <f t="shared" ref="C27:S27" si="7">(C26*2.2)+24</f>
        <v>3898.2493697600003</v>
      </c>
      <c r="D27" s="9">
        <f t="shared" si="7"/>
        <v>4028.7975290400009</v>
      </c>
      <c r="E27" s="9">
        <f t="shared" si="7"/>
        <v>4160.4236883200001</v>
      </c>
      <c r="F27" s="9">
        <f t="shared" si="7"/>
        <v>4293.1278476000007</v>
      </c>
      <c r="G27" s="9">
        <f t="shared" si="7"/>
        <v>4426.9100068799999</v>
      </c>
      <c r="H27" s="9">
        <f t="shared" si="7"/>
        <v>4697.7083254400004</v>
      </c>
      <c r="I27" s="9">
        <f t="shared" si="7"/>
        <v>4972.8186440000009</v>
      </c>
      <c r="J27" s="9">
        <f t="shared" si="7"/>
        <v>5252.2409625599994</v>
      </c>
      <c r="K27" s="9">
        <f t="shared" si="7"/>
        <v>5824.0215996800016</v>
      </c>
      <c r="L27" s="9">
        <f t="shared" si="7"/>
        <v>6413.0502368000007</v>
      </c>
      <c r="M27" s="9">
        <f t="shared" si="7"/>
        <v>7019.3268739200003</v>
      </c>
      <c r="N27" s="9">
        <f t="shared" si="7"/>
        <v>7961.0818296000007</v>
      </c>
      <c r="O27" s="9">
        <f t="shared" si="7"/>
        <v>8283.6241481600009</v>
      </c>
      <c r="P27" s="9">
        <f t="shared" si="7"/>
        <v>8610.4784667200001</v>
      </c>
      <c r="Q27" s="9">
        <f t="shared" si="7"/>
        <v>8941.6447852800011</v>
      </c>
      <c r="R27" s="9">
        <f t="shared" si="7"/>
        <v>9277.1231038400001</v>
      </c>
      <c r="S27" s="9">
        <f t="shared" si="7"/>
        <v>9616.9134224000009</v>
      </c>
    </row>
    <row r="28" spans="1:19">
      <c r="A28" s="4" t="s">
        <v>8</v>
      </c>
      <c r="B28" s="16">
        <f>((((B20*0.00314)*0.2)*'Технический лист'!$M$10)+50+(((B21*0.00314)*0.22)*'Технический лист'!$O$5))*2.5</f>
        <v>1361.0393870129872</v>
      </c>
      <c r="C28" s="16">
        <f>((((C20*0.00314)*0.2)*'Технический лист'!$M$10)+50+(((C21*0.00314)*0.22)*'Технический лист'!$O$5))*2.5</f>
        <v>1449.8270057142854</v>
      </c>
      <c r="D28" s="16">
        <f>((((D20*0.00314)*0.2)*'Технический лист'!$M$10)+50+(((D21*0.00314)*0.22)*'Технический лист'!$O$5))*2.5</f>
        <v>1494.2208150649349</v>
      </c>
      <c r="E28" s="16">
        <f>((((E20*0.00314)*0.2)*'Технический лист'!$M$10)+50+(((E21*0.00314)*0.22)*'Технический лист'!$O$5))*2.5</f>
        <v>1538.6146244155843</v>
      </c>
      <c r="F28" s="16">
        <f>((((F20*0.00314)*0.2)*'Технический лист'!$M$10)+50+(((F21*0.00314)*0.22)*'Технический лист'!$O$5))*2.5</f>
        <v>1583.0084337662338</v>
      </c>
      <c r="G28" s="16">
        <f>((((G20*0.00314)*0.2)*'Технический лист'!$M$10)+50+(((G21*0.00314)*0.22)*'Технический лист'!$O$5))*2.5</f>
        <v>1627.402243116883</v>
      </c>
      <c r="H28" s="16">
        <f>((((H20*0.00314)*0.2)*'Технический лист'!$M$10)+50+(((H21*0.00314)*0.22)*'Технический лист'!$O$5))*2.5</f>
        <v>1716.1898618181817</v>
      </c>
      <c r="I28" s="16">
        <f>((((I20*0.00314)*0.2)*'Технический лист'!$M$10)+50+(((I21*0.00314)*0.22)*'Технический лист'!$O$5))*2.5</f>
        <v>1804.9774805194807</v>
      </c>
      <c r="J28" s="16">
        <f>((((J20*0.00314)*0.2)*'Технический лист'!$M$10)+50+(((J21*0.00314)*0.22)*'Технический лист'!$O$5))*2.5</f>
        <v>1893.7650992207793</v>
      </c>
      <c r="K28" s="16">
        <f>((((K20*0.00314)*0.2)*'Технический лист'!$M$10)+50+(((K21*0.00314)*0.22)*'Технический лист'!$O$5))*2.5</f>
        <v>2071.3403366233765</v>
      </c>
      <c r="L28" s="16">
        <f>((((L20*0.00314)*0.2)*'Технический лист'!$M$10)+50+(((L21*0.00314)*0.22)*'Технический лист'!$O$5))*2.5</f>
        <v>2248.9155740259739</v>
      </c>
      <c r="M28" s="16">
        <f>((((M20*0.00314)*0.2)*'Технический лист'!$M$10)+50+(((M21*0.00314)*0.22)*'Технический лист'!$O$5))*2.5</f>
        <v>2426.4908114285713</v>
      </c>
      <c r="N28" s="16">
        <f>((((N20*0.00314)*0.2)*'Технический лист'!$M$10)+50+(((N21*0.00314)*0.22)*'Технический лист'!$O$5))*2.5</f>
        <v>2692.8536675324676</v>
      </c>
      <c r="O28" s="16">
        <f>((((O20*0.00314)*0.2)*'Технический лист'!$M$10)+50+(((O21*0.00314)*0.22)*'Технический лист'!$O$5))*2.5</f>
        <v>2781.6412862337666</v>
      </c>
      <c r="P28" s="16">
        <f>((((P20*0.00314)*0.2)*'Технический лист'!$M$10)+50+(((P21*0.00314)*0.22)*'Технический лист'!$O$5))*2.5</f>
        <v>2870.428904935065</v>
      </c>
      <c r="Q28" s="16">
        <f>((((Q20*0.00314)*0.2)*'Технический лист'!$M$10)+50+(((Q21*0.00314)*0.22)*'Технический лист'!$O$5))*2.5</f>
        <v>2959.2165236363635</v>
      </c>
      <c r="R28" s="16">
        <f>((((R20*0.00314)*0.2)*'Технический лист'!$M$10)+50+(((R21*0.00314)*0.22)*'Технический лист'!$O$5))*2.5</f>
        <v>3048.0041423376624</v>
      </c>
      <c r="S28" s="16">
        <f>((((S20*0.00314)*0.2)*'Технический лист'!$M$10)+50+(((S21*0.00314)*0.22)*'Технический лист'!$O$5))*2.5</f>
        <v>3136.7917610389613</v>
      </c>
    </row>
    <row r="29" spans="1:19">
      <c r="A29" s="4" t="s">
        <v>9</v>
      </c>
      <c r="B29" s="9">
        <f>((((B20*0.00314)*((B20+545)/1000))*'Технический лист'!$K$10)+370+((B21*0.00314)*((B21+450)/1000))*'Технический лист'!$K$5)*2.54</f>
        <v>4628.3093952467534</v>
      </c>
      <c r="C29" s="9">
        <f>((((C20*0.00314)*((C20+545)/1000))*'Технический лист'!$K$10)+370+((C21*0.00314)*((C21+450)/1000))*'Технический лист'!$K$5)*2.54</f>
        <v>4956.309539445715</v>
      </c>
      <c r="D29" s="9">
        <f>((((D20*0.00314)*((D20+545)/1000))*'Технический лист'!$K$10)+370+((D21*0.00314)*((D21+450)/1000))*'Технический лист'!$K$5)*2.54</f>
        <v>5123.4043411457142</v>
      </c>
      <c r="E29" s="9">
        <f>((((E20*0.00314)*((E20+545)/1000))*'Технический лист'!$K$10)+370+((E21*0.00314)*((E21+450)/1000))*'Технический лист'!$K$5)*2.54</f>
        <v>5292.5622959127277</v>
      </c>
      <c r="F29" s="9">
        <f>((((F20*0.00314)*((F20+545)/1000))*'Технический лист'!$K$10)+370+((F21*0.00314)*((F21+450)/1000))*'Технический лист'!$K$5)*2.54</f>
        <v>5463.7834037467528</v>
      </c>
      <c r="G29" s="9">
        <f>((((G20*0.00314)*((G20+545)/1000))*'Технический лист'!$K$10)+370+((G21*0.00314)*((G21+450)/1000))*'Технический лист'!$K$5)*2.54</f>
        <v>5637.0676646477923</v>
      </c>
      <c r="H29" s="9">
        <f>((((H20*0.00314)*((H20+545)/1000))*'Технический лист'!$K$10)+370+((H21*0.00314)*((H21+450)/1000))*'Технический лист'!$K$5)*2.54</f>
        <v>5989.8256456509098</v>
      </c>
      <c r="I29" s="9">
        <f>((((I20*0.00314)*((I20+545)/1000))*'Технический лист'!$K$10)+370+((I21*0.00314)*((I21+450)/1000))*'Технический лист'!$K$5)*2.54</f>
        <v>6350.8362389220774</v>
      </c>
      <c r="J29" s="9">
        <f>((((J20*0.00314)*((J20+545)/1000))*'Технический лист'!$K$10)+370+((J21*0.00314)*((J21+450)/1000))*'Технический лист'!$K$5)*2.54</f>
        <v>6720.0994444612979</v>
      </c>
      <c r="K29" s="9">
        <f>((((K20*0.00314)*((K20+545)/1000))*'Технический лист'!$K$10)+370+((K21*0.00314)*((K21+450)/1000))*'Технический лист'!$K$5)*2.54</f>
        <v>7483.3836923438967</v>
      </c>
      <c r="L29" s="9">
        <f>((((L20*0.00314)*((L20+545)/1000))*'Технический лист'!$K$10)+370+((L21*0.00314)*((L21+450)/1000))*'Технический лист'!$K$5)*2.54</f>
        <v>8279.6783892987005</v>
      </c>
      <c r="M29" s="9">
        <f>((((M20*0.00314)*((M20+545)/1000))*'Технический лист'!$K$10)+370+((M21*0.00314)*((M21+450)/1000))*'Технический лист'!$K$5)*2.54</f>
        <v>9108.9835353257131</v>
      </c>
      <c r="N29" s="9">
        <f>((((N20*0.00314)*((N20+545)/1000))*'Технический лист'!$K$10)+370+((N21*0.00314)*((N21+450)/1000))*'Технический лист'!$K$5)*2.54</f>
        <v>10414.835846376624</v>
      </c>
      <c r="O29" s="9">
        <f>((((O20*0.00314)*((O20+545)/1000))*'Технический лист'!$K$10)+370+((O21*0.00314)*((O21+450)/1000))*'Технический лист'!$K$5)*2.54</f>
        <v>10866.625174596364</v>
      </c>
      <c r="P29" s="9">
        <f>((((P20*0.00314)*((P20+545)/1000))*'Технический лист'!$K$10)+370+((P21*0.00314)*((P21+450)/1000))*'Технический лист'!$K$5)*2.54</f>
        <v>11326.667115084154</v>
      </c>
      <c r="Q29" s="9">
        <f>((((Q20*0.00314)*((Q20+545)/1000))*'Технический лист'!$K$10)+370+((Q21*0.00314)*((Q21+450)/1000))*'Технический лист'!$K$5)*2.54</f>
        <v>11794.96166784</v>
      </c>
      <c r="R29" s="9">
        <f>((((R20*0.00314)*((R20+545)/1000))*'Технический лист'!$K$10)+370+((R21*0.00314)*((R21+450)/1000))*'Технический лист'!$K$5)*2.54</f>
        <v>12271.508832863896</v>
      </c>
      <c r="S29" s="9">
        <f>((((S20*0.00314)*((S20+545)/1000))*'Технический лист'!$K$10)+370+((S21*0.00314)*((S21+450)/1000))*'Технический лист'!$K$5)*2.54</f>
        <v>12756.308610155844</v>
      </c>
    </row>
    <row r="30" spans="1:19" hidden="1">
      <c r="A30" s="4" t="s">
        <v>8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>
      <c r="A31" s="4" t="s">
        <v>119</v>
      </c>
      <c r="B31" s="16">
        <v>2100</v>
      </c>
      <c r="C31" s="16">
        <v>2100</v>
      </c>
      <c r="D31" s="16">
        <v>2100</v>
      </c>
      <c r="E31" s="16">
        <v>2100</v>
      </c>
      <c r="F31" s="16">
        <v>2100</v>
      </c>
      <c r="G31" s="16">
        <v>2100</v>
      </c>
      <c r="H31" s="16">
        <v>2100</v>
      </c>
      <c r="I31" s="16">
        <v>2100</v>
      </c>
      <c r="J31" s="16">
        <v>2100</v>
      </c>
      <c r="K31" s="16">
        <v>2100</v>
      </c>
      <c r="L31" s="16">
        <v>2100</v>
      </c>
      <c r="M31" s="16">
        <v>2100</v>
      </c>
      <c r="N31" s="16">
        <v>2100</v>
      </c>
      <c r="O31" s="16">
        <v>2100</v>
      </c>
      <c r="P31" s="16">
        <v>2100</v>
      </c>
      <c r="Q31" s="16">
        <v>2100</v>
      </c>
      <c r="R31" s="16">
        <v>2100</v>
      </c>
      <c r="S31" s="16">
        <v>2100</v>
      </c>
    </row>
  </sheetData>
  <mergeCells count="6">
    <mergeCell ref="A19:N19"/>
    <mergeCell ref="A1:C1"/>
    <mergeCell ref="D1:O1"/>
    <mergeCell ref="D2:O2"/>
    <mergeCell ref="D3:O3"/>
    <mergeCell ref="A5:O5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S31"/>
  <sheetViews>
    <sheetView workbookViewId="0">
      <selection activeCell="B31" sqref="B31:S31"/>
    </sheetView>
  </sheetViews>
  <sheetFormatPr defaultRowHeight="14.4"/>
  <cols>
    <col min="1" max="1" width="26.6640625" customWidth="1"/>
    <col min="2" max="19" width="6.33203125" customWidth="1"/>
  </cols>
  <sheetData>
    <row r="1" spans="1:19" ht="45" customHeight="1">
      <c r="A1" s="32"/>
      <c r="B1" s="32"/>
      <c r="C1" s="32"/>
      <c r="D1" s="40" t="s">
        <v>94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1"/>
      <c r="Q1" s="1"/>
    </row>
    <row r="2" spans="1:19" ht="15" customHeight="1">
      <c r="D2" s="34" t="s">
        <v>95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1"/>
    </row>
    <row r="3" spans="1:19" ht="15" customHeight="1">
      <c r="D3" s="34" t="s">
        <v>112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9" ht="2.25" customHeight="1"/>
    <row r="5" spans="1:19">
      <c r="A5" s="41" t="s">
        <v>128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1:19">
      <c r="A6" s="3" t="s">
        <v>0</v>
      </c>
      <c r="B6" s="10">
        <v>100</v>
      </c>
      <c r="C6" s="10">
        <v>110</v>
      </c>
      <c r="D6" s="10">
        <v>115</v>
      </c>
      <c r="E6" s="10">
        <v>120</v>
      </c>
      <c r="F6" s="10">
        <v>125</v>
      </c>
      <c r="G6" s="10">
        <v>130</v>
      </c>
      <c r="H6" s="10">
        <v>140</v>
      </c>
      <c r="I6" s="10">
        <v>150</v>
      </c>
      <c r="J6" s="10">
        <v>160</v>
      </c>
      <c r="K6" s="10">
        <v>180</v>
      </c>
      <c r="L6" s="10">
        <v>200</v>
      </c>
      <c r="M6" s="10">
        <v>220</v>
      </c>
      <c r="N6" s="10">
        <v>250</v>
      </c>
      <c r="O6" s="10">
        <v>260</v>
      </c>
      <c r="P6" s="10">
        <v>270</v>
      </c>
      <c r="Q6" s="10">
        <v>280</v>
      </c>
      <c r="R6" s="10">
        <v>290</v>
      </c>
      <c r="S6" s="10">
        <v>300</v>
      </c>
    </row>
    <row r="7" spans="1:19">
      <c r="A7" s="3" t="s">
        <v>1</v>
      </c>
      <c r="B7" s="10">
        <f>B6+100</f>
        <v>200</v>
      </c>
      <c r="C7" s="10">
        <f t="shared" ref="C7:S7" si="0">C6+100</f>
        <v>210</v>
      </c>
      <c r="D7" s="10">
        <f t="shared" si="0"/>
        <v>215</v>
      </c>
      <c r="E7" s="10">
        <f t="shared" si="0"/>
        <v>220</v>
      </c>
      <c r="F7" s="10">
        <f t="shared" si="0"/>
        <v>225</v>
      </c>
      <c r="G7" s="10">
        <f t="shared" si="0"/>
        <v>230</v>
      </c>
      <c r="H7" s="10">
        <f t="shared" si="0"/>
        <v>240</v>
      </c>
      <c r="I7" s="10">
        <f t="shared" si="0"/>
        <v>250</v>
      </c>
      <c r="J7" s="10">
        <f t="shared" si="0"/>
        <v>260</v>
      </c>
      <c r="K7" s="10">
        <f t="shared" si="0"/>
        <v>280</v>
      </c>
      <c r="L7" s="10">
        <f t="shared" si="0"/>
        <v>300</v>
      </c>
      <c r="M7" s="10">
        <f t="shared" si="0"/>
        <v>320</v>
      </c>
      <c r="N7" s="10">
        <f t="shared" si="0"/>
        <v>350</v>
      </c>
      <c r="O7" s="10">
        <f t="shared" si="0"/>
        <v>360</v>
      </c>
      <c r="P7" s="10">
        <f t="shared" si="0"/>
        <v>370</v>
      </c>
      <c r="Q7" s="10">
        <f t="shared" si="0"/>
        <v>380</v>
      </c>
      <c r="R7" s="10">
        <f t="shared" si="0"/>
        <v>390</v>
      </c>
      <c r="S7" s="10">
        <f t="shared" si="0"/>
        <v>400</v>
      </c>
    </row>
    <row r="8" spans="1:19">
      <c r="A8" s="4" t="s">
        <v>4</v>
      </c>
      <c r="B8" s="16">
        <f>(((B6*0.00314)*'Технический лист'!$G$8)+365+((B7*0.00314)*'Технический лист'!$G$11))*2.38</f>
        <v>2935.618892121212</v>
      </c>
      <c r="C8" s="16">
        <f>(((C6*0.00314)*'Технический лист'!$G$8)+365+((C7*0.00314)*'Технический лист'!$G$11))*2.38</f>
        <v>3115.8805639999991</v>
      </c>
      <c r="D8" s="16">
        <f>(((D6*0.00314)*'Технический лист'!$G$8)+365+((D7*0.00314)*'Технический лист'!$G$11))*2.38</f>
        <v>3206.0113999393934</v>
      </c>
      <c r="E8" s="16">
        <f>(((E6*0.00314)*'Технический лист'!$G$8)+365+((E7*0.00314)*'Технический лист'!$G$11))*2.38</f>
        <v>3296.1422358787877</v>
      </c>
      <c r="F8" s="16">
        <f>(((F6*0.00314)*'Технический лист'!$G$8)+365+((F7*0.00314)*'Технический лист'!$G$11))*2.38</f>
        <v>3386.2730718181811</v>
      </c>
      <c r="G8" s="16">
        <f>(((G6*0.00314)*'Технический лист'!$G$8)+365+((G7*0.00314)*'Технический лист'!$G$11))*2.38</f>
        <v>3476.4039077575749</v>
      </c>
      <c r="H8" s="16">
        <f>(((H6*0.00314)*'Технический лист'!$G$8)+365+((H7*0.00314)*'Технический лист'!$G$11))*2.38</f>
        <v>3656.665579636363</v>
      </c>
      <c r="I8" s="16">
        <f>(((I6*0.00314)*'Технический лист'!$G$8)+365+((I7*0.00314)*'Технический лист'!$G$11))*2.38</f>
        <v>3836.9272515151511</v>
      </c>
      <c r="J8" s="16">
        <f>(((J6*0.00314)*'Технический лист'!$G$8)+365+((J7*0.00314)*'Технический лист'!$G$11))*2.38</f>
        <v>4017.1889233939387</v>
      </c>
      <c r="K8" s="16">
        <f>(((K6*0.00314)*'Технический лист'!$G$8)+365+((K7*0.00314)*'Технический лист'!$G$11))*2.38</f>
        <v>4377.7122671515153</v>
      </c>
      <c r="L8" s="16">
        <f>(((L6*0.00314)*'Технический лист'!$G$8)+365+((L7*0.00314)*'Технический лист'!$G$11))*2.38</f>
        <v>4738.2356109090906</v>
      </c>
      <c r="M8" s="16">
        <f>(((M6*0.00314)*'Технический лист'!$G$8)+365+((M7*0.00314)*'Технический лист'!$G$11))*2.38</f>
        <v>5098.7589546666659</v>
      </c>
      <c r="N8" s="16">
        <f>(((N6*0.00314)*'Технический лист'!$G$8)+365+((N7*0.00314)*'Технический лист'!$G$11))*2.38</f>
        <v>5639.5439703030288</v>
      </c>
      <c r="O8" s="16">
        <f>(((O6*0.00314)*'Технический лист'!$G$8)+365+((O7*0.00314)*'Технический лист'!$G$11))*2.38</f>
        <v>5819.8056421818183</v>
      </c>
      <c r="P8" s="16">
        <f>(((P6*0.00314)*'Технический лист'!$G$8)+365+((P7*0.00314)*'Технический лист'!$G$11))*2.38</f>
        <v>6000.0673140606059</v>
      </c>
      <c r="Q8" s="16">
        <f>(((Q6*0.00314)*'Технический лист'!$G$8)+365+((Q7*0.00314)*'Технический лист'!$G$11))*2.38</f>
        <v>6180.3289859393935</v>
      </c>
      <c r="R8" s="16">
        <f>(((R6*0.00314)*'Технический лист'!$G$8)+365+((R7*0.00314)*'Технический лист'!$G$11))*2.38</f>
        <v>6360.5906578181803</v>
      </c>
      <c r="S8" s="16">
        <f>(((S6*0.00314)*'Технический лист'!$G$8)+365+((S7*0.00314)*'Технический лист'!$G$11))*2.38</f>
        <v>6540.8523296969688</v>
      </c>
    </row>
    <row r="9" spans="1:19">
      <c r="A9" s="4" t="s">
        <v>3</v>
      </c>
      <c r="B9" s="9">
        <f>((B8/2)*1.07)-10</f>
        <v>1560.5561072848484</v>
      </c>
      <c r="C9" s="9">
        <f t="shared" ref="C9:S9" si="1">((C8/2)*1.07)-10</f>
        <v>1656.9961017399996</v>
      </c>
      <c r="D9" s="9">
        <f t="shared" si="1"/>
        <v>1705.2160989675756</v>
      </c>
      <c r="E9" s="9">
        <f t="shared" si="1"/>
        <v>1753.4360961951515</v>
      </c>
      <c r="F9" s="9">
        <f t="shared" si="1"/>
        <v>1801.6560934227271</v>
      </c>
      <c r="G9" s="9">
        <f t="shared" si="1"/>
        <v>1849.8760906503026</v>
      </c>
      <c r="H9" s="9">
        <f t="shared" si="1"/>
        <v>1946.3160851054542</v>
      </c>
      <c r="I9" s="9">
        <f t="shared" si="1"/>
        <v>2042.7560795606059</v>
      </c>
      <c r="J9" s="9">
        <f t="shared" si="1"/>
        <v>2139.1960740157574</v>
      </c>
      <c r="K9" s="9">
        <f t="shared" si="1"/>
        <v>2332.0760629260608</v>
      </c>
      <c r="L9" s="9">
        <f t="shared" si="1"/>
        <v>2524.9560518363637</v>
      </c>
      <c r="M9" s="9">
        <f t="shared" si="1"/>
        <v>2717.8360407466662</v>
      </c>
      <c r="N9" s="9">
        <f t="shared" si="1"/>
        <v>3007.1560241121206</v>
      </c>
      <c r="O9" s="9">
        <f t="shared" si="1"/>
        <v>3103.5960185672729</v>
      </c>
      <c r="P9" s="9">
        <f t="shared" si="1"/>
        <v>3200.0360130224244</v>
      </c>
      <c r="Q9" s="9">
        <f t="shared" si="1"/>
        <v>3296.4760074775759</v>
      </c>
      <c r="R9" s="9">
        <f t="shared" si="1"/>
        <v>3392.9160019327264</v>
      </c>
      <c r="S9" s="9">
        <f t="shared" si="1"/>
        <v>3489.3559963878783</v>
      </c>
    </row>
    <row r="10" spans="1:19">
      <c r="A10" s="4" t="s">
        <v>5</v>
      </c>
      <c r="B10" s="16">
        <f>((((B6*0.00314)*0.5)*'Технический лист'!$I$8)+310+(((B7*0.00314)*0.5)*'Технический лист'!$I$11))*2.45</f>
        <v>2408.0233121212123</v>
      </c>
      <c r="C10" s="16">
        <f>((((C6*0.00314)*0.5)*'Технический лист'!$I$8)+310+(((C7*0.00314)*0.5)*'Технический лист'!$I$11))*2.45</f>
        <v>2546.7707299999997</v>
      </c>
      <c r="D10" s="16">
        <f>((((D6*0.00314)*0.5)*'Технический лист'!$I$8)+310+(((D7*0.00314)*0.5)*'Технический лист'!$I$11))*2.45</f>
        <v>2616.1444389393941</v>
      </c>
      <c r="E10" s="16">
        <f>((((E6*0.00314)*0.5)*'Технический лист'!$I$8)+310+(((E7*0.00314)*0.5)*'Технический лист'!$I$11))*2.45</f>
        <v>2685.5181478787881</v>
      </c>
      <c r="F10" s="16">
        <f>((((F6*0.00314)*0.5)*'Технический лист'!$I$8)+310+(((F7*0.00314)*0.5)*'Технический лист'!$I$11))*2.45</f>
        <v>2754.8918568181821</v>
      </c>
      <c r="G10" s="16">
        <f>((((G6*0.00314)*0.5)*'Технический лист'!$I$8)+310+(((G7*0.00314)*0.5)*'Технический лист'!$I$11))*2.45</f>
        <v>2824.265565757576</v>
      </c>
      <c r="H10" s="16">
        <f>((((H6*0.00314)*0.5)*'Технический лист'!$I$8)+310+(((H7*0.00314)*0.5)*'Технический лист'!$I$11))*2.45</f>
        <v>2963.012983636364</v>
      </c>
      <c r="I10" s="16">
        <f>((((I6*0.00314)*0.5)*'Технический лист'!$I$8)+310+(((I7*0.00314)*0.5)*'Технический лист'!$I$11))*2.45</f>
        <v>3101.7604015151514</v>
      </c>
      <c r="J10" s="16">
        <f>((((J6*0.00314)*0.5)*'Технический лист'!$I$8)+310+(((J7*0.00314)*0.5)*'Технический лист'!$I$11))*2.45</f>
        <v>3240.5078193939394</v>
      </c>
      <c r="K10" s="16">
        <f>((((K6*0.00314)*0.5)*'Технический лист'!$I$8)+310+(((K7*0.00314)*0.5)*'Технический лист'!$I$11))*2.45</f>
        <v>3518.0026551515152</v>
      </c>
      <c r="L10" s="16">
        <f>((((L6*0.00314)*0.5)*'Технический лист'!$I$8)+310+(((L7*0.00314)*0.5)*'Технический лист'!$I$11))*2.45</f>
        <v>3795.4974909090911</v>
      </c>
      <c r="M10" s="16">
        <f>((((M6*0.00314)*0.5)*'Технический лист'!$I$8)+310+(((M7*0.00314)*0.5)*'Технический лист'!$I$11))*2.45</f>
        <v>4072.992326666666</v>
      </c>
      <c r="N10" s="16">
        <f>((((N6*0.00314)*0.5)*'Технический лист'!$I$8)+310+(((N7*0.00314)*0.5)*'Технический лист'!$I$11))*2.45</f>
        <v>4489.2345803030303</v>
      </c>
      <c r="O10" s="16">
        <f>((((O6*0.00314)*0.5)*'Технический лист'!$I$8)+310+(((O7*0.00314)*0.5)*'Технический лист'!$I$11))*2.45</f>
        <v>4627.9819981818191</v>
      </c>
      <c r="P10" s="16">
        <f>((((P6*0.00314)*0.5)*'Технический лист'!$I$8)+310+(((P7*0.00314)*0.5)*'Технический лист'!$I$11))*2.45</f>
        <v>4766.7294160606061</v>
      </c>
      <c r="Q10" s="16">
        <f>((((Q6*0.00314)*0.5)*'Технический лист'!$I$8)+310+(((Q7*0.00314)*0.5)*'Технический лист'!$I$11))*2.45</f>
        <v>4905.4768339393941</v>
      </c>
      <c r="R10" s="16">
        <f>((((R6*0.00314)*0.5)*'Технический лист'!$I$8)+310+(((R7*0.00314)*0.5)*'Технический лист'!$I$11))*2.45</f>
        <v>5044.224251818182</v>
      </c>
      <c r="S10" s="16">
        <f>((((S6*0.00314)*0.5)*'Технический лист'!$I$8)+310+(((S7*0.00314)*0.5)*'Технический лист'!$I$11))*2.45</f>
        <v>5182.9716696969699</v>
      </c>
    </row>
    <row r="11" spans="1:19">
      <c r="A11" s="4" t="s">
        <v>96</v>
      </c>
      <c r="B11" s="9">
        <f>((B10*2)/3)-6</f>
        <v>1599.3488747474748</v>
      </c>
      <c r="C11" s="9">
        <f t="shared" ref="C11:S11" si="2">((C10*2)/3)-6</f>
        <v>1691.8471533333332</v>
      </c>
      <c r="D11" s="9">
        <f t="shared" si="2"/>
        <v>1738.0962926262628</v>
      </c>
      <c r="E11" s="9">
        <f t="shared" si="2"/>
        <v>1784.3454319191922</v>
      </c>
      <c r="F11" s="9">
        <f t="shared" si="2"/>
        <v>1830.5945712121213</v>
      </c>
      <c r="G11" s="9">
        <f t="shared" si="2"/>
        <v>1876.8437105050507</v>
      </c>
      <c r="H11" s="9">
        <f t="shared" si="2"/>
        <v>1969.3419890909092</v>
      </c>
      <c r="I11" s="9">
        <f t="shared" si="2"/>
        <v>2061.8402676767678</v>
      </c>
      <c r="J11" s="9">
        <f t="shared" si="2"/>
        <v>2154.3385462626261</v>
      </c>
      <c r="K11" s="9">
        <f t="shared" si="2"/>
        <v>2339.3351034343436</v>
      </c>
      <c r="L11" s="9">
        <f t="shared" si="2"/>
        <v>2524.3316606060607</v>
      </c>
      <c r="M11" s="9">
        <f t="shared" si="2"/>
        <v>2709.3282177777774</v>
      </c>
      <c r="N11" s="9">
        <f t="shared" si="2"/>
        <v>2986.8230535353537</v>
      </c>
      <c r="O11" s="9">
        <f t="shared" si="2"/>
        <v>3079.3213321212129</v>
      </c>
      <c r="P11" s="9">
        <f t="shared" si="2"/>
        <v>3171.8196107070708</v>
      </c>
      <c r="Q11" s="9">
        <f t="shared" si="2"/>
        <v>3264.3178892929295</v>
      </c>
      <c r="R11" s="9">
        <f t="shared" si="2"/>
        <v>3356.8161678787878</v>
      </c>
      <c r="S11" s="9">
        <f t="shared" si="2"/>
        <v>3449.3144464646466</v>
      </c>
    </row>
    <row r="12" spans="1:19">
      <c r="A12" s="4" t="s">
        <v>6</v>
      </c>
      <c r="B12" s="16">
        <f>((((B6*0.00314)*0.22)*'Технический лист'!$M$8)+100+(((B7*0.00314)*0.21)*'Технический лист'!$O$11)+(((B6+30)*(B6+30)/1000000)*'Технический лист'!$E$20))*2.5</f>
        <v>1328.7342571428571</v>
      </c>
      <c r="C12" s="16">
        <f>((((C6*0.00314)*0.22)*'Технический лист'!$M$8)+100+(((C7*0.00314)*0.21)*'Технический лист'!$O$11)+(((C6+30)*(C6+30)/1000000)*'Технический лист'!$E$20))*2.5</f>
        <v>1428.9258628571429</v>
      </c>
      <c r="D12" s="16">
        <f>((((D6*0.00314)*0.22)*'Технический лист'!$M$8)+100+(((D7*0.00314)*0.21)*'Технический лист'!$O$11)+(((D6+30)*(D6+30)/1000000)*'Технический лист'!$E$20))*2.5</f>
        <v>1479.771665714286</v>
      </c>
      <c r="E12" s="16">
        <f>((((E6*0.00314)*0.22)*'Технический лист'!$M$8)+100+(((E7*0.00314)*0.21)*'Технический лист'!$O$11)+(((E6+30)*(E6+30)/1000000)*'Технический лист'!$E$20))*2.5</f>
        <v>1531.1174685714286</v>
      </c>
      <c r="F12" s="16">
        <f>((((F6*0.00314)*0.22)*'Технический лист'!$M$8)+100+(((F7*0.00314)*0.21)*'Технический лист'!$O$11)+(((F6+30)*(F6+30)/1000000)*'Технический лист'!$E$20))*2.5</f>
        <v>1582.9632714285717</v>
      </c>
      <c r="G12" s="16">
        <f>((((G6*0.00314)*0.22)*'Технический лист'!$M$8)+100+(((G7*0.00314)*0.21)*'Технический лист'!$O$11)+(((G6+30)*(G6+30)/1000000)*'Технический лист'!$E$20))*2.5</f>
        <v>1635.3090742857144</v>
      </c>
      <c r="H12" s="16">
        <f>((((H6*0.00314)*0.22)*'Технический лист'!$M$8)+100+(((H7*0.00314)*0.21)*'Технический лист'!$O$11)+(((H6+30)*(H6+30)/1000000)*'Технический лист'!$E$20))*2.5</f>
        <v>1741.5006800000001</v>
      </c>
      <c r="I12" s="16">
        <f>((((I6*0.00314)*0.22)*'Технический лист'!$M$8)+100+(((I7*0.00314)*0.21)*'Технический лист'!$O$11)+(((I6+30)*(I6+30)/1000000)*'Технический лист'!$E$20))*2.5</f>
        <v>1849.6922857142858</v>
      </c>
      <c r="J12" s="16">
        <f>((((J6*0.00314)*0.22)*'Технический лист'!$M$8)+100+(((J7*0.00314)*0.21)*'Технический лист'!$O$11)+(((J6+30)*(J6+30)/1000000)*'Технический лист'!$E$20))*2.5</f>
        <v>1959.8838914285714</v>
      </c>
      <c r="K12" s="16">
        <f>((((K6*0.00314)*0.22)*'Технический лист'!$M$8)+100+(((K7*0.00314)*0.21)*'Технический лист'!$O$11)+(((K6+30)*(K6+30)/1000000)*'Технический лист'!$E$20))*2.5</f>
        <v>2186.2671028571426</v>
      </c>
      <c r="L12" s="16">
        <f>((((L6*0.00314)*0.22)*'Технический лист'!$M$8)+100+(((L7*0.00314)*0.21)*'Технический лист'!$O$11)+(((L6+30)*(L6+30)/1000000)*'Технический лист'!$E$20))*2.5</f>
        <v>2420.6503142857141</v>
      </c>
      <c r="M12" s="16">
        <f>((((M6*0.00314)*0.22)*'Технический лист'!$M$8)+100+(((M7*0.00314)*0.21)*'Технический лист'!$O$11)+(((M6+30)*(M6+30)/1000000)*'Технический лист'!$E$20))*2.5</f>
        <v>2663.033525714286</v>
      </c>
      <c r="N12" s="16">
        <f>((((N6*0.00314)*0.22)*'Технический лист'!$M$8)+100+(((N7*0.00314)*0.21)*'Технический лист'!$O$11)+(((N6+30)*(N6+30)/1000000)*'Технический лист'!$E$20))*2.5</f>
        <v>3041.6083428571428</v>
      </c>
      <c r="O12" s="16">
        <f>((((O6*0.00314)*0.22)*'Технический лист'!$M$8)+100+(((O7*0.00314)*0.21)*'Технический лист'!$O$11)+(((O6+30)*(O6+30)/1000000)*'Технический лист'!$E$20))*2.5</f>
        <v>3171.799948571429</v>
      </c>
      <c r="P12" s="16">
        <f>((((P6*0.00314)*0.22)*'Технический лист'!$M$8)+100+(((P7*0.00314)*0.21)*'Технический лист'!$O$11)+(((P6+30)*(P6+30)/1000000)*'Технический лист'!$E$20))*2.5</f>
        <v>3303.9915542857143</v>
      </c>
      <c r="Q12" s="16">
        <f>((((Q6*0.00314)*0.22)*'Технический лист'!$M$8)+100+(((Q7*0.00314)*0.21)*'Технический лист'!$O$11)+(((Q6+30)*(Q6+30)/1000000)*'Технический лист'!$E$20))*2.5</f>
        <v>3438.1831599999996</v>
      </c>
      <c r="R12" s="16">
        <f>((((R6*0.00314)*0.22)*'Технический лист'!$M$8)+100+(((R7*0.00314)*0.21)*'Технический лист'!$O$11)+(((R6+30)*(R6+30)/1000000)*'Технический лист'!$E$20))*2.5</f>
        <v>3574.3747657142853</v>
      </c>
      <c r="S12" s="16">
        <f>((((S6*0.00314)*0.22)*'Технический лист'!$M$8)+100+(((S7*0.00314)*0.21)*'Технический лист'!$O$11)+(((S6+30)*(S6+30)/1000000)*'Технический лист'!$E$20))*2.5</f>
        <v>3712.5663714285706</v>
      </c>
    </row>
    <row r="13" spans="1:19">
      <c r="A13" s="4" t="s">
        <v>7</v>
      </c>
      <c r="B13" s="9">
        <f>(B12*2.2)+24</f>
        <v>2947.2153657142858</v>
      </c>
      <c r="C13" s="9">
        <f t="shared" ref="C13:S13" si="3">(C12*2.2)+24</f>
        <v>3167.6368982857148</v>
      </c>
      <c r="D13" s="9">
        <f t="shared" si="3"/>
        <v>3279.4976645714296</v>
      </c>
      <c r="E13" s="9">
        <f t="shared" si="3"/>
        <v>3392.4584308571434</v>
      </c>
      <c r="F13" s="9">
        <f t="shared" si="3"/>
        <v>3506.519197142858</v>
      </c>
      <c r="G13" s="9">
        <f t="shared" si="3"/>
        <v>3621.6799634285717</v>
      </c>
      <c r="H13" s="9">
        <f t="shared" si="3"/>
        <v>3855.3014960000005</v>
      </c>
      <c r="I13" s="9">
        <f t="shared" si="3"/>
        <v>4093.3230285714294</v>
      </c>
      <c r="J13" s="9">
        <f t="shared" si="3"/>
        <v>4335.7445611428575</v>
      </c>
      <c r="K13" s="9">
        <f t="shared" si="3"/>
        <v>4833.7876262857144</v>
      </c>
      <c r="L13" s="9">
        <f t="shared" si="3"/>
        <v>5349.4306914285717</v>
      </c>
      <c r="M13" s="9">
        <f t="shared" si="3"/>
        <v>5882.6737565714302</v>
      </c>
      <c r="N13" s="9">
        <f t="shared" si="3"/>
        <v>6715.5383542857144</v>
      </c>
      <c r="O13" s="9">
        <f t="shared" si="3"/>
        <v>7001.9598868571447</v>
      </c>
      <c r="P13" s="9">
        <f t="shared" si="3"/>
        <v>7292.781419428572</v>
      </c>
      <c r="Q13" s="9">
        <f t="shared" si="3"/>
        <v>7588.0029519999998</v>
      </c>
      <c r="R13" s="9">
        <f t="shared" si="3"/>
        <v>7887.6244845714282</v>
      </c>
      <c r="S13" s="9">
        <f t="shared" si="3"/>
        <v>8191.6460171428562</v>
      </c>
    </row>
    <row r="14" spans="1:19">
      <c r="A14" s="4" t="s">
        <v>8</v>
      </c>
      <c r="B14" s="16">
        <f>((((B6*0.00314)*0.2)*'Технический лист'!$M$8)+50+(((B7*0.00314)*0.22)*'Технический лист'!$O$11))*2.5</f>
        <v>1001.2967913419914</v>
      </c>
      <c r="C14" s="16">
        <f>((((C6*0.00314)*0.2)*'Технический лист'!$M$8)+50+(((C7*0.00314)*0.22)*'Технический лист'!$O$11))*2.5</f>
        <v>1070.297897142857</v>
      </c>
      <c r="D14" s="16">
        <f>((((D6*0.00314)*0.2)*'Технический лист'!$M$8)+50+(((D7*0.00314)*0.22)*'Технический лист'!$O$11))*2.5</f>
        <v>1104.7984500432901</v>
      </c>
      <c r="E14" s="16">
        <f>((((E6*0.00314)*0.2)*'Технический лист'!$M$8)+50+(((E7*0.00314)*0.22)*'Технический лист'!$O$11))*2.5</f>
        <v>1139.2990029437233</v>
      </c>
      <c r="F14" s="16">
        <f>((((F6*0.00314)*0.2)*'Технический лист'!$M$8)+50+(((F7*0.00314)*0.22)*'Технический лист'!$O$11))*2.5</f>
        <v>1173.7995558441562</v>
      </c>
      <c r="G14" s="16">
        <f>((((G6*0.00314)*0.2)*'Технический лист'!$M$8)+50+(((G7*0.00314)*0.22)*'Технический лист'!$O$11))*2.5</f>
        <v>1208.3001087445887</v>
      </c>
      <c r="H14" s="16">
        <f>((((H6*0.00314)*0.2)*'Технический лист'!$M$8)+50+(((H7*0.00314)*0.22)*'Технический лист'!$O$11))*2.5</f>
        <v>1277.3012145454545</v>
      </c>
      <c r="I14" s="16">
        <f>((((I6*0.00314)*0.2)*'Технический лист'!$M$8)+50+(((I7*0.00314)*0.22)*'Технический лист'!$O$11))*2.5</f>
        <v>1346.3023203463204</v>
      </c>
      <c r="J14" s="16">
        <f>((((J6*0.00314)*0.2)*'Технический лист'!$M$8)+50+(((J7*0.00314)*0.22)*'Технический лист'!$O$11))*2.5</f>
        <v>1415.3034261471862</v>
      </c>
      <c r="K14" s="16">
        <f>((((K6*0.00314)*0.2)*'Технический лист'!$M$8)+50+(((K7*0.00314)*0.22)*'Технический лист'!$O$11))*2.5</f>
        <v>1553.3056377489179</v>
      </c>
      <c r="L14" s="16">
        <f>((((L6*0.00314)*0.2)*'Технический лист'!$M$8)+50+(((L7*0.00314)*0.22)*'Технический лист'!$O$11))*2.5</f>
        <v>1691.3078493506496</v>
      </c>
      <c r="M14" s="16">
        <f>((((M6*0.00314)*0.2)*'Технический лист'!$M$8)+50+(((M7*0.00314)*0.22)*'Технический лист'!$O$11))*2.5</f>
        <v>1829.3100609523808</v>
      </c>
      <c r="N14" s="16">
        <f>((((N6*0.00314)*0.2)*'Технический лист'!$M$8)+50+(((N7*0.00314)*0.22)*'Технический лист'!$O$11))*2.5</f>
        <v>2036.3133783549788</v>
      </c>
      <c r="O14" s="16">
        <f>((((O6*0.00314)*0.2)*'Технический лист'!$M$8)+50+(((O7*0.00314)*0.22)*'Технический лист'!$O$11))*2.5</f>
        <v>2105.3144841558442</v>
      </c>
      <c r="P14" s="16">
        <f>((((P6*0.00314)*0.2)*'Технический лист'!$M$8)+50+(((P7*0.00314)*0.22)*'Технический лист'!$O$11))*2.5</f>
        <v>2174.31558995671</v>
      </c>
      <c r="Q14" s="16">
        <f>((((Q6*0.00314)*0.2)*'Технический лист'!$M$8)+50+(((Q7*0.00314)*0.22)*'Технический лист'!$O$11))*2.5</f>
        <v>2243.3166957575759</v>
      </c>
      <c r="R14" s="16">
        <f>((((R6*0.00314)*0.2)*'Технический лист'!$M$8)+50+(((R7*0.00314)*0.22)*'Технический лист'!$O$11))*2.5</f>
        <v>2312.3178015584417</v>
      </c>
      <c r="S14" s="16">
        <f>((((S6*0.00314)*0.2)*'Технический лист'!$M$8)+50+(((S7*0.00314)*0.22)*'Технический лист'!$O$11))*2.5</f>
        <v>2381.3189073593076</v>
      </c>
    </row>
    <row r="15" spans="1:19">
      <c r="A15" s="4" t="s">
        <v>9</v>
      </c>
      <c r="B15" s="9">
        <f>((((B6*0.00314)*((B6+545)/1000))*'Технический лист'!$K$8)+370+((B7*0.00314)*((B7+450)/1000))*'Технический лист'!$K$11)*2.54</f>
        <v>3165.3604514978351</v>
      </c>
      <c r="C15" s="9">
        <f>((((C6*0.00314)*((C6+545)/1000))*'Технический лист'!$K$8)+370+((C7*0.00314)*((C7+450)/1000))*'Технический лист'!$K$11)*2.54</f>
        <v>3390.0551727771431</v>
      </c>
      <c r="D15" s="9">
        <f>((((D6*0.00314)*((D6+545)/1000))*'Технический лист'!$K$8)+370+((D7*0.00314)*((D7+450)/1000))*'Технический лист'!$K$11)*2.54</f>
        <v>3504.5781424438096</v>
      </c>
      <c r="E15" s="9">
        <f>((((E6*0.00314)*((E6+545)/1000))*'Технический лист'!$K$8)+370+((E7*0.00314)*((E7+450)/1000))*'Технический лист'!$K$11)*2.54</f>
        <v>3620.5515181284845</v>
      </c>
      <c r="F15" s="9">
        <f>((((F6*0.00314)*((F6+545)/1000))*'Технический лист'!$K$8)+370+((F7*0.00314)*((F7+450)/1000))*'Технический лист'!$K$11)*2.54</f>
        <v>3737.9752998311683</v>
      </c>
      <c r="G15" s="9">
        <f>((((G6*0.00314)*((G6+545)/1000))*'Технический лист'!$K$8)+370+((G7*0.00314)*((G7+450)/1000))*'Технический лист'!$K$11)*2.54</f>
        <v>3856.8494875518622</v>
      </c>
      <c r="H15" s="9">
        <f>((((H6*0.00314)*((H6+545)/1000))*'Технический лист'!$K$8)+370+((H7*0.00314)*((H7+450)/1000))*'Технический лист'!$K$11)*2.54</f>
        <v>4098.9490810472735</v>
      </c>
      <c r="I15" s="9">
        <f>((((I6*0.00314)*((I6+545)/1000))*'Технический лист'!$K$8)+370+((I7*0.00314)*((I7+450)/1000))*'Технический лист'!$K$11)*2.54</f>
        <v>4346.8502986147187</v>
      </c>
      <c r="J15" s="9">
        <f>((((J6*0.00314)*((J6+545)/1000))*'Технический лист'!$K$8)+370+((J7*0.00314)*((J7+450)/1000))*'Технический лист'!$K$11)*2.54</f>
        <v>4600.5531402541983</v>
      </c>
      <c r="K15" s="9">
        <f>((((K6*0.00314)*((K6+545)/1000))*'Технический лист'!$K$8)+370+((K7*0.00314)*((K7+450)/1000))*'Технический лист'!$K$11)*2.54</f>
        <v>5125.3636957492636</v>
      </c>
      <c r="L15" s="9">
        <f>((((L6*0.00314)*((L6+545)/1000))*'Технический лист'!$K$8)+370+((L7*0.00314)*((L7+450)/1000))*'Технический лист'!$K$11)*2.54</f>
        <v>5673.3807475324666</v>
      </c>
      <c r="M15" s="9">
        <f>((((M6*0.00314)*((M6+545)/1000))*'Технический лист'!$K$8)+370+((M7*0.00314)*((M7+450)/1000))*'Технический лист'!$K$11)*2.54</f>
        <v>6244.6042956038091</v>
      </c>
      <c r="N15" s="9">
        <f>((((N6*0.00314)*((N6+545)/1000))*'Технический лист'!$K$8)+370+((N7*0.00314)*((N7+450)/1000))*'Технический лист'!$K$11)*2.54</f>
        <v>7144.9517982510824</v>
      </c>
      <c r="O15" s="9">
        <f>((((O6*0.00314)*((O6+545)/1000))*'Технический лист'!$K$8)+370+((O7*0.00314)*((O7+450)/1000))*'Технический лист'!$K$11)*2.54</f>
        <v>7456.6708806109091</v>
      </c>
      <c r="P15" s="9">
        <f>((((P6*0.00314)*((P6+545)/1000))*'Технический лист'!$K$8)+370+((P7*0.00314)*((P7+450)/1000))*'Технический лист'!$K$11)*2.54</f>
        <v>7774.1915870427692</v>
      </c>
      <c r="Q15" s="9">
        <f>((((Q6*0.00314)*((Q6+545)/1000))*'Технический лист'!$K$8)+370+((Q7*0.00314)*((Q7+450)/1000))*'Технический лист'!$K$11)*2.54</f>
        <v>8097.5139175466657</v>
      </c>
      <c r="R15" s="9">
        <f>((((R6*0.00314)*((R6+545)/1000))*'Технический лист'!$K$8)+370+((R7*0.00314)*((R7+450)/1000))*'Технический лист'!$K$11)*2.54</f>
        <v>8426.6378721225956</v>
      </c>
      <c r="S15" s="9">
        <f>((((S6*0.00314)*((S6+545)/1000))*'Технический лист'!$K$8)+370+((S7*0.00314)*((S7+450)/1000))*'Технический лист'!$K$11)*2.54</f>
        <v>8761.5634507705618</v>
      </c>
    </row>
    <row r="16" spans="1:19" ht="0.75" hidden="1" customHeight="1">
      <c r="A16" s="4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>
      <c r="A17" s="4" t="s">
        <v>118</v>
      </c>
      <c r="B17" s="16">
        <v>1800</v>
      </c>
      <c r="C17" s="16">
        <v>1800</v>
      </c>
      <c r="D17" s="16">
        <v>1800</v>
      </c>
      <c r="E17" s="16">
        <v>1800</v>
      </c>
      <c r="F17" s="16">
        <v>1800</v>
      </c>
      <c r="G17" s="16">
        <v>1800</v>
      </c>
      <c r="H17" s="16">
        <v>1800</v>
      </c>
      <c r="I17" s="16">
        <v>1800</v>
      </c>
      <c r="J17" s="16">
        <v>1800</v>
      </c>
      <c r="K17" s="16">
        <v>1800</v>
      </c>
      <c r="L17" s="16">
        <v>1800</v>
      </c>
      <c r="M17" s="16">
        <v>1800</v>
      </c>
      <c r="N17" s="16">
        <v>1800</v>
      </c>
      <c r="O17" s="16">
        <v>1800</v>
      </c>
      <c r="P17" s="16">
        <v>1800</v>
      </c>
      <c r="Q17" s="16">
        <v>1800</v>
      </c>
      <c r="R17" s="16">
        <v>1800</v>
      </c>
      <c r="S17" s="16">
        <v>1800</v>
      </c>
    </row>
    <row r="19" spans="1:19">
      <c r="A19" s="41" t="s">
        <v>129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19">
      <c r="A20" s="3" t="s">
        <v>0</v>
      </c>
      <c r="B20" s="10">
        <v>100</v>
      </c>
      <c r="C20" s="10">
        <v>110</v>
      </c>
      <c r="D20" s="10">
        <v>115</v>
      </c>
      <c r="E20" s="10">
        <v>120</v>
      </c>
      <c r="F20" s="10">
        <v>125</v>
      </c>
      <c r="G20" s="10">
        <v>130</v>
      </c>
      <c r="H20" s="10">
        <v>140</v>
      </c>
      <c r="I20" s="10">
        <v>150</v>
      </c>
      <c r="J20" s="10">
        <v>160</v>
      </c>
      <c r="K20" s="10">
        <v>180</v>
      </c>
      <c r="L20" s="10">
        <v>200</v>
      </c>
      <c r="M20" s="10">
        <v>220</v>
      </c>
      <c r="N20" s="10">
        <v>250</v>
      </c>
      <c r="O20" s="10">
        <v>260</v>
      </c>
      <c r="P20" s="10">
        <v>270</v>
      </c>
      <c r="Q20" s="10">
        <v>280</v>
      </c>
      <c r="R20" s="10">
        <v>290</v>
      </c>
      <c r="S20" s="10">
        <v>300</v>
      </c>
    </row>
    <row r="21" spans="1:19">
      <c r="A21" s="3" t="s">
        <v>1</v>
      </c>
      <c r="B21" s="10">
        <f>B20+100</f>
        <v>200</v>
      </c>
      <c r="C21" s="10">
        <f t="shared" ref="C21:S21" si="4">C20+100</f>
        <v>210</v>
      </c>
      <c r="D21" s="10">
        <f t="shared" si="4"/>
        <v>215</v>
      </c>
      <c r="E21" s="10">
        <f t="shared" si="4"/>
        <v>220</v>
      </c>
      <c r="F21" s="10">
        <f t="shared" si="4"/>
        <v>225</v>
      </c>
      <c r="G21" s="10">
        <f t="shared" si="4"/>
        <v>230</v>
      </c>
      <c r="H21" s="10">
        <f t="shared" si="4"/>
        <v>240</v>
      </c>
      <c r="I21" s="10">
        <f t="shared" si="4"/>
        <v>250</v>
      </c>
      <c r="J21" s="10">
        <f t="shared" si="4"/>
        <v>260</v>
      </c>
      <c r="K21" s="10">
        <f t="shared" si="4"/>
        <v>280</v>
      </c>
      <c r="L21" s="10">
        <f t="shared" si="4"/>
        <v>300</v>
      </c>
      <c r="M21" s="10">
        <f t="shared" si="4"/>
        <v>320</v>
      </c>
      <c r="N21" s="10">
        <f t="shared" si="4"/>
        <v>350</v>
      </c>
      <c r="O21" s="10">
        <f t="shared" si="4"/>
        <v>360</v>
      </c>
      <c r="P21" s="10">
        <f t="shared" si="4"/>
        <v>370</v>
      </c>
      <c r="Q21" s="10">
        <f t="shared" si="4"/>
        <v>380</v>
      </c>
      <c r="R21" s="10">
        <f t="shared" si="4"/>
        <v>390</v>
      </c>
      <c r="S21" s="10">
        <f t="shared" si="4"/>
        <v>400</v>
      </c>
    </row>
    <row r="22" spans="1:19">
      <c r="A22" s="4" t="s">
        <v>4</v>
      </c>
      <c r="B22" s="16">
        <f>(((B20*0.00314)*'Технический лист'!$G$8)+365+((B21*0.00314)*'Технический лист'!$G$5))*2.38</f>
        <v>4104.9255854545445</v>
      </c>
      <c r="C22" s="16">
        <f>(((C20*0.00314)*'Технический лист'!$G$8)+365+((C21*0.00314)*'Технический лист'!$G$5))*2.38</f>
        <v>4343.6525919999985</v>
      </c>
      <c r="D22" s="16">
        <f>(((D20*0.00314)*'Технический лист'!$G$8)+365+((D21*0.00314)*'Технический лист'!$G$5))*2.38</f>
        <v>4463.0160952727274</v>
      </c>
      <c r="E22" s="16">
        <f>(((E20*0.00314)*'Технический лист'!$G$8)+365+((E21*0.00314)*'Технический лист'!$G$5))*2.38</f>
        <v>4582.3795985454544</v>
      </c>
      <c r="F22" s="16">
        <f>(((F20*0.00314)*'Технический лист'!$G$8)+365+((F21*0.00314)*'Технический лист'!$G$5))*2.38</f>
        <v>4701.7431018181815</v>
      </c>
      <c r="G22" s="16">
        <f>(((G20*0.00314)*'Технический лист'!$G$8)+365+((G21*0.00314)*'Технический лист'!$G$5))*2.38</f>
        <v>4821.1066050909085</v>
      </c>
      <c r="H22" s="16">
        <f>(((H20*0.00314)*'Технический лист'!$G$8)+365+((H21*0.00314)*'Технический лист'!$G$5))*2.38</f>
        <v>5059.8336116363635</v>
      </c>
      <c r="I22" s="16">
        <f>(((I20*0.00314)*'Технический лист'!$G$8)+365+((I21*0.00314)*'Технический лист'!$G$5))*2.38</f>
        <v>5298.5606181818175</v>
      </c>
      <c r="J22" s="16">
        <f>(((J20*0.00314)*'Технический лист'!$G$8)+365+((J21*0.00314)*'Технический лист'!$G$5))*2.38</f>
        <v>5537.2876247272725</v>
      </c>
      <c r="K22" s="16">
        <f>(((K20*0.00314)*'Технический лист'!$G$8)+365+((K21*0.00314)*'Технический лист'!$G$5))*2.38</f>
        <v>6014.7416378181815</v>
      </c>
      <c r="L22" s="16">
        <f>(((L20*0.00314)*'Технический лист'!$G$8)+365+((L21*0.00314)*'Технический лист'!$G$5))*2.38</f>
        <v>6492.1956509090905</v>
      </c>
      <c r="M22" s="16">
        <f>(((M20*0.00314)*'Технический лист'!$G$8)+365+((M21*0.00314)*'Технический лист'!$G$5))*2.38</f>
        <v>6969.6496639999987</v>
      </c>
      <c r="N22" s="16">
        <f>(((N20*0.00314)*'Технический лист'!$G$8)+365+((N21*0.00314)*'Технический лист'!$G$5))*2.38</f>
        <v>7685.8306836363627</v>
      </c>
      <c r="O22" s="16">
        <f>(((O20*0.00314)*'Технический лист'!$G$8)+365+((O21*0.00314)*'Технический лист'!$G$5))*2.38</f>
        <v>7924.5576901818176</v>
      </c>
      <c r="P22" s="16">
        <f>(((P20*0.00314)*'Технический лист'!$G$8)+365+((P21*0.00314)*'Технический лист'!$G$5))*2.38</f>
        <v>8163.2846967272717</v>
      </c>
      <c r="Q22" s="16">
        <f>(((Q20*0.00314)*'Технический лист'!$G$8)+365+((Q21*0.00314)*'Технический лист'!$G$5))*2.38</f>
        <v>8402.0117032727267</v>
      </c>
      <c r="R22" s="16">
        <f>(((R20*0.00314)*'Технический лист'!$G$8)+365+((R21*0.00314)*'Технический лист'!$G$5))*2.38</f>
        <v>8640.7387098181807</v>
      </c>
      <c r="S22" s="16">
        <f>(((S20*0.00314)*'Технический лист'!$G$8)+365+((S21*0.00314)*'Технический лист'!$G$5))*2.38</f>
        <v>8879.4657163636348</v>
      </c>
    </row>
    <row r="23" spans="1:19">
      <c r="A23" s="4" t="s">
        <v>3</v>
      </c>
      <c r="B23" s="9">
        <f>((B22/2)*1.07)-10</f>
        <v>2186.1351882181816</v>
      </c>
      <c r="C23" s="9">
        <f t="shared" ref="C23:S23" si="5">((C22/2)*1.07)-10</f>
        <v>2313.8541367199991</v>
      </c>
      <c r="D23" s="9">
        <f t="shared" si="5"/>
        <v>2377.7136109709095</v>
      </c>
      <c r="E23" s="9">
        <f t="shared" si="5"/>
        <v>2441.5730852218185</v>
      </c>
      <c r="F23" s="9">
        <f t="shared" si="5"/>
        <v>2505.432559472727</v>
      </c>
      <c r="G23" s="9">
        <f t="shared" si="5"/>
        <v>2569.292033723636</v>
      </c>
      <c r="H23" s="9">
        <f t="shared" si="5"/>
        <v>2697.0109822254544</v>
      </c>
      <c r="I23" s="9">
        <f t="shared" si="5"/>
        <v>2824.7299307272724</v>
      </c>
      <c r="J23" s="9">
        <f t="shared" si="5"/>
        <v>2952.4488792290908</v>
      </c>
      <c r="K23" s="9">
        <f t="shared" si="5"/>
        <v>3207.8867762327272</v>
      </c>
      <c r="L23" s="9">
        <f t="shared" si="5"/>
        <v>3463.3246732363637</v>
      </c>
      <c r="M23" s="9">
        <f t="shared" si="5"/>
        <v>3718.7625702399996</v>
      </c>
      <c r="N23" s="9">
        <f t="shared" si="5"/>
        <v>4101.919415745454</v>
      </c>
      <c r="O23" s="9">
        <f t="shared" si="5"/>
        <v>4229.6383642472729</v>
      </c>
      <c r="P23" s="9">
        <f t="shared" si="5"/>
        <v>4357.3573127490909</v>
      </c>
      <c r="Q23" s="9">
        <f t="shared" si="5"/>
        <v>4485.0762612509088</v>
      </c>
      <c r="R23" s="9">
        <f t="shared" si="5"/>
        <v>4612.7952097527268</v>
      </c>
      <c r="S23" s="9">
        <f t="shared" si="5"/>
        <v>4740.5141582545448</v>
      </c>
    </row>
    <row r="24" spans="1:19">
      <c r="A24" s="4" t="s">
        <v>5</v>
      </c>
      <c r="B24" s="16">
        <f>((((B20*0.00314)*0.5)*'Технический лист'!$I$8)+310+(((B21*0.00314)*0.5)*'Технический лист'!$I$5))*2.45</f>
        <v>3259.8948454545457</v>
      </c>
      <c r="C24" s="16">
        <f>((((C20*0.00314)*0.5)*'Технический лист'!$I$8)+310+(((C21*0.00314)*0.5)*'Технический лист'!$I$5))*2.45</f>
        <v>3441.2358399999998</v>
      </c>
      <c r="D24" s="16">
        <f>((((D20*0.00314)*0.5)*'Технический лист'!$I$8)+310+(((D21*0.00314)*0.5)*'Технический лист'!$I$5))*2.45</f>
        <v>3531.9063372727273</v>
      </c>
      <c r="E24" s="16">
        <f>((((E20*0.00314)*0.5)*'Технический лист'!$I$8)+310+(((E21*0.00314)*0.5)*'Технический лист'!$I$5))*2.45</f>
        <v>3622.5768345454549</v>
      </c>
      <c r="F24" s="16">
        <f>((((F20*0.00314)*0.5)*'Технический лист'!$I$8)+310+(((F21*0.00314)*0.5)*'Технический лист'!$I$5))*2.45</f>
        <v>3713.2473318181819</v>
      </c>
      <c r="G24" s="16">
        <f>((((G20*0.00314)*0.5)*'Технический лист'!$I$8)+310+(((G21*0.00314)*0.5)*'Технический лист'!$I$5))*2.45</f>
        <v>3803.9178290909094</v>
      </c>
      <c r="H24" s="16">
        <f>((((H20*0.00314)*0.5)*'Технический лист'!$I$8)+310+(((H21*0.00314)*0.5)*'Технический лист'!$I$5))*2.45</f>
        <v>3985.2588236363636</v>
      </c>
      <c r="I24" s="16">
        <f>((((I20*0.00314)*0.5)*'Технический лист'!$I$8)+310+(((I21*0.00314)*0.5)*'Технический лист'!$I$5))*2.45</f>
        <v>4166.5998181818186</v>
      </c>
      <c r="J24" s="16">
        <f>((((J20*0.00314)*0.5)*'Технический лист'!$I$8)+310+(((J21*0.00314)*0.5)*'Технический лист'!$I$5))*2.45</f>
        <v>4347.9408127272727</v>
      </c>
      <c r="K24" s="16">
        <f>((((K20*0.00314)*0.5)*'Технический лист'!$I$8)+310+(((K21*0.00314)*0.5)*'Технический лист'!$I$5))*2.45</f>
        <v>4710.6228018181819</v>
      </c>
      <c r="L24" s="16">
        <f>((((L20*0.00314)*0.5)*'Технический лист'!$I$8)+310+(((L21*0.00314)*0.5)*'Технический лист'!$I$5))*2.45</f>
        <v>5073.304790909091</v>
      </c>
      <c r="M24" s="16">
        <f>((((M20*0.00314)*0.5)*'Технический лист'!$I$8)+310+(((M21*0.00314)*0.5)*'Технический лист'!$I$5))*2.45</f>
        <v>5435.9867800000002</v>
      </c>
      <c r="N24" s="16">
        <f>((((N20*0.00314)*0.5)*'Технический лист'!$I$8)+310+(((N21*0.00314)*0.5)*'Технический лист'!$I$5))*2.45</f>
        <v>5980.0097636363635</v>
      </c>
      <c r="O24" s="16">
        <f>((((O20*0.00314)*0.5)*'Технический лист'!$I$8)+310+(((O21*0.00314)*0.5)*'Технический лист'!$I$5))*2.45</f>
        <v>6161.3507581818194</v>
      </c>
      <c r="P24" s="16">
        <f>((((P20*0.00314)*0.5)*'Технический лист'!$I$8)+310+(((P21*0.00314)*0.5)*'Технический лист'!$I$5))*2.45</f>
        <v>6342.6917527272735</v>
      </c>
      <c r="Q24" s="16">
        <f>((((Q20*0.00314)*0.5)*'Технический лист'!$I$8)+310+(((Q21*0.00314)*0.5)*'Технический лист'!$I$5))*2.45</f>
        <v>6524.0327472727267</v>
      </c>
      <c r="R24" s="16">
        <f>((((R20*0.00314)*0.5)*'Технический лист'!$I$8)+310+(((R21*0.00314)*0.5)*'Технический лист'!$I$5))*2.45</f>
        <v>6705.3737418181818</v>
      </c>
      <c r="S24" s="16">
        <f>((((S20*0.00314)*0.5)*'Технический лист'!$I$8)+310+(((S21*0.00314)*0.5)*'Технический лист'!$I$5))*2.45</f>
        <v>6886.7147363636368</v>
      </c>
    </row>
    <row r="25" spans="1:19">
      <c r="A25" s="4" t="s">
        <v>96</v>
      </c>
      <c r="B25" s="9">
        <f>((B24*2)/3)-6</f>
        <v>2167.2632303030305</v>
      </c>
      <c r="C25" s="9">
        <f t="shared" ref="C25:S25" si="6">((C24*2)/3)-6</f>
        <v>2288.1572266666667</v>
      </c>
      <c r="D25" s="9">
        <f t="shared" si="6"/>
        <v>2348.604224848485</v>
      </c>
      <c r="E25" s="9">
        <f t="shared" si="6"/>
        <v>2409.0512230303034</v>
      </c>
      <c r="F25" s="9">
        <f t="shared" si="6"/>
        <v>2469.4982212121213</v>
      </c>
      <c r="G25" s="9">
        <f t="shared" si="6"/>
        <v>2529.9452193939396</v>
      </c>
      <c r="H25" s="9">
        <f t="shared" si="6"/>
        <v>2650.8392157575759</v>
      </c>
      <c r="I25" s="9">
        <f t="shared" si="6"/>
        <v>2771.7332121212125</v>
      </c>
      <c r="J25" s="9">
        <f t="shared" si="6"/>
        <v>2892.6272084848483</v>
      </c>
      <c r="K25" s="9">
        <f t="shared" si="6"/>
        <v>3134.4152012121212</v>
      </c>
      <c r="L25" s="9">
        <f t="shared" si="6"/>
        <v>3376.2031939393942</v>
      </c>
      <c r="M25" s="9">
        <f t="shared" si="6"/>
        <v>3617.9911866666666</v>
      </c>
      <c r="N25" s="9">
        <f t="shared" si="6"/>
        <v>3980.6731757575758</v>
      </c>
      <c r="O25" s="9">
        <f t="shared" si="6"/>
        <v>4101.5671721212129</v>
      </c>
      <c r="P25" s="9">
        <f t="shared" si="6"/>
        <v>4222.4611684848487</v>
      </c>
      <c r="Q25" s="9">
        <f t="shared" si="6"/>
        <v>4343.3551648484845</v>
      </c>
      <c r="R25" s="9">
        <f t="shared" si="6"/>
        <v>4464.2491612121212</v>
      </c>
      <c r="S25" s="9">
        <f t="shared" si="6"/>
        <v>4585.1431575757579</v>
      </c>
    </row>
    <row r="26" spans="1:19">
      <c r="A26" s="4" t="s">
        <v>6</v>
      </c>
      <c r="B26" s="16">
        <f>((((B20*0.00314)*0.22)*'Технический лист'!$M$8)+100+(((B21*0.00314)*0.21)*'Технический лист'!$O$5)+(((B20+30)*(B20+30)/1000000)*'Технический лист'!$E$20))*2.5</f>
        <v>1637.7730571428569</v>
      </c>
      <c r="C26" s="16">
        <f>((((C20*0.00314)*0.22)*'Технический лист'!$M$8)+100+(((C21*0.00314)*0.21)*'Технический лист'!$O$5)+(((C20+30)*(C20+30)/1000000)*'Технический лист'!$E$20))*2.5</f>
        <v>1753.4166028571426</v>
      </c>
      <c r="D26" s="16">
        <f>((((D20*0.00314)*0.22)*'Технический лист'!$M$8)+100+(((D21*0.00314)*0.21)*'Технический лист'!$O$5)+(((D20+30)*(D20+30)/1000000)*'Технический лист'!$E$20))*2.5</f>
        <v>1811.9883757142859</v>
      </c>
      <c r="E26" s="16">
        <f>((((E20*0.00314)*0.22)*'Технический лист'!$M$8)+100+(((E21*0.00314)*0.21)*'Технический лист'!$O$5)+(((E20+30)*(E20+30)/1000000)*'Технический лист'!$E$20))*2.5</f>
        <v>1871.0601485714283</v>
      </c>
      <c r="F26" s="16">
        <f>((((F20*0.00314)*0.22)*'Технический лист'!$M$8)+100+(((F21*0.00314)*0.21)*'Технический лист'!$O$5)+(((F20+30)*(F20+30)/1000000)*'Технический лист'!$E$20))*2.5</f>
        <v>1930.6319214285716</v>
      </c>
      <c r="G26" s="16">
        <f>((((G20*0.00314)*0.22)*'Технический лист'!$M$8)+100+(((G21*0.00314)*0.21)*'Технический лист'!$O$5)+(((G20+30)*(G20+30)/1000000)*'Технический лист'!$E$20))*2.5</f>
        <v>1990.7036942857142</v>
      </c>
      <c r="H26" s="16">
        <f>((((H20*0.00314)*0.22)*'Технический лист'!$M$8)+100+(((H21*0.00314)*0.21)*'Технический лист'!$O$5)+(((H20+30)*(H20+30)/1000000)*'Технический лист'!$E$20))*2.5</f>
        <v>2112.3472400000001</v>
      </c>
      <c r="I26" s="16">
        <f>((((I20*0.00314)*0.22)*'Технический лист'!$M$8)+100+(((I21*0.00314)*0.21)*'Технический лист'!$O$5)+(((I20+30)*(I20+30)/1000000)*'Технический лист'!$E$20))*2.5</f>
        <v>2235.9907857142857</v>
      </c>
      <c r="J26" s="16">
        <f>((((J20*0.00314)*0.22)*'Технический лист'!$M$8)+100+(((J21*0.00314)*0.21)*'Технический лист'!$O$5)+(((J20+30)*(J20+30)/1000000)*'Технический лист'!$E$20))*2.5</f>
        <v>2361.6343314285714</v>
      </c>
      <c r="K26" s="16">
        <f>((((K20*0.00314)*0.22)*'Технический лист'!$M$8)+100+(((K21*0.00314)*0.21)*'Технический лист'!$O$5)+(((K20+30)*(K20+30)/1000000)*'Технический лист'!$E$20))*2.5</f>
        <v>2618.9214228571427</v>
      </c>
      <c r="L26" s="16">
        <f>((((L20*0.00314)*0.22)*'Технический лист'!$M$8)+100+(((L21*0.00314)*0.21)*'Технический лист'!$O$5)+(((L20+30)*(L20+30)/1000000)*'Технический лист'!$E$20))*2.5</f>
        <v>2884.208514285714</v>
      </c>
      <c r="M26" s="16">
        <f>((((M20*0.00314)*0.22)*'Технический лист'!$M$8)+100+(((M21*0.00314)*0.21)*'Технический лист'!$O$5)+(((M20+30)*(M20+30)/1000000)*'Технический лист'!$E$20))*2.5</f>
        <v>3157.4956057142854</v>
      </c>
      <c r="N26" s="16">
        <f>((((N20*0.00314)*0.22)*'Технический лист'!$M$8)+100+(((N21*0.00314)*0.21)*'Технический лист'!$O$5)+(((N20+30)*(N20+30)/1000000)*'Технический лист'!$E$20))*2.5</f>
        <v>3582.4262428571428</v>
      </c>
      <c r="O26" s="16">
        <f>((((O20*0.00314)*0.22)*'Технический лист'!$M$8)+100+(((O21*0.00314)*0.21)*'Технический лист'!$O$5)+(((O20+30)*(O20+30)/1000000)*'Технический лист'!$E$20))*2.5</f>
        <v>3728.0697885714289</v>
      </c>
      <c r="P26" s="16">
        <f>((((P20*0.00314)*0.22)*'Технический лист'!$M$8)+100+(((P21*0.00314)*0.21)*'Технический лист'!$O$5)+(((P20+30)*(P20+30)/1000000)*'Технический лист'!$E$20))*2.5</f>
        <v>3875.7133342857142</v>
      </c>
      <c r="Q26" s="16">
        <f>((((Q20*0.00314)*0.22)*'Технический лист'!$M$8)+100+(((Q21*0.00314)*0.21)*'Технический лист'!$O$5)+(((Q20+30)*(Q20+30)/1000000)*'Технический лист'!$E$20))*2.5</f>
        <v>4025.3568799999998</v>
      </c>
      <c r="R26" s="16">
        <f>((((R20*0.00314)*0.22)*'Технический лист'!$M$8)+100+(((R21*0.00314)*0.21)*'Технический лист'!$O$5)+(((R20+30)*(R20+30)/1000000)*'Технический лист'!$E$20))*2.5</f>
        <v>4177.0004257142855</v>
      </c>
      <c r="S26" s="16">
        <f>((((S20*0.00314)*0.22)*'Технический лист'!$M$8)+100+(((S21*0.00314)*0.21)*'Технический лист'!$O$5)+(((S20+30)*(S20+30)/1000000)*'Технический лист'!$E$20))*2.5</f>
        <v>4330.6439714285707</v>
      </c>
    </row>
    <row r="27" spans="1:19">
      <c r="A27" s="4" t="s">
        <v>7</v>
      </c>
      <c r="B27" s="9">
        <f>(B26*2.2)+24</f>
        <v>3627.1007257142855</v>
      </c>
      <c r="C27" s="9">
        <f t="shared" ref="C27:S27" si="7">(C26*2.2)+24</f>
        <v>3881.516526285714</v>
      </c>
      <c r="D27" s="9">
        <f t="shared" si="7"/>
        <v>4010.3744265714295</v>
      </c>
      <c r="E27" s="9">
        <f t="shared" si="7"/>
        <v>4140.3323268571421</v>
      </c>
      <c r="F27" s="9">
        <f t="shared" si="7"/>
        <v>4271.3902271428578</v>
      </c>
      <c r="G27" s="9">
        <f t="shared" si="7"/>
        <v>4403.5481274285712</v>
      </c>
      <c r="H27" s="9">
        <f t="shared" si="7"/>
        <v>4671.1639280000009</v>
      </c>
      <c r="I27" s="9">
        <f t="shared" si="7"/>
        <v>4943.1797285714292</v>
      </c>
      <c r="J27" s="9">
        <f t="shared" si="7"/>
        <v>5219.5955291428572</v>
      </c>
      <c r="K27" s="9">
        <f t="shared" si="7"/>
        <v>5785.6271302857149</v>
      </c>
      <c r="L27" s="9">
        <f t="shared" si="7"/>
        <v>6369.2587314285711</v>
      </c>
      <c r="M27" s="9">
        <f t="shared" si="7"/>
        <v>6970.4903325714286</v>
      </c>
      <c r="N27" s="9">
        <f t="shared" si="7"/>
        <v>7905.3377342857148</v>
      </c>
      <c r="O27" s="9">
        <f t="shared" si="7"/>
        <v>8225.7535348571437</v>
      </c>
      <c r="P27" s="9">
        <f t="shared" si="7"/>
        <v>8550.5693354285722</v>
      </c>
      <c r="Q27" s="9">
        <f t="shared" si="7"/>
        <v>8879.7851360000004</v>
      </c>
      <c r="R27" s="9">
        <f t="shared" si="7"/>
        <v>9213.4009365714282</v>
      </c>
      <c r="S27" s="9">
        <f t="shared" si="7"/>
        <v>9551.4167371428557</v>
      </c>
    </row>
    <row r="28" spans="1:19">
      <c r="A28" s="4" t="s">
        <v>8</v>
      </c>
      <c r="B28" s="16">
        <f>((((B20*0.00314)*0.2)*'Технический лист'!$M$8)+50+(((B21*0.00314)*0.22)*'Технический лист'!$O$5))*2.5</f>
        <v>1325.0517246753247</v>
      </c>
      <c r="C28" s="16">
        <f>((((C20*0.00314)*0.2)*'Технический лист'!$M$8)+50+(((C21*0.00314)*0.22)*'Технический лист'!$O$5))*2.5</f>
        <v>1410.2405771428571</v>
      </c>
      <c r="D28" s="16">
        <f>((((D20*0.00314)*0.2)*'Технический лист'!$M$8)+50+(((D21*0.00314)*0.22)*'Технический лист'!$O$5))*2.5</f>
        <v>1452.8350033766237</v>
      </c>
      <c r="E28" s="16">
        <f>((((E20*0.00314)*0.2)*'Технический лист'!$M$8)+50+(((E21*0.00314)*0.22)*'Технический лист'!$O$5))*2.5</f>
        <v>1495.4294296103899</v>
      </c>
      <c r="F28" s="16">
        <f>((((F20*0.00314)*0.2)*'Технический лист'!$M$8)+50+(((F21*0.00314)*0.22)*'Технический лист'!$O$5))*2.5</f>
        <v>1538.0238558441561</v>
      </c>
      <c r="G28" s="16">
        <f>((((G20*0.00314)*0.2)*'Технический лист'!$M$8)+50+(((G21*0.00314)*0.22)*'Технический лист'!$O$5))*2.5</f>
        <v>1580.6182820779218</v>
      </c>
      <c r="H28" s="16">
        <f>((((H20*0.00314)*0.2)*'Технический лист'!$M$8)+50+(((H21*0.00314)*0.22)*'Технический лист'!$O$5))*2.5</f>
        <v>1665.8071345454546</v>
      </c>
      <c r="I28" s="16">
        <f>((((I20*0.00314)*0.2)*'Технический лист'!$M$8)+50+(((I21*0.00314)*0.22)*'Технический лист'!$O$5))*2.5</f>
        <v>1750.9959870129869</v>
      </c>
      <c r="J28" s="16">
        <f>((((J20*0.00314)*0.2)*'Технический лист'!$M$8)+50+(((J21*0.00314)*0.22)*'Технический лист'!$O$5))*2.5</f>
        <v>1836.1848394805197</v>
      </c>
      <c r="K28" s="16">
        <f>((((K20*0.00314)*0.2)*'Технический лист'!$M$8)+50+(((K21*0.00314)*0.22)*'Технический лист'!$O$5))*2.5</f>
        <v>2006.5625444155844</v>
      </c>
      <c r="L28" s="16">
        <f>((((L20*0.00314)*0.2)*'Технический лист'!$M$8)+50+(((L21*0.00314)*0.22)*'Технический лист'!$O$5))*2.5</f>
        <v>2176.9402493506495</v>
      </c>
      <c r="M28" s="16">
        <f>((((M20*0.00314)*0.2)*'Технический лист'!$M$8)+50+(((M21*0.00314)*0.22)*'Технический лист'!$O$5))*2.5</f>
        <v>2347.3179542857138</v>
      </c>
      <c r="N28" s="16">
        <f>((((N20*0.00314)*0.2)*'Технический лист'!$M$8)+50+(((N21*0.00314)*0.22)*'Технический лист'!$O$5))*2.5</f>
        <v>2602.8845116883122</v>
      </c>
      <c r="O28" s="16">
        <f>((((O20*0.00314)*0.2)*'Технический лист'!$M$8)+50+(((O21*0.00314)*0.22)*'Технический лист'!$O$5))*2.5</f>
        <v>2688.073364155844</v>
      </c>
      <c r="P28" s="16">
        <f>((((P20*0.00314)*0.2)*'Технический лист'!$M$8)+50+(((P21*0.00314)*0.22)*'Технический лист'!$O$5))*2.5</f>
        <v>2773.2622166233768</v>
      </c>
      <c r="Q28" s="16">
        <f>((((Q20*0.00314)*0.2)*'Технический лист'!$M$8)+50+(((Q21*0.00314)*0.22)*'Технический лист'!$O$5))*2.5</f>
        <v>2858.4510690909087</v>
      </c>
      <c r="R28" s="16">
        <f>((((R20*0.00314)*0.2)*'Технический лист'!$M$8)+50+(((R21*0.00314)*0.22)*'Технический лист'!$O$5))*2.5</f>
        <v>2943.6399215584415</v>
      </c>
      <c r="S28" s="16">
        <f>((((S20*0.00314)*0.2)*'Технический лист'!$M$8)+50+(((S21*0.00314)*0.22)*'Технический лист'!$O$5))*2.5</f>
        <v>3028.8287740259739</v>
      </c>
    </row>
    <row r="29" spans="1:19">
      <c r="A29" s="4" t="s">
        <v>9</v>
      </c>
      <c r="B29" s="9">
        <f>((((B20*0.00314)*((B20+545)/1000))*'Технический лист'!$K$8)+370+((B21*0.00314)*((B21+450)/1000))*'Технический лист'!$K$5)*2.54</f>
        <v>4500.1036968311691</v>
      </c>
      <c r="C29" s="9">
        <f>((((C20*0.00314)*((C20+545)/1000))*'Технический лист'!$K$8)+370+((C21*0.00314)*((C21+450)/1000))*'Технический лист'!$K$5)*2.54</f>
        <v>4813.0968174171439</v>
      </c>
      <c r="D29" s="9">
        <f>((((D20*0.00314)*((D20+545)/1000))*'Технический лист'!$K$8)+370+((D21*0.00314)*((D21+450)/1000))*'Технический лист'!$K$5)*2.54</f>
        <v>4972.5390309171435</v>
      </c>
      <c r="E29" s="9">
        <f>((((E20*0.00314)*((E20+545)/1000))*'Технический лист'!$K$8)+370+((E21*0.00314)*((E21+450)/1000))*'Технический лист'!$K$5)*2.54</f>
        <v>5133.945013221818</v>
      </c>
      <c r="F29" s="9">
        <f>((((F20*0.00314)*((F20+545)/1000))*'Технический лист'!$K$8)+370+((F21*0.00314)*((F21+450)/1000))*'Технический лист'!$K$5)*2.54</f>
        <v>5297.3147643311686</v>
      </c>
      <c r="G29" s="9">
        <f>((((G20*0.00314)*((G20+545)/1000))*'Технический лист'!$K$8)+370+((G21*0.00314)*((G21+450)/1000))*'Технический лист'!$K$5)*2.54</f>
        <v>5462.6482842451951</v>
      </c>
      <c r="H29" s="9">
        <f>((((H20*0.00314)*((H20+545)/1000))*'Технический лист'!$K$8)+370+((H21*0.00314)*((H21+450)/1000))*'Технический лист'!$K$5)*2.54</f>
        <v>5799.2066304872733</v>
      </c>
      <c r="I29" s="9">
        <f>((((I20*0.00314)*((I20+545)/1000))*'Технический лист'!$K$8)+370+((I21*0.00314)*((I21+450)/1000))*'Технический лист'!$K$5)*2.54</f>
        <v>6143.6200519480517</v>
      </c>
      <c r="J29" s="9">
        <f>((((J20*0.00314)*((J20+545)/1000))*'Технический лист'!$K$8)+370+((J21*0.00314)*((J21+450)/1000))*'Технический лист'!$K$5)*2.54</f>
        <v>6495.8885486275312</v>
      </c>
      <c r="K29" s="9">
        <f>((((K20*0.00314)*((K20+545)/1000))*'Технический лист'!$K$8)+370+((K21*0.00314)*((K21+450)/1000))*'Технический лист'!$K$5)*2.54</f>
        <v>7223.9907676425983</v>
      </c>
      <c r="L29" s="9">
        <f>((((L20*0.00314)*((L20+545)/1000))*'Технический лист'!$K$8)+370+((L21*0.00314)*((L21+450)/1000))*'Технический лист'!$K$5)*2.54</f>
        <v>7983.5132875324662</v>
      </c>
      <c r="M29" s="9">
        <f>((((M20*0.00314)*((M20+545)/1000))*'Технический лист'!$K$8)+370+((M21*0.00314)*((M21+450)/1000))*'Технический лист'!$K$5)*2.54</f>
        <v>8774.4561082971431</v>
      </c>
      <c r="N29" s="9">
        <f>((((N20*0.00314)*((N20+545)/1000))*'Технический лист'!$K$8)+370+((N21*0.00314)*((N21+450)/1000))*'Технический лист'!$K$5)*2.54</f>
        <v>10019.783403584415</v>
      </c>
      <c r="O29" s="9">
        <f>((((O20*0.00314)*((O20+545)/1000))*'Технический лист'!$K$8)+370+((O21*0.00314)*((O21+450)/1000))*'Технический лист'!$K$5)*2.54</f>
        <v>10450.602652450909</v>
      </c>
      <c r="P29" s="9">
        <f>((((P20*0.00314)*((P20+545)/1000))*'Технический лист'!$K$8)+370+((P21*0.00314)*((P21+450)/1000))*'Технический лист'!$K$5)*2.54</f>
        <v>10889.276976536103</v>
      </c>
      <c r="Q29" s="9">
        <f>((((Q20*0.00314)*((Q20+545)/1000))*'Технический лист'!$K$8)+370+((Q21*0.00314)*((Q21+450)/1000))*'Технический лист'!$K$5)*2.54</f>
        <v>11335.806375839999</v>
      </c>
      <c r="R29" s="9">
        <f>((((R20*0.00314)*((R20+545)/1000))*'Технический лист'!$K$8)+370+((R21*0.00314)*((R21+450)/1000))*'Технический лист'!$K$5)*2.54</f>
        <v>11790.190850362595</v>
      </c>
      <c r="S29" s="9">
        <f>((((S20*0.00314)*((S20+545)/1000))*'Технический лист'!$K$8)+370+((S21*0.00314)*((S21+450)/1000))*'Технический лист'!$K$5)*2.54</f>
        <v>12252.430400103893</v>
      </c>
    </row>
    <row r="30" spans="1:19" hidden="1">
      <c r="A30" s="4" t="s">
        <v>8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>
      <c r="A31" s="4" t="s">
        <v>119</v>
      </c>
      <c r="B31" s="16">
        <v>2100</v>
      </c>
      <c r="C31" s="16">
        <v>2100</v>
      </c>
      <c r="D31" s="16">
        <v>2100</v>
      </c>
      <c r="E31" s="16">
        <v>2100</v>
      </c>
      <c r="F31" s="16">
        <v>2100</v>
      </c>
      <c r="G31" s="16">
        <v>2100</v>
      </c>
      <c r="H31" s="16">
        <v>2100</v>
      </c>
      <c r="I31" s="16">
        <v>2100</v>
      </c>
      <c r="J31" s="16">
        <v>2100</v>
      </c>
      <c r="K31" s="16">
        <v>2100</v>
      </c>
      <c r="L31" s="16">
        <v>2100</v>
      </c>
      <c r="M31" s="16">
        <v>2100</v>
      </c>
      <c r="N31" s="16">
        <v>2100</v>
      </c>
      <c r="O31" s="16">
        <v>2100</v>
      </c>
      <c r="P31" s="16">
        <v>2100</v>
      </c>
      <c r="Q31" s="16">
        <v>2100</v>
      </c>
      <c r="R31" s="16">
        <v>2100</v>
      </c>
      <c r="S31" s="16">
        <v>2100</v>
      </c>
    </row>
  </sheetData>
  <mergeCells count="6">
    <mergeCell ref="A19:N19"/>
    <mergeCell ref="A1:C1"/>
    <mergeCell ref="D1:O1"/>
    <mergeCell ref="D2:O2"/>
    <mergeCell ref="D3:O3"/>
    <mergeCell ref="A5:O5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S31"/>
  <sheetViews>
    <sheetView workbookViewId="0">
      <selection activeCell="B31" sqref="B31:S31"/>
    </sheetView>
  </sheetViews>
  <sheetFormatPr defaultRowHeight="14.4"/>
  <cols>
    <col min="1" max="1" width="26.6640625" customWidth="1"/>
    <col min="2" max="19" width="6.33203125" customWidth="1"/>
  </cols>
  <sheetData>
    <row r="1" spans="1:19" ht="45" customHeight="1">
      <c r="A1" s="32"/>
      <c r="B1" s="32"/>
      <c r="C1" s="32"/>
      <c r="D1" s="40" t="s">
        <v>94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1"/>
      <c r="Q1" s="1"/>
    </row>
    <row r="2" spans="1:19" ht="15" customHeight="1">
      <c r="D2" s="34" t="s">
        <v>95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1"/>
    </row>
    <row r="3" spans="1:19" ht="15" customHeight="1">
      <c r="D3" s="34" t="s">
        <v>112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9" ht="2.25" customHeight="1"/>
    <row r="5" spans="1:19">
      <c r="A5" s="41" t="s">
        <v>130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1:19">
      <c r="A6" s="3" t="s">
        <v>0</v>
      </c>
      <c r="B6" s="10">
        <v>100</v>
      </c>
      <c r="C6" s="10">
        <v>110</v>
      </c>
      <c r="D6" s="10">
        <v>115</v>
      </c>
      <c r="E6" s="10">
        <v>120</v>
      </c>
      <c r="F6" s="10">
        <v>125</v>
      </c>
      <c r="G6" s="10">
        <v>130</v>
      </c>
      <c r="H6" s="10">
        <v>140</v>
      </c>
      <c r="I6" s="10">
        <v>150</v>
      </c>
      <c r="J6" s="10">
        <v>160</v>
      </c>
      <c r="K6" s="10">
        <v>180</v>
      </c>
      <c r="L6" s="10">
        <v>200</v>
      </c>
      <c r="M6" s="10">
        <v>220</v>
      </c>
      <c r="N6" s="10">
        <v>250</v>
      </c>
      <c r="O6" s="10">
        <v>260</v>
      </c>
      <c r="P6" s="10">
        <v>270</v>
      </c>
      <c r="Q6" s="10">
        <v>280</v>
      </c>
      <c r="R6" s="10">
        <v>290</v>
      </c>
      <c r="S6" s="10">
        <v>300</v>
      </c>
    </row>
    <row r="7" spans="1:19">
      <c r="A7" s="3" t="s">
        <v>1</v>
      </c>
      <c r="B7" s="10">
        <f>B6+70</f>
        <v>170</v>
      </c>
      <c r="C7" s="10">
        <f t="shared" ref="C7:S7" si="0">C6+70</f>
        <v>180</v>
      </c>
      <c r="D7" s="10">
        <f t="shared" si="0"/>
        <v>185</v>
      </c>
      <c r="E7" s="10">
        <f t="shared" si="0"/>
        <v>190</v>
      </c>
      <c r="F7" s="10">
        <f t="shared" si="0"/>
        <v>195</v>
      </c>
      <c r="G7" s="10">
        <f t="shared" si="0"/>
        <v>200</v>
      </c>
      <c r="H7" s="10">
        <f t="shared" si="0"/>
        <v>210</v>
      </c>
      <c r="I7" s="10">
        <f t="shared" si="0"/>
        <v>220</v>
      </c>
      <c r="J7" s="10">
        <f t="shared" si="0"/>
        <v>230</v>
      </c>
      <c r="K7" s="10">
        <f t="shared" si="0"/>
        <v>250</v>
      </c>
      <c r="L7" s="10">
        <f t="shared" si="0"/>
        <v>270</v>
      </c>
      <c r="M7" s="10">
        <f t="shared" si="0"/>
        <v>290</v>
      </c>
      <c r="N7" s="10">
        <f t="shared" si="0"/>
        <v>320</v>
      </c>
      <c r="O7" s="10">
        <f t="shared" si="0"/>
        <v>330</v>
      </c>
      <c r="P7" s="10">
        <f t="shared" si="0"/>
        <v>340</v>
      </c>
      <c r="Q7" s="10">
        <f t="shared" si="0"/>
        <v>350</v>
      </c>
      <c r="R7" s="10">
        <f t="shared" si="0"/>
        <v>360</v>
      </c>
      <c r="S7" s="10">
        <f t="shared" si="0"/>
        <v>370</v>
      </c>
    </row>
    <row r="8" spans="1:19">
      <c r="A8" s="4" t="s">
        <v>4</v>
      </c>
      <c r="B8" s="16">
        <f>(((B6*0.00314)*'Технический лист'!$G$10)+310+((B7*0.00314)*'Технический лист'!$G$11))*2.32</f>
        <v>2823.7027184069266</v>
      </c>
      <c r="C8" s="16">
        <f>(((C6*0.00314)*'Технический лист'!$G$10)+310+((C7*0.00314)*'Технический лист'!$G$11))*2.32</f>
        <v>3016.1182537142854</v>
      </c>
      <c r="D8" s="16">
        <f>(((D6*0.00314)*'Технический лист'!$G$10)+310+((D7*0.00314)*'Технический лист'!$G$11))*2.32</f>
        <v>3112.3260213679646</v>
      </c>
      <c r="E8" s="16">
        <f>(((E6*0.00314)*'Технический лист'!$G$10)+310+((E7*0.00314)*'Технический лист'!$G$11))*2.32</f>
        <v>3208.5337890216451</v>
      </c>
      <c r="F8" s="16">
        <f>(((F6*0.00314)*'Технический лист'!$G$10)+310+((F7*0.00314)*'Технический лист'!$G$11))*2.32</f>
        <v>3304.7415566753243</v>
      </c>
      <c r="G8" s="16">
        <f>(((G6*0.00314)*'Технический лист'!$G$10)+310+((G7*0.00314)*'Технический лист'!$G$11))*2.32</f>
        <v>3400.9493243290035</v>
      </c>
      <c r="H8" s="16">
        <f>(((H6*0.00314)*'Технический лист'!$G$10)+310+((H7*0.00314)*'Технический лист'!$G$11))*2.32</f>
        <v>3593.3648596363628</v>
      </c>
      <c r="I8" s="16">
        <f>(((I6*0.00314)*'Технический лист'!$G$10)+310+((I7*0.00314)*'Технический лист'!$G$11))*2.32</f>
        <v>3785.7803949437225</v>
      </c>
      <c r="J8" s="16">
        <f>(((J6*0.00314)*'Технический лист'!$G$10)+310+((J7*0.00314)*'Технический лист'!$G$11))*2.32</f>
        <v>3978.1959302510813</v>
      </c>
      <c r="K8" s="16">
        <f>(((K6*0.00314)*'Технический лист'!$G$10)+310+((K7*0.00314)*'Технический лист'!$G$11))*2.32</f>
        <v>4363.0270008657999</v>
      </c>
      <c r="L8" s="16">
        <f>(((L6*0.00314)*'Технический лист'!$G$10)+310+((L7*0.00314)*'Технический лист'!$G$11))*2.32</f>
        <v>4747.8580714805194</v>
      </c>
      <c r="M8" s="16">
        <f>(((M6*0.00314)*'Технический лист'!$G$10)+310+((M7*0.00314)*'Технический лист'!$G$11))*2.32</f>
        <v>5132.689142095237</v>
      </c>
      <c r="N8" s="16">
        <f>(((N6*0.00314)*'Технический лист'!$G$10)+310+((N7*0.00314)*'Технический лист'!$G$11))*2.32</f>
        <v>5709.9357480173148</v>
      </c>
      <c r="O8" s="16">
        <f>(((O6*0.00314)*'Технический лист'!$G$10)+310+((O7*0.00314)*'Технический лист'!$G$11))*2.32</f>
        <v>5902.3512833246741</v>
      </c>
      <c r="P8" s="16">
        <f>(((P6*0.00314)*'Технический лист'!$G$10)+310+((P7*0.00314)*'Технический лист'!$G$11))*2.32</f>
        <v>6094.7668186320334</v>
      </c>
      <c r="Q8" s="16">
        <f>(((Q6*0.00314)*'Технический лист'!$G$10)+310+((Q7*0.00314)*'Технический лист'!$G$11))*2.32</f>
        <v>6287.1823539393927</v>
      </c>
      <c r="R8" s="16">
        <f>(((R6*0.00314)*'Технический лист'!$G$10)+310+((R7*0.00314)*'Технический лист'!$G$11))*2.32</f>
        <v>6479.5978892467519</v>
      </c>
      <c r="S8" s="16">
        <f>(((S6*0.00314)*'Технический лист'!$G$10)+310+((S7*0.00314)*'Технический лист'!$G$11))*2.32</f>
        <v>6672.0134245541121</v>
      </c>
    </row>
    <row r="9" spans="1:19">
      <c r="A9" s="4" t="s">
        <v>3</v>
      </c>
      <c r="B9" s="9">
        <f>((B8/2)*1.07)-10</f>
        <v>1500.6809543477059</v>
      </c>
      <c r="C9" s="9">
        <f t="shared" ref="C9:S9" si="1">((C8/2)*1.07)-10</f>
        <v>1603.6232657371427</v>
      </c>
      <c r="D9" s="9">
        <f t="shared" si="1"/>
        <v>1655.0944214318611</v>
      </c>
      <c r="E9" s="9">
        <f t="shared" si="1"/>
        <v>1706.5655771265801</v>
      </c>
      <c r="F9" s="9">
        <f t="shared" si="1"/>
        <v>1758.0367328212985</v>
      </c>
      <c r="G9" s="9">
        <f t="shared" si="1"/>
        <v>1809.5078885160169</v>
      </c>
      <c r="H9" s="9">
        <f t="shared" si="1"/>
        <v>1912.4501999054542</v>
      </c>
      <c r="I9" s="9">
        <f t="shared" si="1"/>
        <v>2015.3925112948916</v>
      </c>
      <c r="J9" s="9">
        <f t="shared" si="1"/>
        <v>2118.3348226843286</v>
      </c>
      <c r="K9" s="9">
        <f t="shared" si="1"/>
        <v>2324.2194454632031</v>
      </c>
      <c r="L9" s="9">
        <f t="shared" si="1"/>
        <v>2530.104068242078</v>
      </c>
      <c r="M9" s="9">
        <f t="shared" si="1"/>
        <v>2735.988691020952</v>
      </c>
      <c r="N9" s="9">
        <f t="shared" si="1"/>
        <v>3044.8156251892638</v>
      </c>
      <c r="O9" s="9">
        <f t="shared" si="1"/>
        <v>3147.757936578701</v>
      </c>
      <c r="P9" s="9">
        <f t="shared" si="1"/>
        <v>3250.7002479681382</v>
      </c>
      <c r="Q9" s="9">
        <f t="shared" si="1"/>
        <v>3353.6425593575755</v>
      </c>
      <c r="R9" s="9">
        <f t="shared" si="1"/>
        <v>3456.5848707470127</v>
      </c>
      <c r="S9" s="9">
        <f t="shared" si="1"/>
        <v>3559.5271821364504</v>
      </c>
    </row>
    <row r="10" spans="1:19">
      <c r="A10" s="4" t="s">
        <v>5</v>
      </c>
      <c r="B10" s="16">
        <f>((((B6*0.00314)*0.5)*'Технический лист'!$I$10)+310+(((B7*0.00314)*0.5)*'Технический лист'!$I$11))*2.4</f>
        <v>2368.5338888311685</v>
      </c>
      <c r="C10" s="16">
        <f>((((C6*0.00314)*0.5)*'Технический лист'!$I$10)+310+(((C7*0.00314)*0.5)*'Технический лист'!$I$11))*2.4</f>
        <v>2513.0867657142858</v>
      </c>
      <c r="D10" s="16">
        <f>((((D6*0.00314)*0.5)*'Технический лист'!$I$10)+310+(((D7*0.00314)*0.5)*'Технический лист'!$I$11))*2.4</f>
        <v>2585.3632041558435</v>
      </c>
      <c r="E10" s="16">
        <f>((((E6*0.00314)*0.5)*'Технический лист'!$I$10)+310+(((E7*0.00314)*0.5)*'Технический лист'!$I$11))*2.4</f>
        <v>2657.6396425974021</v>
      </c>
      <c r="F10" s="16">
        <f>((((F6*0.00314)*0.5)*'Технический лист'!$I$10)+310+(((F7*0.00314)*0.5)*'Технический лист'!$I$11))*2.4</f>
        <v>2729.9160810389608</v>
      </c>
      <c r="G10" s="16">
        <f>((((G6*0.00314)*0.5)*'Технический лист'!$I$10)+310+(((G7*0.00314)*0.5)*'Технический лист'!$I$11))*2.4</f>
        <v>2802.1925194805194</v>
      </c>
      <c r="H10" s="16">
        <f>((((H6*0.00314)*0.5)*'Технический лист'!$I$10)+310+(((H7*0.00314)*0.5)*'Технический лист'!$I$11))*2.4</f>
        <v>2946.7453963636358</v>
      </c>
      <c r="I10" s="16">
        <f>((((I6*0.00314)*0.5)*'Технический лист'!$I$10)+310+(((I7*0.00314)*0.5)*'Технический лист'!$I$11))*2.4</f>
        <v>3091.2982732467531</v>
      </c>
      <c r="J10" s="16">
        <f>((((J6*0.00314)*0.5)*'Технический лист'!$I$10)+310+(((J7*0.00314)*0.5)*'Технический лист'!$I$11))*2.4</f>
        <v>3235.8511501298699</v>
      </c>
      <c r="K10" s="16">
        <f>((((K6*0.00314)*0.5)*'Технический лист'!$I$10)+310+(((K7*0.00314)*0.5)*'Технический лист'!$I$11))*2.4</f>
        <v>3524.956903896104</v>
      </c>
      <c r="L10" s="16">
        <f>((((L6*0.00314)*0.5)*'Технический лист'!$I$10)+310+(((L7*0.00314)*0.5)*'Технический лист'!$I$11))*2.4</f>
        <v>3814.0626576623372</v>
      </c>
      <c r="M10" s="16">
        <f>((((M6*0.00314)*0.5)*'Технический лист'!$I$10)+310+(((M7*0.00314)*0.5)*'Технический лист'!$I$11))*2.4</f>
        <v>4103.1684114285708</v>
      </c>
      <c r="N10" s="16">
        <f>((((N6*0.00314)*0.5)*'Технический лист'!$I$10)+310+(((N7*0.00314)*0.5)*'Технический лист'!$I$11))*2.4</f>
        <v>4536.8270420779218</v>
      </c>
      <c r="O10" s="16">
        <f>((((O6*0.00314)*0.5)*'Технический лист'!$I$10)+310+(((O7*0.00314)*0.5)*'Технический лист'!$I$11))*2.4</f>
        <v>4681.379918961039</v>
      </c>
      <c r="P10" s="16">
        <f>((((P6*0.00314)*0.5)*'Технический лист'!$I$10)+310+(((P7*0.00314)*0.5)*'Технический лист'!$I$11))*2.4</f>
        <v>4825.9327958441554</v>
      </c>
      <c r="Q10" s="16">
        <f>((((Q6*0.00314)*0.5)*'Технический лист'!$I$10)+310+(((Q7*0.00314)*0.5)*'Технический лист'!$I$11))*2.4</f>
        <v>4970.4856727272718</v>
      </c>
      <c r="R10" s="16">
        <f>((((R6*0.00314)*0.5)*'Технический лист'!$I$10)+310+(((R7*0.00314)*0.5)*'Технический лист'!$I$11))*2.4</f>
        <v>5115.0385496103891</v>
      </c>
      <c r="S10" s="16">
        <f>((((S6*0.00314)*0.5)*'Технический лист'!$I$10)+310+(((S7*0.00314)*0.5)*'Технический лист'!$I$11))*2.4</f>
        <v>5259.5914264935054</v>
      </c>
    </row>
    <row r="11" spans="1:19">
      <c r="A11" s="4" t="s">
        <v>96</v>
      </c>
      <c r="B11" s="9">
        <f>((B10*2)/3)-6</f>
        <v>1573.0225925541124</v>
      </c>
      <c r="C11" s="9">
        <f t="shared" ref="C11:S11" si="2">((C10*2)/3)-6</f>
        <v>1669.3911771428573</v>
      </c>
      <c r="D11" s="9">
        <f t="shared" si="2"/>
        <v>1717.575469437229</v>
      </c>
      <c r="E11" s="9">
        <f t="shared" si="2"/>
        <v>1765.7597617316014</v>
      </c>
      <c r="F11" s="9">
        <f t="shared" si="2"/>
        <v>1813.9440540259739</v>
      </c>
      <c r="G11" s="9">
        <f t="shared" si="2"/>
        <v>1862.1283463203463</v>
      </c>
      <c r="H11" s="9">
        <f t="shared" si="2"/>
        <v>1958.4969309090905</v>
      </c>
      <c r="I11" s="9">
        <f t="shared" si="2"/>
        <v>2054.8655154978355</v>
      </c>
      <c r="J11" s="9">
        <f t="shared" si="2"/>
        <v>2151.2341000865799</v>
      </c>
      <c r="K11" s="9">
        <f t="shared" si="2"/>
        <v>2343.9712692640692</v>
      </c>
      <c r="L11" s="9">
        <f t="shared" si="2"/>
        <v>2536.708438441558</v>
      </c>
      <c r="M11" s="9">
        <f t="shared" si="2"/>
        <v>2729.4456076190472</v>
      </c>
      <c r="N11" s="9">
        <f t="shared" si="2"/>
        <v>3018.5513613852813</v>
      </c>
      <c r="O11" s="9">
        <f t="shared" si="2"/>
        <v>3114.9199459740262</v>
      </c>
      <c r="P11" s="9">
        <f t="shared" si="2"/>
        <v>3211.2885305627701</v>
      </c>
      <c r="Q11" s="9">
        <f t="shared" si="2"/>
        <v>3307.6571151515145</v>
      </c>
      <c r="R11" s="9">
        <f t="shared" si="2"/>
        <v>3404.0256997402594</v>
      </c>
      <c r="S11" s="9">
        <f t="shared" si="2"/>
        <v>3500.3942843290038</v>
      </c>
    </row>
    <row r="12" spans="1:19">
      <c r="A12" s="4" t="s">
        <v>6</v>
      </c>
      <c r="B12" s="16">
        <f>((((B6*0.00314)*0.22)*'Технический лист'!$M$10)+100+(((B7*0.00314)*0.21)*'Технический лист'!$O$11)+(((B6+30)*(B6+30)/1000000)*'Технический лист'!$E$20))*2.33</f>
        <v>1225.5569103657142</v>
      </c>
      <c r="C12" s="16">
        <f>((((C6*0.00314)*0.22)*'Технический лист'!$M$10)+100+(((C7*0.00314)*0.21)*'Технический лист'!$O$11)+(((C6+30)*(C6+30)/1000000)*'Технический лист'!$E$20))*2.33</f>
        <v>1322.6249420342858</v>
      </c>
      <c r="D12" s="16">
        <f>((((D6*0.00314)*0.22)*'Технический лист'!$M$10)+100+(((D7*0.00314)*0.21)*'Технический лист'!$O$11)+(((D6+30)*(D6+30)/1000000)*'Технический лист'!$E$20))*2.33</f>
        <v>1371.8579578685712</v>
      </c>
      <c r="E12" s="16">
        <f>((((E6*0.00314)*0.22)*'Технический лист'!$M$10)+100+(((E7*0.00314)*0.21)*'Технический лист'!$O$11)+(((E6+30)*(E6+30)/1000000)*'Технический лист'!$E$20))*2.33</f>
        <v>1421.5569737028575</v>
      </c>
      <c r="F12" s="16">
        <f>((((F6*0.00314)*0.22)*'Технический лист'!$M$10)+100+(((F7*0.00314)*0.21)*'Технический лист'!$O$11)+(((F6+30)*(F6+30)/1000000)*'Технический лист'!$E$20))*2.33</f>
        <v>1471.7219895371429</v>
      </c>
      <c r="G12" s="16">
        <f>((((G6*0.00314)*0.22)*'Технический лист'!$M$10)+100+(((G7*0.00314)*0.21)*'Технический лист'!$O$11)+(((G6+30)*(G6+30)/1000000)*'Технический лист'!$E$20))*2.33</f>
        <v>1522.3530053714285</v>
      </c>
      <c r="H12" s="16">
        <f>((((H6*0.00314)*0.22)*'Технический лист'!$M$10)+100+(((H7*0.00314)*0.21)*'Технический лист'!$O$11)+(((H6+30)*(H6+30)/1000000)*'Технический лист'!$E$20))*2.33</f>
        <v>1625.01303704</v>
      </c>
      <c r="I12" s="16">
        <f>((((I6*0.00314)*0.22)*'Технический лист'!$M$10)+100+(((I7*0.00314)*0.21)*'Технический лист'!$O$11)+(((I6+30)*(I6+30)/1000000)*'Технический лист'!$E$20))*2.33</f>
        <v>1729.5370687085713</v>
      </c>
      <c r="J12" s="16">
        <f>((((J6*0.00314)*0.22)*'Технический лист'!$M$10)+100+(((J7*0.00314)*0.21)*'Технический лист'!$O$11)+(((J6+30)*(J6+30)/1000000)*'Технический лист'!$E$20))*2.33</f>
        <v>1835.9251003771426</v>
      </c>
      <c r="K12" s="16">
        <f>((((K6*0.00314)*0.22)*'Технический лист'!$M$10)+100+(((K7*0.00314)*0.21)*'Технический лист'!$O$11)+(((K6+30)*(K6+30)/1000000)*'Технический лист'!$E$20))*2.33</f>
        <v>2054.293163714286</v>
      </c>
      <c r="L12" s="16">
        <f>((((L6*0.00314)*0.22)*'Технический лист'!$M$10)+100+(((L7*0.00314)*0.21)*'Технический лист'!$O$11)+(((L6+30)*(L6+30)/1000000)*'Технический лист'!$E$20))*2.33</f>
        <v>2280.1172270514289</v>
      </c>
      <c r="M12" s="16">
        <f>((((M6*0.00314)*0.22)*'Технический лист'!$M$10)+100+(((M7*0.00314)*0.21)*'Технический лист'!$O$11)+(((M6+30)*(M6+30)/1000000)*'Технический лист'!$E$20))*2.33</f>
        <v>2513.397290388571</v>
      </c>
      <c r="N12" s="16">
        <f>((((N6*0.00314)*0.22)*'Технический лист'!$M$10)+100+(((N7*0.00314)*0.21)*'Технический лист'!$O$11)+(((N6+30)*(N6+30)/1000000)*'Технический лист'!$E$20))*2.33</f>
        <v>2877.2973853942858</v>
      </c>
      <c r="O12" s="16">
        <f>((((O6*0.00314)*0.22)*'Технический лист'!$M$10)+100+(((O7*0.00314)*0.21)*'Технический лист'!$O$11)+(((O6+30)*(O6+30)/1000000)*'Технический лист'!$E$20))*2.33</f>
        <v>3002.325417062857</v>
      </c>
      <c r="P12" s="16">
        <f>((((P6*0.00314)*0.22)*'Технический лист'!$M$10)+100+(((P7*0.00314)*0.21)*'Технический лист'!$O$11)+(((P6+30)*(P6+30)/1000000)*'Технический лист'!$E$20))*2.33</f>
        <v>3129.2174487314287</v>
      </c>
      <c r="Q12" s="16">
        <f>((((Q6*0.00314)*0.22)*'Технический лист'!$M$10)+100+(((Q7*0.00314)*0.21)*'Технический лист'!$O$11)+(((Q6+30)*(Q6+30)/1000000)*'Технический лист'!$E$20))*2.33</f>
        <v>3257.9734804</v>
      </c>
      <c r="R12" s="16">
        <f>((((R6*0.00314)*0.22)*'Технический лист'!$M$10)+100+(((R7*0.00314)*0.21)*'Технический лист'!$O$11)+(((R6+30)*(R6+30)/1000000)*'Технический лист'!$E$20))*2.33</f>
        <v>3388.5935120685713</v>
      </c>
      <c r="S12" s="16">
        <f>((((S6*0.00314)*0.22)*'Технический лист'!$M$10)+100+(((S7*0.00314)*0.21)*'Технический лист'!$O$11)+(((S6+30)*(S6+30)/1000000)*'Технический лист'!$E$20))*2.33</f>
        <v>3521.0775437371426</v>
      </c>
    </row>
    <row r="13" spans="1:19">
      <c r="A13" s="4" t="s">
        <v>7</v>
      </c>
      <c r="B13" s="9">
        <f>(B12*2.2)+24</f>
        <v>2720.2252028045714</v>
      </c>
      <c r="C13" s="9">
        <f t="shared" ref="C13:S13" si="3">(C12*2.2)+24</f>
        <v>2933.7748724754292</v>
      </c>
      <c r="D13" s="9">
        <f t="shared" si="3"/>
        <v>3042.0875073108568</v>
      </c>
      <c r="E13" s="9">
        <f t="shared" si="3"/>
        <v>3151.4253421462868</v>
      </c>
      <c r="F13" s="9">
        <f t="shared" si="3"/>
        <v>3261.7883769817145</v>
      </c>
      <c r="G13" s="9">
        <f t="shared" si="3"/>
        <v>3373.1766118171431</v>
      </c>
      <c r="H13" s="9">
        <f t="shared" si="3"/>
        <v>3599.0286814880001</v>
      </c>
      <c r="I13" s="9">
        <f t="shared" si="3"/>
        <v>3828.9815511588572</v>
      </c>
      <c r="J13" s="9">
        <f t="shared" si="3"/>
        <v>4063.035220829714</v>
      </c>
      <c r="K13" s="9">
        <f t="shared" si="3"/>
        <v>4543.4449601714296</v>
      </c>
      <c r="L13" s="9">
        <f t="shared" si="3"/>
        <v>5040.2578995131444</v>
      </c>
      <c r="M13" s="9">
        <f t="shared" si="3"/>
        <v>5553.4740388548571</v>
      </c>
      <c r="N13" s="9">
        <f t="shared" si="3"/>
        <v>6354.0542478674297</v>
      </c>
      <c r="O13" s="9">
        <f t="shared" si="3"/>
        <v>6629.1159175382863</v>
      </c>
      <c r="P13" s="9">
        <f t="shared" si="3"/>
        <v>6908.2783872091441</v>
      </c>
      <c r="Q13" s="9">
        <f t="shared" si="3"/>
        <v>7191.5416568800001</v>
      </c>
      <c r="R13" s="9">
        <f t="shared" si="3"/>
        <v>7478.9057265508573</v>
      </c>
      <c r="S13" s="9">
        <f t="shared" si="3"/>
        <v>7770.3705962217145</v>
      </c>
    </row>
    <row r="14" spans="1:19">
      <c r="A14" s="4" t="s">
        <v>8</v>
      </c>
      <c r="B14" s="16">
        <f>((((B6*0.00314)*0.2)*'Технический лист'!$M$10)+50+(((B7*0.00314)*0.22)*'Технический лист'!$O$11))*2.43</f>
        <v>953.91956913662352</v>
      </c>
      <c r="C14" s="16">
        <f>((((C6*0.00314)*0.2)*'Технический лист'!$M$10)+50+(((C7*0.00314)*0.22)*'Технический лист'!$O$11))*2.43</f>
        <v>1024.4866447542859</v>
      </c>
      <c r="D14" s="16">
        <f>((((D6*0.00314)*0.2)*'Технический лист'!$M$10)+50+(((D7*0.00314)*0.22)*'Технический лист'!$O$11))*2.43</f>
        <v>1059.770182563117</v>
      </c>
      <c r="E14" s="16">
        <f>((((E6*0.00314)*0.2)*'Технический лист'!$M$10)+50+(((E7*0.00314)*0.22)*'Технический лист'!$O$11))*2.43</f>
        <v>1095.0537203719482</v>
      </c>
      <c r="F14" s="16">
        <f>((((F6*0.00314)*0.2)*'Технический лист'!$M$10)+50+(((F7*0.00314)*0.22)*'Технический лист'!$O$11))*2.43</f>
        <v>1130.3372581807796</v>
      </c>
      <c r="G14" s="16">
        <f>((((G6*0.00314)*0.2)*'Технический лист'!$M$10)+50+(((G7*0.00314)*0.22)*'Технический лист'!$O$11))*2.43</f>
        <v>1165.6207959896105</v>
      </c>
      <c r="H14" s="16">
        <f>((((H6*0.00314)*0.2)*'Технический лист'!$M$10)+50+(((H7*0.00314)*0.22)*'Технический лист'!$O$11))*2.43</f>
        <v>1236.1878716072727</v>
      </c>
      <c r="I14" s="16">
        <f>((((I6*0.00314)*0.2)*'Технический лист'!$M$10)+50+(((I7*0.00314)*0.22)*'Технический лист'!$O$11))*2.43</f>
        <v>1306.7549472249352</v>
      </c>
      <c r="J14" s="16">
        <f>((((J6*0.00314)*0.2)*'Технический лист'!$M$10)+50+(((J7*0.00314)*0.22)*'Технический лист'!$O$11))*2.43</f>
        <v>1377.3220228425976</v>
      </c>
      <c r="K14" s="16">
        <f>((((K6*0.00314)*0.2)*'Технический лист'!$M$10)+50+(((K7*0.00314)*0.22)*'Технический лист'!$O$11))*2.43</f>
        <v>1518.4561740779222</v>
      </c>
      <c r="L14" s="16">
        <f>((((L6*0.00314)*0.2)*'Технический лист'!$M$10)+50+(((L7*0.00314)*0.22)*'Технический лист'!$O$11))*2.43</f>
        <v>1659.5903253132469</v>
      </c>
      <c r="M14" s="16">
        <f>((((M6*0.00314)*0.2)*'Технический лист'!$M$10)+50+(((M7*0.00314)*0.22)*'Технический лист'!$O$11))*2.43</f>
        <v>1800.7244765485714</v>
      </c>
      <c r="N14" s="16">
        <f>((((N6*0.00314)*0.2)*'Технический лист'!$M$10)+50+(((N7*0.00314)*0.22)*'Технический лист'!$O$11))*2.43</f>
        <v>2012.4257034015588</v>
      </c>
      <c r="O14" s="16">
        <f>((((O6*0.00314)*0.2)*'Технический лист'!$M$10)+50+(((O7*0.00314)*0.22)*'Технический лист'!$O$11))*2.43</f>
        <v>2082.992779019221</v>
      </c>
      <c r="P14" s="16">
        <f>((((P6*0.00314)*0.2)*'Технический лист'!$M$10)+50+(((P7*0.00314)*0.22)*'Технический лист'!$O$11))*2.43</f>
        <v>2153.5598546368833</v>
      </c>
      <c r="Q14" s="16">
        <f>((((Q6*0.00314)*0.2)*'Технический лист'!$M$10)+50+(((Q7*0.00314)*0.22)*'Технический лист'!$O$11))*2.43</f>
        <v>2224.1269302545456</v>
      </c>
      <c r="R14" s="16">
        <f>((((R6*0.00314)*0.2)*'Технический лист'!$M$10)+50+(((R7*0.00314)*0.22)*'Технический лист'!$O$11))*2.43</f>
        <v>2294.694005872208</v>
      </c>
      <c r="S14" s="16">
        <f>((((S6*0.00314)*0.2)*'Технический лист'!$M$10)+50+(((S7*0.00314)*0.22)*'Технический лист'!$O$11))*2.43</f>
        <v>2365.2610814898703</v>
      </c>
    </row>
    <row r="15" spans="1:19">
      <c r="A15" s="4" t="s">
        <v>9</v>
      </c>
      <c r="B15" s="9">
        <f>((((B6*0.00314)*((B6+545)/1000))*'Технический лист'!$K$10)+370+((B7*0.00314)*((B7+450)/1000))*'Технический лист'!$K$11)*2.55</f>
        <v>3172.8544793792207</v>
      </c>
      <c r="C15" s="9">
        <f>((((C6*0.00314)*((C6+545)/1000))*'Технический лист'!$K$10)+370+((C7*0.00314)*((C7+450)/1000))*'Технический лист'!$K$11)*2.55</f>
        <v>3410.2394815285711</v>
      </c>
      <c r="D15" s="9">
        <f>((((D6*0.00314)*((D6+545)/1000))*'Технический лист'!$K$10)+370+((D7*0.00314)*((D7+450)/1000))*'Технический лист'!$K$11)*2.55</f>
        <v>3531.2658203285705</v>
      </c>
      <c r="E15" s="9">
        <f>((((E6*0.00314)*((E6+545)/1000))*'Технический лист'!$K$10)+370+((E7*0.00314)*((E7+450)/1000))*'Технический лист'!$K$11)*2.55</f>
        <v>3653.8480509454544</v>
      </c>
      <c r="F15" s="9">
        <f>((((F6*0.00314)*((F6+545)/1000))*'Технический лист'!$K$10)+370+((F7*0.00314)*((F7+450)/1000))*'Технический лист'!$K$11)*2.55</f>
        <v>3777.98617337922</v>
      </c>
      <c r="G15" s="9">
        <f>((((G6*0.00314)*((G6+545)/1000))*'Технический лист'!$K$10)+370+((G7*0.00314)*((G7+450)/1000))*'Технический лист'!$K$11)*2.55</f>
        <v>3903.6801876298696</v>
      </c>
      <c r="H15" s="9">
        <f>((((H6*0.00314)*((H6+545)/1000))*'Технический лист'!$K$10)+370+((H7*0.00314)*((H7+450)/1000))*'Технический лист'!$K$11)*2.55</f>
        <v>4159.7358915818177</v>
      </c>
      <c r="I15" s="9">
        <f>((((I6*0.00314)*((I6+545)/1000))*'Технический лист'!$K$10)+370+((I7*0.00314)*((I7+450)/1000))*'Технический лист'!$K$11)*2.55</f>
        <v>4422.0151628012973</v>
      </c>
      <c r="J15" s="9">
        <f>((((J6*0.00314)*((J6+545)/1000))*'Технический лист'!$K$10)+370+((J7*0.00314)*((J7+450)/1000))*'Технический лист'!$K$11)*2.55</f>
        <v>4690.5180012883102</v>
      </c>
      <c r="K15" s="9">
        <f>((((K6*0.00314)*((K6+545)/1000))*'Технический лист'!$K$10)+370+((K7*0.00314)*((K7+450)/1000))*'Технический лист'!$K$11)*2.55</f>
        <v>5246.1943800649351</v>
      </c>
      <c r="L15" s="9">
        <f>((((L6*0.00314)*((L6+545)/1000))*'Технический лист'!$K$10)+370+((L7*0.00314)*((L7+450)/1000))*'Технический лист'!$K$11)*2.55</f>
        <v>5826.7650279116879</v>
      </c>
      <c r="M15" s="9">
        <f>((((M6*0.00314)*((M6+545)/1000))*'Технический лист'!$K$10)+370+((M7*0.00314)*((M7+450)/1000))*'Технический лист'!$K$11)*2.55</f>
        <v>6432.2299448285694</v>
      </c>
      <c r="N15" s="9">
        <f>((((N6*0.00314)*((N6+545)/1000))*'Технический лист'!$K$10)+370+((N7*0.00314)*((N7+450)/1000))*'Технический лист'!$K$11)*2.55</f>
        <v>7387.1040747103889</v>
      </c>
      <c r="O15" s="9">
        <f>((((O6*0.00314)*((O6+545)/1000))*'Технический лист'!$K$10)+370+((O7*0.00314)*((O7+450)/1000))*'Технический лист'!$K$11)*2.55</f>
        <v>7717.8425858727269</v>
      </c>
      <c r="P15" s="9">
        <f>((((P6*0.00314)*((P6+545)/1000))*'Технический лист'!$K$10)+370+((P7*0.00314)*((P7+450)/1000))*'Технический лист'!$K$11)*2.55</f>
        <v>8054.8046643025964</v>
      </c>
      <c r="Q15" s="9">
        <f>((((Q6*0.00314)*((Q6+545)/1000))*'Технический лист'!$K$10)+370+((Q7*0.00314)*((Q7+450)/1000))*'Технический лист'!$K$11)*2.55</f>
        <v>8397.9903099999992</v>
      </c>
      <c r="R15" s="9">
        <f>((((R6*0.00314)*((R6+545)/1000))*'Технический лист'!$K$10)+370+((R7*0.00314)*((R7+450)/1000))*'Технический лист'!$K$11)*2.55</f>
        <v>8747.3995229649336</v>
      </c>
      <c r="S15" s="9">
        <f>((((S6*0.00314)*((S6+545)/1000))*'Технический лист'!$K$10)+370+((S7*0.00314)*((S7+450)/1000))*'Технический лист'!$K$11)*2.55</f>
        <v>9103.0323031974021</v>
      </c>
    </row>
    <row r="16" spans="1:19" ht="0.75" hidden="1" customHeight="1">
      <c r="A16" s="4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>
      <c r="A17" s="4" t="s">
        <v>118</v>
      </c>
      <c r="B17" s="16">
        <v>1800</v>
      </c>
      <c r="C17" s="16">
        <v>1800</v>
      </c>
      <c r="D17" s="16">
        <v>1800</v>
      </c>
      <c r="E17" s="16">
        <v>1800</v>
      </c>
      <c r="F17" s="16">
        <v>1800</v>
      </c>
      <c r="G17" s="16">
        <v>1800</v>
      </c>
      <c r="H17" s="16">
        <v>1800</v>
      </c>
      <c r="I17" s="16">
        <v>1800</v>
      </c>
      <c r="J17" s="16">
        <v>1800</v>
      </c>
      <c r="K17" s="16">
        <v>1800</v>
      </c>
      <c r="L17" s="16">
        <v>1800</v>
      </c>
      <c r="M17" s="16">
        <v>1800</v>
      </c>
      <c r="N17" s="16">
        <v>1800</v>
      </c>
      <c r="O17" s="16">
        <v>1800</v>
      </c>
      <c r="P17" s="16">
        <v>1800</v>
      </c>
      <c r="Q17" s="16">
        <v>1800</v>
      </c>
      <c r="R17" s="16">
        <v>1800</v>
      </c>
      <c r="S17" s="16">
        <v>1800</v>
      </c>
    </row>
    <row r="19" spans="1:19">
      <c r="A19" s="41" t="s">
        <v>131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19">
      <c r="A20" s="3" t="s">
        <v>0</v>
      </c>
      <c r="B20" s="10">
        <v>100</v>
      </c>
      <c r="C20" s="10">
        <v>110</v>
      </c>
      <c r="D20" s="10">
        <v>115</v>
      </c>
      <c r="E20" s="10">
        <v>120</v>
      </c>
      <c r="F20" s="10">
        <v>125</v>
      </c>
      <c r="G20" s="10">
        <v>130</v>
      </c>
      <c r="H20" s="10">
        <v>140</v>
      </c>
      <c r="I20" s="10">
        <v>150</v>
      </c>
      <c r="J20" s="10">
        <v>160</v>
      </c>
      <c r="K20" s="10">
        <v>180</v>
      </c>
      <c r="L20" s="10">
        <v>200</v>
      </c>
      <c r="M20" s="10">
        <v>220</v>
      </c>
      <c r="N20" s="10">
        <v>250</v>
      </c>
      <c r="O20" s="10">
        <v>260</v>
      </c>
      <c r="P20" s="10">
        <v>270</v>
      </c>
      <c r="Q20" s="10">
        <v>280</v>
      </c>
      <c r="R20" s="10">
        <v>290</v>
      </c>
      <c r="S20" s="10">
        <v>300</v>
      </c>
    </row>
    <row r="21" spans="1:19">
      <c r="A21" s="3" t="s">
        <v>1</v>
      </c>
      <c r="B21" s="10">
        <f>B20+70</f>
        <v>170</v>
      </c>
      <c r="C21" s="10">
        <f t="shared" ref="C21:S21" si="4">C20+70</f>
        <v>180</v>
      </c>
      <c r="D21" s="10">
        <f t="shared" si="4"/>
        <v>185</v>
      </c>
      <c r="E21" s="10">
        <f t="shared" si="4"/>
        <v>190</v>
      </c>
      <c r="F21" s="10">
        <f t="shared" si="4"/>
        <v>195</v>
      </c>
      <c r="G21" s="10">
        <f t="shared" si="4"/>
        <v>200</v>
      </c>
      <c r="H21" s="10">
        <f t="shared" si="4"/>
        <v>210</v>
      </c>
      <c r="I21" s="10">
        <f t="shared" si="4"/>
        <v>220</v>
      </c>
      <c r="J21" s="10">
        <f t="shared" si="4"/>
        <v>230</v>
      </c>
      <c r="K21" s="10">
        <f t="shared" si="4"/>
        <v>250</v>
      </c>
      <c r="L21" s="10">
        <f t="shared" si="4"/>
        <v>270</v>
      </c>
      <c r="M21" s="10">
        <f t="shared" si="4"/>
        <v>290</v>
      </c>
      <c r="N21" s="10">
        <f t="shared" si="4"/>
        <v>320</v>
      </c>
      <c r="O21" s="10">
        <f t="shared" si="4"/>
        <v>330</v>
      </c>
      <c r="P21" s="10">
        <f t="shared" si="4"/>
        <v>340</v>
      </c>
      <c r="Q21" s="10">
        <f t="shared" si="4"/>
        <v>350</v>
      </c>
      <c r="R21" s="10">
        <f t="shared" si="4"/>
        <v>360</v>
      </c>
      <c r="S21" s="10">
        <f t="shared" si="4"/>
        <v>370</v>
      </c>
    </row>
    <row r="22" spans="1:19">
      <c r="A22" s="4" t="s">
        <v>4</v>
      </c>
      <c r="B22" s="16">
        <f>(((B20*0.00314)*'Технический лист'!$G$10)+310+((B21*0.00314)*'Технический лист'!$G$5))*2.32</f>
        <v>3792.5568357402599</v>
      </c>
      <c r="C22" s="16">
        <f>(((C20*0.00314)*'Технический лист'!$G$10)+310+((C21*0.00314)*'Технический лист'!$G$5))*2.32</f>
        <v>4041.9637897142857</v>
      </c>
      <c r="D22" s="16">
        <f>(((D20*0.00314)*'Технический лист'!$G$10)+310+((D21*0.00314)*'Технический лист'!$G$5))*2.32</f>
        <v>4166.6672667012972</v>
      </c>
      <c r="E22" s="16">
        <f>(((E20*0.00314)*'Технический лист'!$G$10)+310+((E21*0.00314)*'Технический лист'!$G$5))*2.32</f>
        <v>4291.3707436883114</v>
      </c>
      <c r="F22" s="16">
        <f>(((F20*0.00314)*'Технический лист'!$G$10)+310+((F21*0.00314)*'Технический лист'!$G$5))*2.32</f>
        <v>4416.0742206753239</v>
      </c>
      <c r="G22" s="16">
        <f>(((G20*0.00314)*'Технический лист'!$G$10)+310+((G21*0.00314)*'Технический лист'!$G$5))*2.32</f>
        <v>4540.7776976623363</v>
      </c>
      <c r="H22" s="16">
        <f>(((H20*0.00314)*'Технический лист'!$G$10)+310+((H21*0.00314)*'Технический лист'!$G$5))*2.32</f>
        <v>4790.184651636363</v>
      </c>
      <c r="I22" s="16">
        <f>(((I20*0.00314)*'Технический лист'!$G$10)+310+((I21*0.00314)*'Технический лист'!$G$5))*2.32</f>
        <v>5039.5916056103888</v>
      </c>
      <c r="J22" s="16">
        <f>(((J20*0.00314)*'Технический лист'!$G$10)+310+((J21*0.00314)*'Технический лист'!$G$5))*2.32</f>
        <v>5288.9985595844146</v>
      </c>
      <c r="K22" s="16">
        <f>(((K20*0.00314)*'Технический лист'!$G$10)+310+((K21*0.00314)*'Технический лист'!$G$5))*2.32</f>
        <v>5787.8124675324671</v>
      </c>
      <c r="L22" s="16">
        <f>(((L20*0.00314)*'Технический лист'!$G$10)+310+((L21*0.00314)*'Технический лист'!$G$5))*2.32</f>
        <v>6286.6263754805186</v>
      </c>
      <c r="M22" s="16">
        <f>(((M20*0.00314)*'Технический лист'!$G$10)+310+((M21*0.00314)*'Технический лист'!$G$5))*2.32</f>
        <v>6785.4402834285702</v>
      </c>
      <c r="N22" s="16">
        <f>(((N20*0.00314)*'Технический лист'!$G$10)+310+((N21*0.00314)*'Технический лист'!$G$5))*2.32</f>
        <v>7533.6611453506475</v>
      </c>
      <c r="O22" s="16">
        <f>(((O20*0.00314)*'Технический лист'!$G$10)+310+((O21*0.00314)*'Технический лист'!$G$5))*2.32</f>
        <v>7783.0680993246742</v>
      </c>
      <c r="P22" s="16">
        <f>(((P20*0.00314)*'Технический лист'!$G$10)+310+((P21*0.00314)*'Технический лист'!$G$5))*2.32</f>
        <v>8032.4750532987</v>
      </c>
      <c r="Q22" s="16">
        <f>(((Q20*0.00314)*'Технический лист'!$G$10)+310+((Q21*0.00314)*'Технический лист'!$G$5))*2.32</f>
        <v>8281.8820072727267</v>
      </c>
      <c r="R22" s="16">
        <f>(((R20*0.00314)*'Технический лист'!$G$10)+310+((R21*0.00314)*'Технический лист'!$G$5))*2.32</f>
        <v>8531.2889612467516</v>
      </c>
      <c r="S22" s="16">
        <f>(((S20*0.00314)*'Технический лист'!$G$10)+310+((S21*0.00314)*'Технический лист'!$G$5))*2.32</f>
        <v>8780.6959152207783</v>
      </c>
    </row>
    <row r="23" spans="1:19">
      <c r="A23" s="4" t="s">
        <v>3</v>
      </c>
      <c r="B23" s="9">
        <f>((B22/2)*1.07)-10</f>
        <v>2019.0179071210391</v>
      </c>
      <c r="C23" s="9">
        <f t="shared" ref="C23:S23" si="5">((C22/2)*1.07)-10</f>
        <v>2152.4506274971432</v>
      </c>
      <c r="D23" s="9">
        <f t="shared" si="5"/>
        <v>2219.1669876851943</v>
      </c>
      <c r="E23" s="9">
        <f t="shared" si="5"/>
        <v>2285.8833478732467</v>
      </c>
      <c r="F23" s="9">
        <f t="shared" si="5"/>
        <v>2352.5997080612983</v>
      </c>
      <c r="G23" s="9">
        <f t="shared" si="5"/>
        <v>2419.3160682493499</v>
      </c>
      <c r="H23" s="9">
        <f t="shared" si="5"/>
        <v>2552.7487886254544</v>
      </c>
      <c r="I23" s="9">
        <f t="shared" si="5"/>
        <v>2686.181509001558</v>
      </c>
      <c r="J23" s="9">
        <f t="shared" si="5"/>
        <v>2819.614229377662</v>
      </c>
      <c r="K23" s="9">
        <f t="shared" si="5"/>
        <v>3086.4796701298701</v>
      </c>
      <c r="L23" s="9">
        <f t="shared" si="5"/>
        <v>3353.3451108820777</v>
      </c>
      <c r="M23" s="9">
        <f t="shared" si="5"/>
        <v>3620.2105516342854</v>
      </c>
      <c r="N23" s="9">
        <f t="shared" si="5"/>
        <v>4020.5087127625966</v>
      </c>
      <c r="O23" s="9">
        <f t="shared" si="5"/>
        <v>4153.9414331387006</v>
      </c>
      <c r="P23" s="9">
        <f t="shared" si="5"/>
        <v>4287.3741535148047</v>
      </c>
      <c r="Q23" s="9">
        <f t="shared" si="5"/>
        <v>4420.8068738909087</v>
      </c>
      <c r="R23" s="9">
        <f t="shared" si="5"/>
        <v>4554.2395942670128</v>
      </c>
      <c r="S23" s="9">
        <f t="shared" si="5"/>
        <v>4687.6723146431168</v>
      </c>
    </row>
    <row r="24" spans="1:19">
      <c r="A24" s="4" t="s">
        <v>5</v>
      </c>
      <c r="B24" s="16">
        <f>((((B20*0.00314)*0.5)*'Технический лист'!$I$10)+310+(((B21*0.00314)*0.5)*'Технический лист'!$I$5))*2.4</f>
        <v>3077.8473288311689</v>
      </c>
      <c r="C24" s="16">
        <f>((((C20*0.00314)*0.5)*'Технический лист'!$I$10)+310+(((C21*0.00314)*0.5)*'Технический лист'!$I$5))*2.4</f>
        <v>3264.1245257142855</v>
      </c>
      <c r="D24" s="16">
        <f>((((D20*0.00314)*0.5)*'Технический лист'!$I$10)+310+(((D21*0.00314)*0.5)*'Технический лист'!$I$5))*2.4</f>
        <v>3357.2631241558438</v>
      </c>
      <c r="E24" s="16">
        <f>((((E20*0.00314)*0.5)*'Технический лист'!$I$10)+310+(((E21*0.00314)*0.5)*'Технический лист'!$I$5))*2.4</f>
        <v>3450.4017225974026</v>
      </c>
      <c r="F24" s="16">
        <f>((((F20*0.00314)*0.5)*'Технический лист'!$I$10)+310+(((F21*0.00314)*0.5)*'Технический лист'!$I$5))*2.4</f>
        <v>3543.5403210389609</v>
      </c>
      <c r="G24" s="16">
        <f>((((G20*0.00314)*0.5)*'Технический лист'!$I$10)+310+(((G21*0.00314)*0.5)*'Технический лист'!$I$5))*2.4</f>
        <v>3636.6789194805192</v>
      </c>
      <c r="H24" s="16">
        <f>((((H20*0.00314)*0.5)*'Технический лист'!$I$10)+310+(((H21*0.00314)*0.5)*'Технический лист'!$I$5))*2.4</f>
        <v>3822.9561163636363</v>
      </c>
      <c r="I24" s="16">
        <f>((((I20*0.00314)*0.5)*'Технический лист'!$I$10)+310+(((I21*0.00314)*0.5)*'Технический лист'!$I$5))*2.4</f>
        <v>4009.2333132467534</v>
      </c>
      <c r="J24" s="16">
        <f>((((J20*0.00314)*0.5)*'Технический лист'!$I$10)+310+(((J21*0.00314)*0.5)*'Технический лист'!$I$5))*2.4</f>
        <v>4195.5105101298695</v>
      </c>
      <c r="K24" s="16">
        <f>((((K20*0.00314)*0.5)*'Технический лист'!$I$10)+310+(((K21*0.00314)*0.5)*'Технический лист'!$I$5))*2.4</f>
        <v>4568.0649038961046</v>
      </c>
      <c r="L24" s="16">
        <f>((((L20*0.00314)*0.5)*'Технический лист'!$I$10)+310+(((L21*0.00314)*0.5)*'Технический лист'!$I$5))*2.4</f>
        <v>4940.619297662337</v>
      </c>
      <c r="M24" s="16">
        <f>((((M20*0.00314)*0.5)*'Технический лист'!$I$10)+310+(((M21*0.00314)*0.5)*'Технический лист'!$I$5))*2.4</f>
        <v>5313.1736914285711</v>
      </c>
      <c r="N24" s="16">
        <f>((((N20*0.00314)*0.5)*'Технический лист'!$I$10)+310+(((N21*0.00314)*0.5)*'Технический лист'!$I$5))*2.4</f>
        <v>5872.0052820779219</v>
      </c>
      <c r="O24" s="16">
        <f>((((O20*0.00314)*0.5)*'Технический лист'!$I$10)+310+(((O21*0.00314)*0.5)*'Технический лист'!$I$5))*2.4</f>
        <v>6058.2824789610395</v>
      </c>
      <c r="P24" s="16">
        <f>((((P20*0.00314)*0.5)*'Технический лист'!$I$10)+310+(((P21*0.00314)*0.5)*'Технический лист'!$I$5))*2.4</f>
        <v>6244.5596758441561</v>
      </c>
      <c r="Q24" s="16">
        <f>((((Q20*0.00314)*0.5)*'Технический лист'!$I$10)+310+(((Q21*0.00314)*0.5)*'Технический лист'!$I$5))*2.4</f>
        <v>6430.8368727272718</v>
      </c>
      <c r="R24" s="16">
        <f>((((R20*0.00314)*0.5)*'Технический лист'!$I$10)+310+(((R21*0.00314)*0.5)*'Технический лист'!$I$5))*2.4</f>
        <v>6617.1140696103894</v>
      </c>
      <c r="S24" s="16">
        <f>((((S20*0.00314)*0.5)*'Технический лист'!$I$10)+310+(((S21*0.00314)*0.5)*'Технический лист'!$I$5))*2.4</f>
        <v>6803.391266493506</v>
      </c>
    </row>
    <row r="25" spans="1:19">
      <c r="A25" s="4" t="s">
        <v>96</v>
      </c>
      <c r="B25" s="9">
        <f>((B24*2)/3)-6</f>
        <v>2045.8982192207791</v>
      </c>
      <c r="C25" s="9">
        <f t="shared" ref="C25:S25" si="6">((C24*2)/3)-6</f>
        <v>2170.083017142857</v>
      </c>
      <c r="D25" s="9">
        <f t="shared" si="6"/>
        <v>2232.1754161038957</v>
      </c>
      <c r="E25" s="9">
        <f t="shared" si="6"/>
        <v>2294.2678150649349</v>
      </c>
      <c r="F25" s="9">
        <f t="shared" si="6"/>
        <v>2356.3602140259741</v>
      </c>
      <c r="G25" s="9">
        <f t="shared" si="6"/>
        <v>2418.4526129870128</v>
      </c>
      <c r="H25" s="9">
        <f t="shared" si="6"/>
        <v>2542.6374109090907</v>
      </c>
      <c r="I25" s="9">
        <f t="shared" si="6"/>
        <v>2666.8222088311691</v>
      </c>
      <c r="J25" s="9">
        <f t="shared" si="6"/>
        <v>2791.0070067532465</v>
      </c>
      <c r="K25" s="9">
        <f t="shared" si="6"/>
        <v>3039.3766025974032</v>
      </c>
      <c r="L25" s="9">
        <f t="shared" si="6"/>
        <v>3287.7461984415581</v>
      </c>
      <c r="M25" s="9">
        <f t="shared" si="6"/>
        <v>3536.1157942857139</v>
      </c>
      <c r="N25" s="9">
        <f t="shared" si="6"/>
        <v>3908.6701880519481</v>
      </c>
      <c r="O25" s="9">
        <f t="shared" si="6"/>
        <v>4032.8549859740265</v>
      </c>
      <c r="P25" s="9">
        <f t="shared" si="6"/>
        <v>4157.0397838961044</v>
      </c>
      <c r="Q25" s="9">
        <f t="shared" si="6"/>
        <v>4281.2245818181809</v>
      </c>
      <c r="R25" s="9">
        <f t="shared" si="6"/>
        <v>4405.4093797402593</v>
      </c>
      <c r="S25" s="9">
        <f t="shared" si="6"/>
        <v>4529.5941776623376</v>
      </c>
    </row>
    <row r="26" spans="1:19">
      <c r="A26" s="4" t="s">
        <v>6</v>
      </c>
      <c r="B26" s="16">
        <f>((((B20*0.00314)*0.22)*'Технический лист'!$M$10)+100+(((B21*0.00314)*0.21)*'Технический лист'!$O$5)+(((B20+30)*(B20+30)/1000000)*'Технический лист'!$E$20))*2.38</f>
        <v>1501.93061184</v>
      </c>
      <c r="C26" s="16">
        <f>((((C20*0.00314)*0.22)*'Технический лист'!$M$10)+100+(((C21*0.00314)*0.21)*'Технический лист'!$O$5)+(((C20+30)*(C20+30)/1000000)*'Технический лист'!$E$20))*2.38</f>
        <v>1615.7918953599999</v>
      </c>
      <c r="D26" s="16">
        <f>((((D20*0.00314)*0.22)*'Технический лист'!$M$10)+100+(((D21*0.00314)*0.21)*'Технический лист'!$O$5)+(((D20+30)*(D20+30)/1000000)*'Технический лист'!$E$20))*2.38</f>
        <v>1673.4365371199999</v>
      </c>
      <c r="E26" s="16">
        <f>((((E20*0.00314)*0.22)*'Технический лист'!$M$10)+100+(((E21*0.00314)*0.21)*'Технический лист'!$O$5)+(((E20+30)*(E20+30)/1000000)*'Технический лист'!$E$20))*2.38</f>
        <v>1731.55717888</v>
      </c>
      <c r="F26" s="16">
        <f>((((F20*0.00314)*0.22)*'Технический лист'!$M$10)+100+(((F21*0.00314)*0.21)*'Технический лист'!$O$5)+(((F20+30)*(F20+30)/1000000)*'Технический лист'!$E$20))*2.38</f>
        <v>1790.1538206399998</v>
      </c>
      <c r="G26" s="16">
        <f>((((G20*0.00314)*0.22)*'Технический лист'!$M$10)+100+(((G21*0.00314)*0.21)*'Технический лист'!$O$5)+(((G20+30)*(G20+30)/1000000)*'Технический лист'!$E$20))*2.38</f>
        <v>1849.2264623999997</v>
      </c>
      <c r="H26" s="16">
        <f>((((H20*0.00314)*0.22)*'Технический лист'!$M$10)+100+(((H21*0.00314)*0.21)*'Технический лист'!$O$5)+(((H20+30)*(H20+30)/1000000)*'Технический лист'!$E$20))*2.38</f>
        <v>1968.7997459199999</v>
      </c>
      <c r="I26" s="16">
        <f>((((I20*0.00314)*0.22)*'Технический лист'!$M$10)+100+(((I21*0.00314)*0.21)*'Технический лист'!$O$5)+(((I20+30)*(I20+30)/1000000)*'Технический лист'!$E$20))*2.38</f>
        <v>2090.2770294399998</v>
      </c>
      <c r="J26" s="16">
        <f>((((J20*0.00314)*0.22)*'Технический лист'!$M$10)+100+(((J21*0.00314)*0.21)*'Технический лист'!$O$5)+(((J20+30)*(J20+30)/1000000)*'Технический лист'!$E$20))*2.38</f>
        <v>2213.6583129599994</v>
      </c>
      <c r="K26" s="16">
        <f>((((K20*0.00314)*0.22)*'Технический лист'!$M$10)+100+(((K21*0.00314)*0.21)*'Технический лист'!$O$5)+(((K20+30)*(K20+30)/1000000)*'Технический лист'!$E$20))*2.38</f>
        <v>2466.1328800000001</v>
      </c>
      <c r="L26" s="16">
        <f>((((L20*0.00314)*0.22)*'Технический лист'!$M$10)+100+(((L21*0.00314)*0.21)*'Технический лист'!$O$5)+(((L20+30)*(L20+30)/1000000)*'Технический лист'!$E$20))*2.38</f>
        <v>2726.2234470399994</v>
      </c>
      <c r="M26" s="16">
        <f>((((M20*0.00314)*0.22)*'Технический лист'!$M$10)+100+(((M21*0.00314)*0.21)*'Технический лист'!$O$5)+(((M20+30)*(M20+30)/1000000)*'Технический лист'!$E$20))*2.38</f>
        <v>2993.9300140799996</v>
      </c>
      <c r="N26" s="16">
        <f>((((N20*0.00314)*0.22)*'Технический лист'!$M$10)+100+(((N21*0.00314)*0.21)*'Технический лист'!$O$5)+(((N20+30)*(N20+30)/1000000)*'Технический лист'!$E$20))*2.38</f>
        <v>3409.769864639999</v>
      </c>
      <c r="O26" s="16">
        <f>((((O20*0.00314)*0.22)*'Технический лист'!$M$10)+100+(((O21*0.00314)*0.21)*'Технический лист'!$O$5)+(((O20+30)*(O20+30)/1000000)*'Технический лист'!$E$20))*2.38</f>
        <v>3552.1911481599996</v>
      </c>
      <c r="P26" s="16">
        <f>((((P20*0.00314)*0.22)*'Технический лист'!$M$10)+100+(((P21*0.00314)*0.21)*'Технический лист'!$O$5)+(((P20+30)*(P20+30)/1000000)*'Технический лист'!$E$20))*2.38</f>
        <v>3696.5164316800001</v>
      </c>
      <c r="Q26" s="16">
        <f>((((Q20*0.00314)*0.22)*'Технический лист'!$M$10)+100+(((Q21*0.00314)*0.21)*'Технический лист'!$O$5)+(((Q20+30)*(Q20+30)/1000000)*'Технический лист'!$E$20))*2.38</f>
        <v>3842.7457152000002</v>
      </c>
      <c r="R26" s="16">
        <f>((((R20*0.00314)*0.22)*'Технический лист'!$M$10)+100+(((R21*0.00314)*0.21)*'Технический лист'!$O$5)+(((R20+30)*(R20+30)/1000000)*'Технический лист'!$E$20))*2.38</f>
        <v>3990.8789987199993</v>
      </c>
      <c r="S26" s="16">
        <f>((((S20*0.00314)*0.22)*'Технический лист'!$M$10)+100+(((S21*0.00314)*0.21)*'Технический лист'!$O$5)+(((S20+30)*(S20+30)/1000000)*'Технический лист'!$E$20))*2.38</f>
        <v>4140.9162822399994</v>
      </c>
    </row>
    <row r="27" spans="1:19">
      <c r="A27" s="4" t="s">
        <v>7</v>
      </c>
      <c r="B27" s="9">
        <f>(B26*2.2)+24</f>
        <v>3328.2473460480001</v>
      </c>
      <c r="C27" s="9">
        <f t="shared" ref="C27:S27" si="7">(C26*2.2)+24</f>
        <v>3578.7421697919999</v>
      </c>
      <c r="D27" s="9">
        <f t="shared" si="7"/>
        <v>3705.560381664</v>
      </c>
      <c r="E27" s="9">
        <f t="shared" si="7"/>
        <v>3833.4257935360006</v>
      </c>
      <c r="F27" s="9">
        <f t="shared" si="7"/>
        <v>3962.3384054079997</v>
      </c>
      <c r="G27" s="9">
        <f t="shared" si="7"/>
        <v>4092.2982172799998</v>
      </c>
      <c r="H27" s="9">
        <f t="shared" si="7"/>
        <v>4355.3594410240003</v>
      </c>
      <c r="I27" s="9">
        <f t="shared" si="7"/>
        <v>4622.6094647680002</v>
      </c>
      <c r="J27" s="9">
        <f t="shared" si="7"/>
        <v>4894.0482885119991</v>
      </c>
      <c r="K27" s="9">
        <f t="shared" si="7"/>
        <v>5449.4923360000003</v>
      </c>
      <c r="L27" s="9">
        <f t="shared" si="7"/>
        <v>6021.6915834879992</v>
      </c>
      <c r="M27" s="9">
        <f t="shared" si="7"/>
        <v>6610.6460309759996</v>
      </c>
      <c r="N27" s="9">
        <f t="shared" si="7"/>
        <v>7525.4937022079985</v>
      </c>
      <c r="O27" s="9">
        <f t="shared" si="7"/>
        <v>7838.820525952</v>
      </c>
      <c r="P27" s="9">
        <f t="shared" si="7"/>
        <v>8156.3361496960006</v>
      </c>
      <c r="Q27" s="9">
        <f t="shared" si="7"/>
        <v>8478.040573440001</v>
      </c>
      <c r="R27" s="9">
        <f t="shared" si="7"/>
        <v>8803.9337971839996</v>
      </c>
      <c r="S27" s="9">
        <f t="shared" si="7"/>
        <v>9134.0158209279998</v>
      </c>
    </row>
    <row r="28" spans="1:19">
      <c r="A28" s="4" t="s">
        <v>8</v>
      </c>
      <c r="B28" s="16">
        <f>((((B20*0.00314)*0.2)*'Технический лист'!$M$10)+50+(((B21*0.00314)*0.22)*'Технический лист'!$O$5))*2.43</f>
        <v>1221.4058950566236</v>
      </c>
      <c r="C28" s="16">
        <f>((((C20*0.00314)*0.2)*'Технический лист'!$M$10)+50+(((C21*0.00314)*0.22)*'Технический лист'!$O$5))*2.43</f>
        <v>1307.7074604342858</v>
      </c>
      <c r="D28" s="16">
        <f>((((D20*0.00314)*0.2)*'Технический лист'!$M$10)+50+(((D21*0.00314)*0.22)*'Технический лист'!$O$5))*2.43</f>
        <v>1350.8582431231168</v>
      </c>
      <c r="E28" s="16">
        <f>((((E20*0.00314)*0.2)*'Технический лист'!$M$10)+50+(((E21*0.00314)*0.22)*'Технический лист'!$O$5))*2.43</f>
        <v>1394.0090258119483</v>
      </c>
      <c r="F28" s="16">
        <f>((((F20*0.00314)*0.2)*'Технический лист'!$M$10)+50+(((F21*0.00314)*0.22)*'Технический лист'!$O$5))*2.43</f>
        <v>1437.1598085007795</v>
      </c>
      <c r="G28" s="16">
        <f>((((G20*0.00314)*0.2)*'Технический лист'!$M$10)+50+(((G21*0.00314)*0.22)*'Технический лист'!$O$5))*2.43</f>
        <v>1480.3105911896105</v>
      </c>
      <c r="H28" s="16">
        <f>((((H20*0.00314)*0.2)*'Технический лист'!$M$10)+50+(((H21*0.00314)*0.22)*'Технический лист'!$O$5))*2.43</f>
        <v>1566.6121565672727</v>
      </c>
      <c r="I28" s="16">
        <f>((((I20*0.00314)*0.2)*'Технический лист'!$M$10)+50+(((I21*0.00314)*0.22)*'Технический лист'!$O$5))*2.43</f>
        <v>1652.9137219449351</v>
      </c>
      <c r="J28" s="16">
        <f>((((J20*0.00314)*0.2)*'Технический лист'!$M$10)+50+(((J21*0.00314)*0.22)*'Технический лист'!$O$5))*2.43</f>
        <v>1739.2152873225975</v>
      </c>
      <c r="K28" s="16">
        <f>((((K20*0.00314)*0.2)*'Технический лист'!$M$10)+50+(((K21*0.00314)*0.22)*'Технический лист'!$O$5))*2.43</f>
        <v>1911.8184180779222</v>
      </c>
      <c r="L28" s="16">
        <f>((((L20*0.00314)*0.2)*'Технический лист'!$M$10)+50+(((L21*0.00314)*0.22)*'Технический лист'!$O$5))*2.43</f>
        <v>2084.421548833247</v>
      </c>
      <c r="M28" s="16">
        <f>((((M20*0.00314)*0.2)*'Технический лист'!$M$10)+50+(((M21*0.00314)*0.22)*'Технический лист'!$O$5))*2.43</f>
        <v>2257.0246795885714</v>
      </c>
      <c r="N28" s="16">
        <f>((((N20*0.00314)*0.2)*'Технический лист'!$M$10)+50+(((N21*0.00314)*0.22)*'Технический лист'!$O$5))*2.43</f>
        <v>2515.9293757215592</v>
      </c>
      <c r="O28" s="16">
        <f>((((O20*0.00314)*0.2)*'Технический лист'!$M$10)+50+(((O21*0.00314)*0.22)*'Технический лист'!$O$5))*2.43</f>
        <v>2602.2309410992211</v>
      </c>
      <c r="P28" s="16">
        <f>((((P20*0.00314)*0.2)*'Технический лист'!$M$10)+50+(((P21*0.00314)*0.22)*'Технический лист'!$O$5))*2.43</f>
        <v>2688.5325064768836</v>
      </c>
      <c r="Q28" s="16">
        <f>((((Q20*0.00314)*0.2)*'Технический лист'!$M$10)+50+(((Q21*0.00314)*0.22)*'Технический лист'!$O$5))*2.43</f>
        <v>2774.8340718545455</v>
      </c>
      <c r="R28" s="16">
        <f>((((R20*0.00314)*0.2)*'Технический лист'!$M$10)+50+(((R21*0.00314)*0.22)*'Технический лист'!$O$5))*2.43</f>
        <v>2861.135637232208</v>
      </c>
      <c r="S28" s="16">
        <f>((((S20*0.00314)*0.2)*'Технический лист'!$M$10)+50+(((S21*0.00314)*0.22)*'Технический лист'!$O$5))*2.43</f>
        <v>2947.4372026098699</v>
      </c>
    </row>
    <row r="29" spans="1:19">
      <c r="A29" s="4" t="s">
        <v>9</v>
      </c>
      <c r="B29" s="9">
        <f>((((B20*0.00314)*((B20+545)/1000))*'Технический лист'!$K$10)+370+((B21*0.00314)*((B21+450)/1000))*'Технический лист'!$K$5)*2.55</f>
        <v>4259.2837405792206</v>
      </c>
      <c r="C29" s="9">
        <f>((((C20*0.00314)*((C20+545)/1000))*'Технический лист'!$K$10)+370+((C21*0.00314)*((C21+450)/1000))*'Технический лист'!$K$5)*2.55</f>
        <v>4579.1301667285716</v>
      </c>
      <c r="D29" s="9">
        <f>((((D20*0.00314)*((D20+545)/1000))*'Технический лист'!$K$10)+370+((D21*0.00314)*((D21+450)/1000))*'Технический лист'!$K$5)*2.55</f>
        <v>4742.1602933785698</v>
      </c>
      <c r="E29" s="9">
        <f>((((E20*0.00314)*((E20+545)/1000))*'Технический лист'!$K$10)+370+((E21*0.00314)*((E21+450)/1000))*'Технический лист'!$K$5)*2.55</f>
        <v>4907.2616957454538</v>
      </c>
      <c r="F29" s="9">
        <f>((((F20*0.00314)*((F20+545)/1000))*'Технический лист'!$K$10)+370+((F21*0.00314)*((F21+450)/1000))*'Технический лист'!$K$5)*2.55</f>
        <v>5074.43437382922</v>
      </c>
      <c r="G29" s="9">
        <f>((((G20*0.00314)*((G20+545)/1000))*'Технический лист'!$K$10)+370+((G21*0.00314)*((G21+450)/1000))*'Технический лист'!$K$5)*2.55</f>
        <v>5243.6783276298702</v>
      </c>
      <c r="H29" s="9">
        <f>((((H20*0.00314)*((H20+545)/1000))*'Технический лист'!$K$10)+370+((H21*0.00314)*((H21+450)/1000))*'Технический лист'!$K$5)*2.55</f>
        <v>5588.380062381817</v>
      </c>
      <c r="I29" s="9">
        <f>((((I20*0.00314)*((I20+545)/1000))*'Технический лист'!$K$10)+370+((I21*0.00314)*((I21+450)/1000))*'Технический лист'!$K$5)*2.55</f>
        <v>5941.3669000012978</v>
      </c>
      <c r="J29" s="9">
        <f>((((J20*0.00314)*((J20+545)/1000))*'Технический лист'!$K$10)+370+((J21*0.00314)*((J21+450)/1000))*'Технический лист'!$K$5)*2.55</f>
        <v>6302.6388404883101</v>
      </c>
      <c r="K29" s="9">
        <f>((((K20*0.00314)*((K20+545)/1000))*'Технический лист'!$K$10)+370+((K21*0.00314)*((K21+450)/1000))*'Технический лист'!$K$5)*2.55</f>
        <v>7050.0380300649349</v>
      </c>
      <c r="L29" s="9">
        <f>((((L20*0.00314)*((L20+545)/1000))*'Технический лист'!$K$10)+370+((L21*0.00314)*((L21+450)/1000))*'Технический лист'!$K$5)*2.55</f>
        <v>7830.577631111687</v>
      </c>
      <c r="M29" s="9">
        <f>((((M20*0.00314)*((M20+545)/1000))*'Технический лист'!$K$10)+370+((M21*0.00314)*((M21+450)/1000))*'Технический лист'!$K$5)*2.55</f>
        <v>8644.2576436285708</v>
      </c>
      <c r="N29" s="9">
        <f>((((N20*0.00314)*((N20+545)/1000))*'Технический лист'!$K$10)+370+((N21*0.00314)*((N21+450)/1000))*'Технический лист'!$K$5)*2.55</f>
        <v>9926.915933910388</v>
      </c>
      <c r="O29" s="9">
        <f>((((O20*0.00314)*((O20+545)/1000))*'Технический лист'!$K$10)+370+((O21*0.00314)*((O21+450)/1000))*'Технический лист'!$K$5)*2.55</f>
        <v>10371.038903072726</v>
      </c>
      <c r="P29" s="9">
        <f>((((P20*0.00314)*((P20+545)/1000))*'Технический лист'!$K$10)+370+((P21*0.00314)*((P21+450)/1000))*'Технический лист'!$K$5)*2.55</f>
        <v>10823.446975102595</v>
      </c>
      <c r="Q29" s="9">
        <f>((((Q20*0.00314)*((Q20+545)/1000))*'Технический лист'!$K$10)+370+((Q21*0.00314)*((Q21+450)/1000))*'Технический лист'!$K$5)*2.55</f>
        <v>11284.140149999999</v>
      </c>
      <c r="R29" s="9">
        <f>((((R20*0.00314)*((R20+545)/1000))*'Технический лист'!$K$10)+370+((R21*0.00314)*((R21+450)/1000))*'Технический лист'!$K$5)*2.55</f>
        <v>11753.118427764935</v>
      </c>
      <c r="S29" s="9">
        <f>((((S20*0.00314)*((S20+545)/1000))*'Технический лист'!$K$10)+370+((S21*0.00314)*((S21+450)/1000))*'Технический лист'!$K$5)*2.55</f>
        <v>12230.381808397402</v>
      </c>
    </row>
    <row r="30" spans="1:19" hidden="1">
      <c r="A30" s="4" t="s">
        <v>8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>
      <c r="A31" s="4" t="s">
        <v>119</v>
      </c>
      <c r="B31" s="16">
        <v>2100</v>
      </c>
      <c r="C31" s="16">
        <v>2100</v>
      </c>
      <c r="D31" s="16">
        <v>2100</v>
      </c>
      <c r="E31" s="16">
        <v>2100</v>
      </c>
      <c r="F31" s="16">
        <v>2100</v>
      </c>
      <c r="G31" s="16">
        <v>2100</v>
      </c>
      <c r="H31" s="16">
        <v>2100</v>
      </c>
      <c r="I31" s="16">
        <v>2100</v>
      </c>
      <c r="J31" s="16">
        <v>2100</v>
      </c>
      <c r="K31" s="16">
        <v>2100</v>
      </c>
      <c r="L31" s="16">
        <v>2100</v>
      </c>
      <c r="M31" s="16">
        <v>2100</v>
      </c>
      <c r="N31" s="16">
        <v>2100</v>
      </c>
      <c r="O31" s="16">
        <v>2100</v>
      </c>
      <c r="P31" s="16">
        <v>2100</v>
      </c>
      <c r="Q31" s="16">
        <v>2100</v>
      </c>
      <c r="R31" s="16">
        <v>2100</v>
      </c>
      <c r="S31" s="16">
        <v>2100</v>
      </c>
    </row>
  </sheetData>
  <mergeCells count="6">
    <mergeCell ref="A19:N19"/>
    <mergeCell ref="A1:C1"/>
    <mergeCell ref="D1:O1"/>
    <mergeCell ref="D2:O2"/>
    <mergeCell ref="D3:O3"/>
    <mergeCell ref="A5:O5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S31"/>
  <sheetViews>
    <sheetView workbookViewId="0">
      <selection activeCell="B31" sqref="B31:S31"/>
    </sheetView>
  </sheetViews>
  <sheetFormatPr defaultRowHeight="14.4"/>
  <cols>
    <col min="1" max="1" width="26.6640625" customWidth="1"/>
    <col min="2" max="19" width="6.33203125" customWidth="1"/>
  </cols>
  <sheetData>
    <row r="1" spans="1:19" ht="45" customHeight="1">
      <c r="A1" s="32"/>
      <c r="B1" s="32"/>
      <c r="C1" s="32"/>
      <c r="D1" s="40" t="s">
        <v>94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1"/>
      <c r="Q1" s="1"/>
    </row>
    <row r="2" spans="1:19" ht="15" customHeight="1">
      <c r="D2" s="34" t="s">
        <v>95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1"/>
    </row>
    <row r="3" spans="1:19" ht="15" customHeight="1">
      <c r="D3" s="34" t="s">
        <v>112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9" ht="2.25" customHeight="1"/>
    <row r="5" spans="1:19">
      <c r="A5" s="41" t="s">
        <v>132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1:19">
      <c r="A6" s="3" t="s">
        <v>0</v>
      </c>
      <c r="B6" s="10">
        <v>100</v>
      </c>
      <c r="C6" s="10">
        <v>110</v>
      </c>
      <c r="D6" s="10">
        <v>115</v>
      </c>
      <c r="E6" s="10">
        <v>120</v>
      </c>
      <c r="F6" s="10">
        <v>125</v>
      </c>
      <c r="G6" s="10">
        <v>130</v>
      </c>
      <c r="H6" s="10">
        <v>140</v>
      </c>
      <c r="I6" s="10">
        <v>150</v>
      </c>
      <c r="J6" s="10">
        <v>160</v>
      </c>
      <c r="K6" s="10">
        <v>180</v>
      </c>
      <c r="L6" s="10">
        <v>200</v>
      </c>
      <c r="M6" s="10">
        <v>220</v>
      </c>
      <c r="N6" s="10">
        <v>250</v>
      </c>
      <c r="O6" s="10">
        <v>260</v>
      </c>
      <c r="P6" s="10">
        <v>270</v>
      </c>
      <c r="Q6" s="10">
        <v>280</v>
      </c>
      <c r="R6" s="10">
        <v>290</v>
      </c>
      <c r="S6" s="10">
        <v>300</v>
      </c>
    </row>
    <row r="7" spans="1:19">
      <c r="A7" s="3" t="s">
        <v>1</v>
      </c>
      <c r="B7" s="10">
        <f>B6+70</f>
        <v>170</v>
      </c>
      <c r="C7" s="10">
        <f t="shared" ref="C7:S7" si="0">C6+70</f>
        <v>180</v>
      </c>
      <c r="D7" s="10">
        <f t="shared" si="0"/>
        <v>185</v>
      </c>
      <c r="E7" s="10">
        <f t="shared" si="0"/>
        <v>190</v>
      </c>
      <c r="F7" s="10">
        <f t="shared" si="0"/>
        <v>195</v>
      </c>
      <c r="G7" s="10">
        <f t="shared" si="0"/>
        <v>200</v>
      </c>
      <c r="H7" s="10">
        <f t="shared" si="0"/>
        <v>210</v>
      </c>
      <c r="I7" s="10">
        <f t="shared" si="0"/>
        <v>220</v>
      </c>
      <c r="J7" s="10">
        <f t="shared" si="0"/>
        <v>230</v>
      </c>
      <c r="K7" s="10">
        <f t="shared" si="0"/>
        <v>250</v>
      </c>
      <c r="L7" s="10">
        <f t="shared" si="0"/>
        <v>270</v>
      </c>
      <c r="M7" s="10">
        <f t="shared" si="0"/>
        <v>290</v>
      </c>
      <c r="N7" s="10">
        <f t="shared" si="0"/>
        <v>320</v>
      </c>
      <c r="O7" s="10">
        <f t="shared" si="0"/>
        <v>330</v>
      </c>
      <c r="P7" s="10">
        <f t="shared" si="0"/>
        <v>340</v>
      </c>
      <c r="Q7" s="10">
        <f t="shared" si="0"/>
        <v>350</v>
      </c>
      <c r="R7" s="10">
        <f t="shared" si="0"/>
        <v>360</v>
      </c>
      <c r="S7" s="10">
        <f t="shared" si="0"/>
        <v>370</v>
      </c>
    </row>
    <row r="8" spans="1:19">
      <c r="A8" s="4" t="s">
        <v>4</v>
      </c>
      <c r="B8" s="16">
        <f>(((B6*0.00314)*'Технический лист'!$G$8)+310+((B7*0.00314)*'Технический лист'!$G$11))*2.3</f>
        <v>2633.8172068398267</v>
      </c>
      <c r="C8" s="16">
        <f>(((C6*0.00314)*'Технический лист'!$G$8)+310+((C7*0.00314)*'Технический лист'!$G$11))*2.3</f>
        <v>2808.0196628571425</v>
      </c>
      <c r="D8" s="16">
        <f>(((D6*0.00314)*'Технический лист'!$G$8)+310+((D7*0.00314)*'Технический лист'!$G$11))*2.3</f>
        <v>2895.1208908658004</v>
      </c>
      <c r="E8" s="16">
        <f>(((E6*0.00314)*'Технический лист'!$G$8)+310+((E7*0.00314)*'Технический лист'!$G$11))*2.3</f>
        <v>2982.2221188744584</v>
      </c>
      <c r="F8" s="16">
        <f>(((F6*0.00314)*'Технический лист'!$G$8)+310+((F7*0.00314)*'Технический лист'!$G$11))*2.3</f>
        <v>3069.3233468831163</v>
      </c>
      <c r="G8" s="16">
        <f>(((G6*0.00314)*'Технический лист'!$G$8)+310+((G7*0.00314)*'Технический лист'!$G$11))*2.3</f>
        <v>3156.4245748917742</v>
      </c>
      <c r="H8" s="16">
        <f>(((H6*0.00314)*'Технический лист'!$G$8)+310+((H7*0.00314)*'Технический лист'!$G$11))*2.3</f>
        <v>3330.6270309090901</v>
      </c>
      <c r="I8" s="16">
        <f>(((I6*0.00314)*'Технический лист'!$G$8)+310+((I7*0.00314)*'Технический лист'!$G$11))*2.3</f>
        <v>3504.8294869264064</v>
      </c>
      <c r="J8" s="16">
        <f>(((J6*0.00314)*'Технический лист'!$G$8)+310+((J7*0.00314)*'Технический лист'!$G$11))*2.3</f>
        <v>3679.0319429437222</v>
      </c>
      <c r="K8" s="16">
        <f>(((K6*0.00314)*'Технический лист'!$G$8)+310+((K7*0.00314)*'Технический лист'!$G$11))*2.3</f>
        <v>4027.4368549783549</v>
      </c>
      <c r="L8" s="16">
        <f>(((L6*0.00314)*'Технический лист'!$G$8)+310+((L7*0.00314)*'Технический лист'!$G$11))*2.3</f>
        <v>4375.8417670129866</v>
      </c>
      <c r="M8" s="16">
        <f>(((M6*0.00314)*'Технический лист'!$G$8)+310+((M7*0.00314)*'Технический лист'!$G$11))*2.3</f>
        <v>4724.2466790476183</v>
      </c>
      <c r="N8" s="16">
        <f>(((N6*0.00314)*'Технический лист'!$G$8)+310+((N7*0.00314)*'Технический лист'!$G$11))*2.3</f>
        <v>5246.8540470995658</v>
      </c>
      <c r="O8" s="16">
        <f>(((O6*0.00314)*'Технический лист'!$G$8)+310+((O7*0.00314)*'Технический лист'!$G$11))*2.3</f>
        <v>5421.0565031168817</v>
      </c>
      <c r="P8" s="16">
        <f>(((P6*0.00314)*'Технический лист'!$G$8)+310+((P7*0.00314)*'Технический лист'!$G$11))*2.3</f>
        <v>5595.2589591341984</v>
      </c>
      <c r="Q8" s="16">
        <f>(((Q6*0.00314)*'Технический лист'!$G$8)+310+((Q7*0.00314)*'Технический лист'!$G$11))*2.3</f>
        <v>5769.4614151515134</v>
      </c>
      <c r="R8" s="16">
        <f>(((R6*0.00314)*'Технический лист'!$G$8)+310+((R7*0.00314)*'Технический лист'!$G$11))*2.3</f>
        <v>5943.6638711688292</v>
      </c>
      <c r="S8" s="16">
        <f>(((S6*0.00314)*'Технический лист'!$G$8)+310+((S7*0.00314)*'Технический лист'!$G$11))*2.3</f>
        <v>6117.866327186146</v>
      </c>
    </row>
    <row r="9" spans="1:19">
      <c r="A9" s="4" t="s">
        <v>3</v>
      </c>
      <c r="B9" s="9">
        <f>((B8/2)*1.07)-10</f>
        <v>1399.0922056593074</v>
      </c>
      <c r="C9" s="9">
        <f t="shared" ref="C9:S9" si="1">((C8/2)*1.07)-10</f>
        <v>1492.2905196285712</v>
      </c>
      <c r="D9" s="9">
        <f t="shared" si="1"/>
        <v>1538.8896766132034</v>
      </c>
      <c r="E9" s="9">
        <f t="shared" si="1"/>
        <v>1585.4888335978353</v>
      </c>
      <c r="F9" s="9">
        <f t="shared" si="1"/>
        <v>1632.0879905824672</v>
      </c>
      <c r="G9" s="9">
        <f t="shared" si="1"/>
        <v>1678.6871475670994</v>
      </c>
      <c r="H9" s="9">
        <f t="shared" si="1"/>
        <v>1771.8854615363632</v>
      </c>
      <c r="I9" s="9">
        <f t="shared" si="1"/>
        <v>1865.0837755056275</v>
      </c>
      <c r="J9" s="9">
        <f t="shared" si="1"/>
        <v>1958.2820894748916</v>
      </c>
      <c r="K9" s="9">
        <f t="shared" si="1"/>
        <v>2144.6787174134201</v>
      </c>
      <c r="L9" s="9">
        <f t="shared" si="1"/>
        <v>2331.0753453519478</v>
      </c>
      <c r="M9" s="9">
        <f t="shared" si="1"/>
        <v>2517.4719732904759</v>
      </c>
      <c r="N9" s="9">
        <f t="shared" si="1"/>
        <v>2797.0669151982679</v>
      </c>
      <c r="O9" s="9">
        <f t="shared" si="1"/>
        <v>2890.2652291675317</v>
      </c>
      <c r="P9" s="9">
        <f t="shared" si="1"/>
        <v>2983.4635431367965</v>
      </c>
      <c r="Q9" s="9">
        <f t="shared" si="1"/>
        <v>3076.6618571060599</v>
      </c>
      <c r="R9" s="9">
        <f t="shared" si="1"/>
        <v>3169.8601710753237</v>
      </c>
      <c r="S9" s="9">
        <f t="shared" si="1"/>
        <v>3263.0584850445885</v>
      </c>
    </row>
    <row r="10" spans="1:19">
      <c r="A10" s="4" t="s">
        <v>5</v>
      </c>
      <c r="B10" s="16">
        <f>((((B6*0.00314)*0.5)*'Технический лист'!$I$8)+310+(((B7*0.00314)*0.5)*'Технический лист'!$I$11))*2.44</f>
        <v>2320.1995575411256</v>
      </c>
      <c r="C10" s="16">
        <f>((((C6*0.00314)*0.5)*'Технический лист'!$I$8)+310+(((C7*0.00314)*0.5)*'Технический лист'!$I$11))*2.44</f>
        <v>2458.3806594285711</v>
      </c>
      <c r="D10" s="16">
        <f>((((D6*0.00314)*0.5)*'Технический лист'!$I$8)+310+(((D7*0.00314)*0.5)*'Технический лист'!$I$11))*2.44</f>
        <v>2527.4712103722941</v>
      </c>
      <c r="E10" s="16">
        <f>((((E6*0.00314)*0.5)*'Технический лист'!$I$8)+310+(((E7*0.00314)*0.5)*'Технический лист'!$I$11))*2.44</f>
        <v>2596.5617613160175</v>
      </c>
      <c r="F10" s="16">
        <f>((((F6*0.00314)*0.5)*'Технический лист'!$I$8)+310+(((F7*0.00314)*0.5)*'Технический лист'!$I$11))*2.44</f>
        <v>2665.65231225974</v>
      </c>
      <c r="G10" s="16">
        <f>((((G6*0.00314)*0.5)*'Технический лист'!$I$8)+310+(((G7*0.00314)*0.5)*'Технический лист'!$I$11))*2.44</f>
        <v>2734.7428632034635</v>
      </c>
      <c r="H10" s="16">
        <f>((((H6*0.00314)*0.5)*'Технический лист'!$I$8)+310+(((H7*0.00314)*0.5)*'Технический лист'!$I$11))*2.44</f>
        <v>2872.923965090909</v>
      </c>
      <c r="I10" s="16">
        <f>((((I6*0.00314)*0.5)*'Технический лист'!$I$8)+310+(((I7*0.00314)*0.5)*'Технический лист'!$I$11))*2.44</f>
        <v>3011.1050669783549</v>
      </c>
      <c r="J10" s="16">
        <f>((((J6*0.00314)*0.5)*'Технический лист'!$I$8)+310+(((J7*0.00314)*0.5)*'Технический лист'!$I$11))*2.44</f>
        <v>3149.2861688658008</v>
      </c>
      <c r="K10" s="16">
        <f>((((K6*0.00314)*0.5)*'Технический лист'!$I$8)+310+(((K7*0.00314)*0.5)*'Технический лист'!$I$11))*2.44</f>
        <v>3425.6483726406927</v>
      </c>
      <c r="L10" s="16">
        <f>((((L6*0.00314)*0.5)*'Технический лист'!$I$8)+310+(((L7*0.00314)*0.5)*'Технический лист'!$I$11))*2.44</f>
        <v>3702.0105764155842</v>
      </c>
      <c r="M10" s="16">
        <f>((((M6*0.00314)*0.5)*'Технический лист'!$I$8)+310+(((M7*0.00314)*0.5)*'Технический лист'!$I$11))*2.44</f>
        <v>3978.3727801904756</v>
      </c>
      <c r="N10" s="16">
        <f>((((N6*0.00314)*0.5)*'Технический лист'!$I$8)+310+(((N7*0.00314)*0.5)*'Технический лист'!$I$11))*2.44</f>
        <v>4392.9160858528139</v>
      </c>
      <c r="O10" s="16">
        <f>((((O6*0.00314)*0.5)*'Технический лист'!$I$8)+310+(((O7*0.00314)*0.5)*'Технический лист'!$I$11))*2.44</f>
        <v>4531.0971877402599</v>
      </c>
      <c r="P10" s="16">
        <f>((((P6*0.00314)*0.5)*'Технический лист'!$I$8)+310+(((P7*0.00314)*0.5)*'Технический лист'!$I$11))*2.44</f>
        <v>4669.2782896277049</v>
      </c>
      <c r="Q10" s="16">
        <f>((((Q6*0.00314)*0.5)*'Технический лист'!$I$8)+310+(((Q7*0.00314)*0.5)*'Технический лист'!$I$11))*2.44</f>
        <v>4807.4593915151509</v>
      </c>
      <c r="R10" s="16">
        <f>((((R6*0.00314)*0.5)*'Технический лист'!$I$8)+310+(((R7*0.00314)*0.5)*'Технический лист'!$I$11))*2.44</f>
        <v>4945.6404934025968</v>
      </c>
      <c r="S10" s="16">
        <f>((((S6*0.00314)*0.5)*'Технический лист'!$I$8)+310+(((S7*0.00314)*0.5)*'Технический лист'!$I$11))*2.44</f>
        <v>5083.8215952900428</v>
      </c>
    </row>
    <row r="11" spans="1:19">
      <c r="A11" s="4" t="s">
        <v>96</v>
      </c>
      <c r="B11" s="9">
        <f>((B10*2)/3)-6</f>
        <v>1540.7997050274171</v>
      </c>
      <c r="C11" s="9">
        <f t="shared" ref="C11:S11" si="2">((C10*2)/3)-6</f>
        <v>1632.9204396190473</v>
      </c>
      <c r="D11" s="9">
        <f t="shared" si="2"/>
        <v>1678.9808069148628</v>
      </c>
      <c r="E11" s="9">
        <f t="shared" si="2"/>
        <v>1725.0411742106783</v>
      </c>
      <c r="F11" s="9">
        <f t="shared" si="2"/>
        <v>1771.1015415064933</v>
      </c>
      <c r="G11" s="9">
        <f t="shared" si="2"/>
        <v>1817.161908802309</v>
      </c>
      <c r="H11" s="9">
        <f t="shared" si="2"/>
        <v>1909.2826433939392</v>
      </c>
      <c r="I11" s="9">
        <f t="shared" si="2"/>
        <v>2001.4033779855699</v>
      </c>
      <c r="J11" s="9">
        <f t="shared" si="2"/>
        <v>2093.5241125772004</v>
      </c>
      <c r="K11" s="9">
        <f t="shared" si="2"/>
        <v>2277.7655817604618</v>
      </c>
      <c r="L11" s="9">
        <f t="shared" si="2"/>
        <v>2462.0070509437228</v>
      </c>
      <c r="M11" s="9">
        <f t="shared" si="2"/>
        <v>2646.2485201269837</v>
      </c>
      <c r="N11" s="9">
        <f t="shared" si="2"/>
        <v>2922.6107239018761</v>
      </c>
      <c r="O11" s="9">
        <f t="shared" si="2"/>
        <v>3014.7314584935066</v>
      </c>
      <c r="P11" s="9">
        <f t="shared" si="2"/>
        <v>3106.8521930851366</v>
      </c>
      <c r="Q11" s="9">
        <f t="shared" si="2"/>
        <v>3198.9729276767671</v>
      </c>
      <c r="R11" s="9">
        <f t="shared" si="2"/>
        <v>3291.093662268398</v>
      </c>
      <c r="S11" s="9">
        <f t="shared" si="2"/>
        <v>3383.2143968600285</v>
      </c>
    </row>
    <row r="12" spans="1:19">
      <c r="A12" s="4" t="s">
        <v>6</v>
      </c>
      <c r="B12" s="16">
        <f>((((B6*0.00314)*0.22)*'Технический лист'!$M$8)+100+(((B7*0.00314)*0.21)*'Технический лист'!$O$11)+(((B6+30)*(B6+30)/1000000)*'Технический лист'!$E$20))*2.33</f>
        <v>1188.6623589371429</v>
      </c>
      <c r="C12" s="16">
        <f>((((C6*0.00314)*0.22)*'Технический лист'!$M$8)+100+(((C7*0.00314)*0.21)*'Технический лист'!$O$11)+(((C6+30)*(C6+30)/1000000)*'Технический лист'!$E$20))*2.33</f>
        <v>1282.0409354628573</v>
      </c>
      <c r="D12" s="16">
        <f>((((D6*0.00314)*0.22)*'Технический лист'!$M$8)+100+(((D7*0.00314)*0.21)*'Технический лист'!$O$11)+(((D6+30)*(D6+30)/1000000)*'Технический лист'!$E$20))*2.33</f>
        <v>1329.4292237257143</v>
      </c>
      <c r="E12" s="16">
        <f>((((E6*0.00314)*0.22)*'Технический лист'!$M$8)+100+(((E7*0.00314)*0.21)*'Технический лист'!$O$11)+(((E6+30)*(E6+30)/1000000)*'Технический лист'!$E$20))*2.33</f>
        <v>1377.2835119885717</v>
      </c>
      <c r="F12" s="16">
        <f>((((F6*0.00314)*0.22)*'Технический лист'!$M$8)+100+(((F7*0.00314)*0.21)*'Технический лист'!$O$11)+(((F6+30)*(F6+30)/1000000)*'Технический лист'!$E$20))*2.33</f>
        <v>1425.6038002514288</v>
      </c>
      <c r="G12" s="16">
        <f>((((G6*0.00314)*0.22)*'Технический лист'!$M$8)+100+(((G7*0.00314)*0.21)*'Технический лист'!$O$11)+(((G6+30)*(G6+30)/1000000)*'Технический лист'!$E$20))*2.33</f>
        <v>1474.3900885142859</v>
      </c>
      <c r="H12" s="16">
        <f>((((H6*0.00314)*0.22)*'Технический лист'!$M$8)+100+(((H7*0.00314)*0.21)*'Технический лист'!$O$11)+(((H6+30)*(H6+30)/1000000)*'Технический лист'!$E$20))*2.33</f>
        <v>1573.36066504</v>
      </c>
      <c r="I12" s="16">
        <f>((((I6*0.00314)*0.22)*'Технический лист'!$M$8)+100+(((I7*0.00314)*0.21)*'Технический лист'!$O$11)+(((I6+30)*(I6+30)/1000000)*'Технический лист'!$E$20))*2.33</f>
        <v>1674.1952415657142</v>
      </c>
      <c r="J12" s="16">
        <f>((((J6*0.00314)*0.22)*'Технический лист'!$M$8)+100+(((J7*0.00314)*0.21)*'Технический лист'!$O$11)+(((J6+30)*(J6+30)/1000000)*'Технический лист'!$E$20))*2.33</f>
        <v>1776.8938180914283</v>
      </c>
      <c r="K12" s="16">
        <f>((((K6*0.00314)*0.22)*'Технический лист'!$M$8)+100+(((K7*0.00314)*0.21)*'Технический лист'!$O$11)+(((K6+30)*(K6+30)/1000000)*'Технический лист'!$E$20))*2.33</f>
        <v>1987.8829711428571</v>
      </c>
      <c r="L12" s="16">
        <f>((((L6*0.00314)*0.22)*'Технический лист'!$M$8)+100+(((L7*0.00314)*0.21)*'Технический лист'!$O$11)+(((L6+30)*(L6+30)/1000000)*'Технический лист'!$E$20))*2.33</f>
        <v>2206.3281241942859</v>
      </c>
      <c r="M12" s="16">
        <f>((((M6*0.00314)*0.22)*'Технический лист'!$M$8)+100+(((M7*0.00314)*0.21)*'Технический лист'!$O$11)+(((M6+30)*(M6+30)/1000000)*'Технический лист'!$E$20))*2.33</f>
        <v>2432.2292772457145</v>
      </c>
      <c r="N12" s="16">
        <f>((((N6*0.00314)*0.22)*'Технический лист'!$M$8)+100+(((N7*0.00314)*0.21)*'Технический лист'!$O$11)+(((N6+30)*(N6+30)/1000000)*'Технический лист'!$E$20))*2.33</f>
        <v>2785.0610068228571</v>
      </c>
      <c r="O12" s="16">
        <f>((((O6*0.00314)*0.22)*'Технический лист'!$M$8)+100+(((O7*0.00314)*0.21)*'Технический лист'!$O$11)+(((O6+30)*(O6+30)/1000000)*'Технический лист'!$E$20))*2.33</f>
        <v>2906.3995833485715</v>
      </c>
      <c r="P12" s="16">
        <f>((((P6*0.00314)*0.22)*'Технический лист'!$M$8)+100+(((P7*0.00314)*0.21)*'Технический лист'!$O$11)+(((P6+30)*(P6+30)/1000000)*'Технический лист'!$E$20))*2.33</f>
        <v>3029.6021598742859</v>
      </c>
      <c r="Q12" s="16">
        <f>((((Q6*0.00314)*0.22)*'Технический лист'!$M$8)+100+(((Q7*0.00314)*0.21)*'Технический лист'!$O$11)+(((Q6+30)*(Q6+30)/1000000)*'Технический лист'!$E$20))*2.33</f>
        <v>3154.6687363999999</v>
      </c>
      <c r="R12" s="16">
        <f>((((R6*0.00314)*0.22)*'Технический лист'!$M$8)+100+(((R7*0.00314)*0.21)*'Технический лист'!$O$11)+(((R6+30)*(R6+30)/1000000)*'Технический лист'!$E$20))*2.33</f>
        <v>3281.5993129257145</v>
      </c>
      <c r="S12" s="16">
        <f>((((S6*0.00314)*0.22)*'Технический лист'!$M$8)+100+(((S7*0.00314)*0.21)*'Технический лист'!$O$11)+(((S6+30)*(S6+30)/1000000)*'Технический лист'!$E$20))*2.33</f>
        <v>3410.3938894514281</v>
      </c>
    </row>
    <row r="13" spans="1:19">
      <c r="A13" s="4" t="s">
        <v>7</v>
      </c>
      <c r="B13" s="9">
        <f>(B12*2.2)+24</f>
        <v>2639.0571896617148</v>
      </c>
      <c r="C13" s="9">
        <f t="shared" ref="C13:S13" si="3">(C12*2.2)+24</f>
        <v>2844.4900580182862</v>
      </c>
      <c r="D13" s="9">
        <f t="shared" si="3"/>
        <v>2948.7442921965717</v>
      </c>
      <c r="E13" s="9">
        <f t="shared" si="3"/>
        <v>3054.0237263748581</v>
      </c>
      <c r="F13" s="9">
        <f t="shared" si="3"/>
        <v>3160.3283605531437</v>
      </c>
      <c r="G13" s="9">
        <f t="shared" si="3"/>
        <v>3267.6581947314294</v>
      </c>
      <c r="H13" s="9">
        <f t="shared" si="3"/>
        <v>3485.3934630880003</v>
      </c>
      <c r="I13" s="9">
        <f t="shared" si="3"/>
        <v>3707.2295314445714</v>
      </c>
      <c r="J13" s="9">
        <f t="shared" si="3"/>
        <v>3933.1663998011427</v>
      </c>
      <c r="K13" s="9">
        <f t="shared" si="3"/>
        <v>4397.3425365142857</v>
      </c>
      <c r="L13" s="9">
        <f t="shared" si="3"/>
        <v>4877.9218732274294</v>
      </c>
      <c r="M13" s="9">
        <f t="shared" si="3"/>
        <v>5374.9044099405719</v>
      </c>
      <c r="N13" s="9">
        <f t="shared" si="3"/>
        <v>6151.1342150102864</v>
      </c>
      <c r="O13" s="9">
        <f t="shared" si="3"/>
        <v>6418.079083366858</v>
      </c>
      <c r="P13" s="9">
        <f t="shared" si="3"/>
        <v>6689.1247517234297</v>
      </c>
      <c r="Q13" s="9">
        <f t="shared" si="3"/>
        <v>6964.2712200800006</v>
      </c>
      <c r="R13" s="9">
        <f t="shared" si="3"/>
        <v>7243.5184884365726</v>
      </c>
      <c r="S13" s="9">
        <f t="shared" si="3"/>
        <v>7526.8665567931421</v>
      </c>
    </row>
    <row r="14" spans="1:19">
      <c r="A14" s="4" t="s">
        <v>8</v>
      </c>
      <c r="B14" s="16">
        <f>((((B6*0.00314)*0.2)*'Технический лист'!$M$8)+50+(((B7*0.00314)*0.22)*'Технический лист'!$O$11))*2.46</f>
        <v>930.28449420051948</v>
      </c>
      <c r="C14" s="16">
        <f>((((C6*0.00314)*0.2)*'Технический лист'!$M$8)+50+(((C7*0.00314)*0.22)*'Технический лист'!$O$11))*2.46</f>
        <v>998.18158230857125</v>
      </c>
      <c r="D14" s="16">
        <f>((((D6*0.00314)*0.2)*'Технический лист'!$M$8)+50+(((D7*0.00314)*0.22)*'Технический лист'!$O$11))*2.46</f>
        <v>1032.1301263625974</v>
      </c>
      <c r="E14" s="16">
        <f>((((E6*0.00314)*0.2)*'Технический лист'!$M$8)+50+(((E7*0.00314)*0.22)*'Технический лист'!$O$11))*2.46</f>
        <v>1066.0786704166235</v>
      </c>
      <c r="F14" s="16">
        <f>((((F6*0.00314)*0.2)*'Технический лист'!$M$8)+50+(((F7*0.00314)*0.22)*'Технический лист'!$O$11))*2.46</f>
        <v>1100.0272144706494</v>
      </c>
      <c r="G14" s="16">
        <f>((((G6*0.00314)*0.2)*'Технический лист'!$M$8)+50+(((G7*0.00314)*0.22)*'Технический лист'!$O$11))*2.46</f>
        <v>1133.9757585246753</v>
      </c>
      <c r="H14" s="16">
        <f>((((H6*0.00314)*0.2)*'Технический лист'!$M$8)+50+(((H7*0.00314)*0.22)*'Технический лист'!$O$11))*2.46</f>
        <v>1201.872846632727</v>
      </c>
      <c r="I14" s="16">
        <f>((((I6*0.00314)*0.2)*'Технический лист'!$M$8)+50+(((I7*0.00314)*0.22)*'Технический лист'!$O$11))*2.46</f>
        <v>1269.7699347407793</v>
      </c>
      <c r="J14" s="16">
        <f>((((J6*0.00314)*0.2)*'Технический лист'!$M$8)+50+(((J7*0.00314)*0.22)*'Технический лист'!$O$11))*2.46</f>
        <v>1337.6670228488313</v>
      </c>
      <c r="K14" s="16">
        <f>((((K6*0.00314)*0.2)*'Технический лист'!$M$8)+50+(((K7*0.00314)*0.22)*'Технический лист'!$O$11))*2.46</f>
        <v>1473.4611990649353</v>
      </c>
      <c r="L14" s="16">
        <f>((((L6*0.00314)*0.2)*'Технический лист'!$M$8)+50+(((L7*0.00314)*0.22)*'Технический лист'!$O$11))*2.46</f>
        <v>1609.2553752810391</v>
      </c>
      <c r="M14" s="16">
        <f>((((M6*0.00314)*0.2)*'Технический лист'!$M$8)+50+(((M7*0.00314)*0.22)*'Технический лист'!$O$11))*2.46</f>
        <v>1745.0495514971428</v>
      </c>
      <c r="N14" s="16">
        <f>((((N6*0.00314)*0.2)*'Технический лист'!$M$8)+50+(((N7*0.00314)*0.22)*'Технический лист'!$O$11))*2.46</f>
        <v>1948.7408158212991</v>
      </c>
      <c r="O14" s="16">
        <f>((((O6*0.00314)*0.2)*'Технический лист'!$M$8)+50+(((O7*0.00314)*0.22)*'Технический лист'!$O$11))*2.46</f>
        <v>2016.6379039293506</v>
      </c>
      <c r="P14" s="16">
        <f>((((P6*0.00314)*0.2)*'Технический лист'!$M$8)+50+(((P7*0.00314)*0.22)*'Технический лист'!$O$11))*2.46</f>
        <v>2084.5349920374028</v>
      </c>
      <c r="Q14" s="16">
        <f>((((Q6*0.00314)*0.2)*'Технический лист'!$M$8)+50+(((Q7*0.00314)*0.22)*'Технический лист'!$O$11))*2.46</f>
        <v>2152.4320801454542</v>
      </c>
      <c r="R14" s="16">
        <f>((((R6*0.00314)*0.2)*'Технический лист'!$M$8)+50+(((R7*0.00314)*0.22)*'Технический лист'!$O$11))*2.46</f>
        <v>2220.3291682535064</v>
      </c>
      <c r="S14" s="16">
        <f>((((S6*0.00314)*0.2)*'Технический лист'!$M$8)+50+(((S7*0.00314)*0.22)*'Технический лист'!$O$11))*2.46</f>
        <v>2288.2262563615586</v>
      </c>
    </row>
    <row r="15" spans="1:19">
      <c r="A15" s="4" t="s">
        <v>9</v>
      </c>
      <c r="B15" s="9">
        <f>((((B6*0.00314)*((B6+545)/1000))*'Технический лист'!$K$8)+370+((B7*0.00314)*((B7+450)/1000))*'Технический лист'!$K$11)*2.56</f>
        <v>3056.0818538611256</v>
      </c>
      <c r="C15" s="9">
        <f>((((C6*0.00314)*((C6+545)/1000))*'Технический лист'!$K$8)+370+((C7*0.00314)*((C7+450)/1000))*'Технический лист'!$K$11)*2.56</f>
        <v>3279.2725884342858</v>
      </c>
      <c r="D15" s="9">
        <f>((((D6*0.00314)*((D6+545)/1000))*'Технический лист'!$K$8)+370+((D7*0.00314)*((D7+450)/1000))*'Технический лист'!$K$11)*2.56</f>
        <v>3393.0606955276194</v>
      </c>
      <c r="E15" s="9">
        <f>((((E6*0.00314)*((E6+545)/1000))*'Технический лист'!$K$8)+370+((E7*0.00314)*((E7+450)/1000))*'Технический лист'!$K$11)*2.56</f>
        <v>3508.3106291587878</v>
      </c>
      <c r="F15" s="9">
        <f>((((F6*0.00314)*((F6+545)/1000))*'Технический лист'!$K$8)+370+((F7*0.00314)*((F7+450)/1000))*'Технический лист'!$K$11)*2.56</f>
        <v>3625.0223893277916</v>
      </c>
      <c r="G15" s="9">
        <f>((((G6*0.00314)*((G6+545)/1000))*'Технический лист'!$K$8)+370+((G7*0.00314)*((G7+450)/1000))*'Технический лист'!$K$11)*2.56</f>
        <v>3743.1959760346322</v>
      </c>
      <c r="H15" s="9">
        <f>((((H6*0.00314)*((H6+545)/1000))*'Технический лист'!$K$8)+370+((H7*0.00314)*((H7+450)/1000))*'Технический лист'!$K$11)*2.56</f>
        <v>3983.9286290618184</v>
      </c>
      <c r="I15" s="9">
        <f>((((I6*0.00314)*((I6+545)/1000))*'Технический лист'!$K$8)+370+((I7*0.00314)*((I7+450)/1000))*'Технический лист'!$K$11)*2.56</f>
        <v>4230.5085882403455</v>
      </c>
      <c r="J15" s="9">
        <f>((((J6*0.00314)*((J6+545)/1000))*'Технический лист'!$K$8)+370+((J7*0.00314)*((J7+450)/1000))*'Технический лист'!$K$11)*2.56</f>
        <v>4482.9358535702158</v>
      </c>
      <c r="K15" s="9">
        <f>((((K6*0.00314)*((K6+545)/1000))*'Технический лист'!$K$8)+370+((K7*0.00314)*((K7+450)/1000))*'Технический лист'!$K$11)*2.56</f>
        <v>5005.3323026839826</v>
      </c>
      <c r="L15" s="9">
        <f>((((L6*0.00314)*((L6+545)/1000))*'Технический лист'!$K$8)+370+((L7*0.00314)*((L7+450)/1000))*'Технический лист'!$K$11)*2.56</f>
        <v>5551.1179764031167</v>
      </c>
      <c r="M15" s="9">
        <f>((((M6*0.00314)*((M6+545)/1000))*'Технический лист'!$K$8)+370+((M7*0.00314)*((M7+450)/1000))*'Технический лист'!$K$11)*2.56</f>
        <v>6120.2928747276183</v>
      </c>
      <c r="N15" s="9">
        <f>((((N6*0.00314)*((N6+545)/1000))*'Технический лист'!$K$8)+370+((N7*0.00314)*((N7+450)/1000))*'Технический лист'!$K$11)*2.56</f>
        <v>7017.9100183494365</v>
      </c>
      <c r="O15" s="9">
        <f>((((O6*0.00314)*((O6+545)/1000))*'Технический лист'!$K$8)+370+((O7*0.00314)*((O7+450)/1000))*'Технический лист'!$K$11)*2.56</f>
        <v>7328.8103451927273</v>
      </c>
      <c r="P15" s="9">
        <f>((((P6*0.00314)*((P6+545)/1000))*'Технический лист'!$K$8)+370+((P7*0.00314)*((P7+450)/1000))*'Технический лист'!$K$11)*2.56</f>
        <v>7645.5579781873594</v>
      </c>
      <c r="Q15" s="9">
        <f>((((Q6*0.00314)*((Q6+545)/1000))*'Технический лист'!$K$8)+370+((Q7*0.00314)*((Q7+450)/1000))*'Технический лист'!$K$11)*2.56</f>
        <v>7968.1529173333329</v>
      </c>
      <c r="R15" s="9">
        <f>((((R6*0.00314)*((R6+545)/1000))*'Технический лист'!$K$8)+370+((R7*0.00314)*((R7+450)/1000))*'Технический лист'!$K$11)*2.56</f>
        <v>8296.5951626306487</v>
      </c>
      <c r="S15" s="9">
        <f>((((S6*0.00314)*((S6+545)/1000))*'Технический лист'!$K$8)+370+((S7*0.00314)*((S7+450)/1000))*'Технический лист'!$K$11)*2.56</f>
        <v>8630.8847140793059</v>
      </c>
    </row>
    <row r="16" spans="1:19" ht="0.75" hidden="1" customHeight="1">
      <c r="A16" s="4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>
      <c r="A17" s="4" t="s">
        <v>118</v>
      </c>
      <c r="B17" s="16">
        <v>1800</v>
      </c>
      <c r="C17" s="16">
        <v>1800</v>
      </c>
      <c r="D17" s="16">
        <v>1800</v>
      </c>
      <c r="E17" s="16">
        <v>1800</v>
      </c>
      <c r="F17" s="16">
        <v>1800</v>
      </c>
      <c r="G17" s="16">
        <v>1800</v>
      </c>
      <c r="H17" s="16">
        <v>1800</v>
      </c>
      <c r="I17" s="16">
        <v>1800</v>
      </c>
      <c r="J17" s="16">
        <v>1800</v>
      </c>
      <c r="K17" s="16">
        <v>1800</v>
      </c>
      <c r="L17" s="16">
        <v>1800</v>
      </c>
      <c r="M17" s="16">
        <v>1800</v>
      </c>
      <c r="N17" s="16">
        <v>1800</v>
      </c>
      <c r="O17" s="16">
        <v>1800</v>
      </c>
      <c r="P17" s="16">
        <v>1800</v>
      </c>
      <c r="Q17" s="16">
        <v>1800</v>
      </c>
      <c r="R17" s="16">
        <v>1800</v>
      </c>
      <c r="S17" s="16">
        <v>1800</v>
      </c>
    </row>
    <row r="19" spans="1:19">
      <c r="A19" s="41" t="s">
        <v>133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19">
      <c r="A20" s="3" t="s">
        <v>0</v>
      </c>
      <c r="B20" s="10">
        <v>100</v>
      </c>
      <c r="C20" s="10">
        <v>110</v>
      </c>
      <c r="D20" s="10">
        <v>115</v>
      </c>
      <c r="E20" s="10">
        <v>120</v>
      </c>
      <c r="F20" s="10">
        <v>125</v>
      </c>
      <c r="G20" s="10">
        <v>130</v>
      </c>
      <c r="H20" s="10">
        <v>140</v>
      </c>
      <c r="I20" s="10">
        <v>150</v>
      </c>
      <c r="J20" s="10">
        <v>160</v>
      </c>
      <c r="K20" s="10">
        <v>180</v>
      </c>
      <c r="L20" s="10">
        <v>200</v>
      </c>
      <c r="M20" s="10">
        <v>220</v>
      </c>
      <c r="N20" s="10">
        <v>250</v>
      </c>
      <c r="O20" s="10">
        <v>260</v>
      </c>
      <c r="P20" s="10">
        <v>270</v>
      </c>
      <c r="Q20" s="10">
        <v>280</v>
      </c>
      <c r="R20" s="10">
        <v>290</v>
      </c>
      <c r="S20" s="10">
        <v>300</v>
      </c>
    </row>
    <row r="21" spans="1:19">
      <c r="A21" s="3" t="s">
        <v>1</v>
      </c>
      <c r="B21" s="10">
        <f>B20+70</f>
        <v>170</v>
      </c>
      <c r="C21" s="10">
        <f t="shared" ref="C21:S21" si="4">C20+70</f>
        <v>180</v>
      </c>
      <c r="D21" s="10">
        <f t="shared" si="4"/>
        <v>185</v>
      </c>
      <c r="E21" s="10">
        <f t="shared" si="4"/>
        <v>190</v>
      </c>
      <c r="F21" s="10">
        <f t="shared" si="4"/>
        <v>195</v>
      </c>
      <c r="G21" s="10">
        <f t="shared" si="4"/>
        <v>200</v>
      </c>
      <c r="H21" s="10">
        <f t="shared" si="4"/>
        <v>210</v>
      </c>
      <c r="I21" s="10">
        <f t="shared" si="4"/>
        <v>220</v>
      </c>
      <c r="J21" s="10">
        <f t="shared" si="4"/>
        <v>230</v>
      </c>
      <c r="K21" s="10">
        <f t="shared" si="4"/>
        <v>250</v>
      </c>
      <c r="L21" s="10">
        <f t="shared" si="4"/>
        <v>270</v>
      </c>
      <c r="M21" s="10">
        <f t="shared" si="4"/>
        <v>290</v>
      </c>
      <c r="N21" s="10">
        <f t="shared" si="4"/>
        <v>320</v>
      </c>
      <c r="O21" s="10">
        <f t="shared" si="4"/>
        <v>330</v>
      </c>
      <c r="P21" s="10">
        <f t="shared" si="4"/>
        <v>340</v>
      </c>
      <c r="Q21" s="10">
        <f t="shared" si="4"/>
        <v>350</v>
      </c>
      <c r="R21" s="10">
        <f t="shared" si="4"/>
        <v>360</v>
      </c>
      <c r="S21" s="10">
        <f t="shared" si="4"/>
        <v>370</v>
      </c>
    </row>
    <row r="22" spans="1:19">
      <c r="A22" s="4" t="s">
        <v>4</v>
      </c>
      <c r="B22" s="16">
        <f>(((B20*0.00314)*'Технический лист'!$G$8)+310+((B21*0.00314)*'Технический лист'!$G$5))*2.3</f>
        <v>3594.319133506493</v>
      </c>
      <c r="C22" s="16">
        <f>(((C20*0.00314)*'Технический лист'!$G$8)+310+((C21*0.00314)*'Технический лист'!$G$5))*2.3</f>
        <v>3825.0217028571424</v>
      </c>
      <c r="D22" s="16">
        <f>(((D20*0.00314)*'Технический лист'!$G$8)+310+((D21*0.00314)*'Технический лист'!$G$5))*2.3</f>
        <v>3940.3729875324671</v>
      </c>
      <c r="E22" s="16">
        <f>(((E20*0.00314)*'Технический лист'!$G$8)+310+((E21*0.00314)*'Технический лист'!$G$5))*2.3</f>
        <v>4055.7242722077917</v>
      </c>
      <c r="F22" s="16">
        <f>(((F20*0.00314)*'Технический лист'!$G$8)+310+((F21*0.00314)*'Технический лист'!$G$5))*2.3</f>
        <v>4171.0755568831164</v>
      </c>
      <c r="G22" s="16">
        <f>(((G20*0.00314)*'Технический лист'!$G$8)+310+((G21*0.00314)*'Технический лист'!$G$5))*2.3</f>
        <v>4286.4268415584402</v>
      </c>
      <c r="H22" s="16">
        <f>(((H20*0.00314)*'Технический лист'!$G$8)+310+((H21*0.00314)*'Технический лист'!$G$5))*2.3</f>
        <v>4517.1294109090904</v>
      </c>
      <c r="I22" s="16">
        <f>(((I20*0.00314)*'Технический лист'!$G$8)+310+((I21*0.00314)*'Технический лист'!$G$5))*2.3</f>
        <v>4747.8319802597389</v>
      </c>
      <c r="J22" s="16">
        <f>(((J20*0.00314)*'Технический лист'!$G$8)+310+((J21*0.00314)*'Технический лист'!$G$5))*2.3</f>
        <v>4978.5345496103891</v>
      </c>
      <c r="K22" s="16">
        <f>(((K20*0.00314)*'Технический лист'!$G$8)+310+((K21*0.00314)*'Технический лист'!$G$5))*2.3</f>
        <v>5439.9396883116879</v>
      </c>
      <c r="L22" s="16">
        <f>(((L20*0.00314)*'Технический лист'!$G$8)+310+((L21*0.00314)*'Технический лист'!$G$5))*2.3</f>
        <v>5901.3448270129866</v>
      </c>
      <c r="M22" s="16">
        <f>(((M20*0.00314)*'Технический лист'!$G$8)+310+((M21*0.00314)*'Технический лист'!$G$5))*2.3</f>
        <v>6362.7499657142844</v>
      </c>
      <c r="N22" s="16">
        <f>(((N20*0.00314)*'Технический лист'!$G$8)+310+((N21*0.00314)*'Технический лист'!$G$5))*2.3</f>
        <v>7054.8576737662315</v>
      </c>
      <c r="O22" s="16">
        <f>(((O20*0.00314)*'Технический лист'!$G$8)+310+((O21*0.00314)*'Технический лист'!$G$5))*2.3</f>
        <v>7285.5602431168818</v>
      </c>
      <c r="P22" s="16">
        <f>(((P20*0.00314)*'Технический лист'!$G$8)+310+((P21*0.00314)*'Технический лист'!$G$5))*2.3</f>
        <v>7516.2628124675321</v>
      </c>
      <c r="Q22" s="16">
        <f>(((Q20*0.00314)*'Технический лист'!$G$8)+310+((Q21*0.00314)*'Технический лист'!$G$5))*2.3</f>
        <v>7746.9653818181805</v>
      </c>
      <c r="R22" s="16">
        <f>(((R20*0.00314)*'Технический лист'!$G$8)+310+((R21*0.00314)*'Технический лист'!$G$5))*2.3</f>
        <v>7977.6679511688289</v>
      </c>
      <c r="S22" s="16">
        <f>(((S20*0.00314)*'Технический лист'!$G$8)+310+((S21*0.00314)*'Технический лист'!$G$5))*2.3</f>
        <v>8208.3705205194801</v>
      </c>
    </row>
    <row r="23" spans="1:19">
      <c r="A23" s="4" t="s">
        <v>3</v>
      </c>
      <c r="B23" s="9">
        <f>((B22/2)*1.07)-10</f>
        <v>1912.9607364259739</v>
      </c>
      <c r="C23" s="9">
        <f t="shared" ref="C23:S23" si="5">((C22/2)*1.07)-10</f>
        <v>2036.3866110285712</v>
      </c>
      <c r="D23" s="9">
        <f t="shared" si="5"/>
        <v>2098.0995483298698</v>
      </c>
      <c r="E23" s="9">
        <f t="shared" si="5"/>
        <v>2159.8124856311688</v>
      </c>
      <c r="F23" s="9">
        <f t="shared" si="5"/>
        <v>2221.5254229324673</v>
      </c>
      <c r="G23" s="9">
        <f t="shared" si="5"/>
        <v>2283.2383602337654</v>
      </c>
      <c r="H23" s="9">
        <f t="shared" si="5"/>
        <v>2406.6642348363634</v>
      </c>
      <c r="I23" s="9">
        <f t="shared" si="5"/>
        <v>2530.0901094389606</v>
      </c>
      <c r="J23" s="9">
        <f t="shared" si="5"/>
        <v>2653.5159840415586</v>
      </c>
      <c r="K23" s="9">
        <f t="shared" si="5"/>
        <v>2900.3677332467532</v>
      </c>
      <c r="L23" s="9">
        <f t="shared" si="5"/>
        <v>3147.2194824519479</v>
      </c>
      <c r="M23" s="9">
        <f t="shared" si="5"/>
        <v>3394.0712316571426</v>
      </c>
      <c r="N23" s="9">
        <f t="shared" si="5"/>
        <v>3764.3488554649339</v>
      </c>
      <c r="O23" s="9">
        <f t="shared" si="5"/>
        <v>3887.7747300675319</v>
      </c>
      <c r="P23" s="9">
        <f t="shared" si="5"/>
        <v>4011.2006046701299</v>
      </c>
      <c r="Q23" s="9">
        <f t="shared" si="5"/>
        <v>4134.626479272727</v>
      </c>
      <c r="R23" s="9">
        <f t="shared" si="5"/>
        <v>4258.0523538753241</v>
      </c>
      <c r="S23" s="9">
        <f t="shared" si="5"/>
        <v>4381.4782284779221</v>
      </c>
    </row>
    <row r="24" spans="1:19">
      <c r="A24" s="4" t="s">
        <v>5</v>
      </c>
      <c r="B24" s="16">
        <f>((((B20*0.00314)*0.5)*'Технический лист'!$I$8)+310+(((B21*0.00314)*0.5)*'Технический лист'!$I$5))*2.44</f>
        <v>3041.3348882077921</v>
      </c>
      <c r="C24" s="16">
        <f>((((C20*0.00314)*0.5)*'Технический лист'!$I$8)+310+(((C21*0.00314)*0.5)*'Технический лист'!$I$5))*2.44</f>
        <v>3221.9357154285713</v>
      </c>
      <c r="D24" s="16">
        <f>((((D20*0.00314)*0.5)*'Технический лист'!$I$8)+310+(((D21*0.00314)*0.5)*'Технический лист'!$I$5))*2.44</f>
        <v>3312.2361290389608</v>
      </c>
      <c r="E24" s="16">
        <f>((((E20*0.00314)*0.5)*'Технический лист'!$I$8)+310+(((E21*0.00314)*0.5)*'Технический лист'!$I$5))*2.44</f>
        <v>3402.5365426493508</v>
      </c>
      <c r="F24" s="16">
        <f>((((F20*0.00314)*0.5)*'Технический лист'!$I$8)+310+(((F21*0.00314)*0.5)*'Технический лист'!$I$5))*2.44</f>
        <v>3492.8369562597404</v>
      </c>
      <c r="G24" s="16">
        <f>((((G20*0.00314)*0.5)*'Технический лист'!$I$8)+310+(((G21*0.00314)*0.5)*'Технический лист'!$I$5))*2.44</f>
        <v>3583.13736987013</v>
      </c>
      <c r="H24" s="16">
        <f>((((H20*0.00314)*0.5)*'Технический лист'!$I$8)+310+(((H21*0.00314)*0.5)*'Технический лист'!$I$5))*2.44</f>
        <v>3763.7381970909087</v>
      </c>
      <c r="I24" s="16">
        <f>((((I20*0.00314)*0.5)*'Технический лист'!$I$8)+310+(((I21*0.00314)*0.5)*'Технический лист'!$I$5))*2.44</f>
        <v>3944.3390243116878</v>
      </c>
      <c r="J24" s="16">
        <f>((((J20*0.00314)*0.5)*'Технический лист'!$I$8)+310+(((J21*0.00314)*0.5)*'Технический лист'!$I$5))*2.44</f>
        <v>4124.9398515324674</v>
      </c>
      <c r="K24" s="16">
        <f>((((K20*0.00314)*0.5)*'Технический лист'!$I$8)+310+(((K21*0.00314)*0.5)*'Технический лист'!$I$5))*2.44</f>
        <v>4486.1415059740257</v>
      </c>
      <c r="L24" s="16">
        <f>((((L20*0.00314)*0.5)*'Технический лист'!$I$8)+310+(((L21*0.00314)*0.5)*'Технический лист'!$I$5))*2.44</f>
        <v>4847.3431604155849</v>
      </c>
      <c r="M24" s="16">
        <f>((((M20*0.00314)*0.5)*'Технический лист'!$I$8)+310+(((M21*0.00314)*0.5)*'Технический лист'!$I$5))*2.44</f>
        <v>5208.5448148571413</v>
      </c>
      <c r="N24" s="16">
        <f>((((N20*0.00314)*0.5)*'Технический лист'!$I$8)+310+(((N21*0.00314)*0.5)*'Технический лист'!$I$5))*2.44</f>
        <v>5750.3472965194806</v>
      </c>
      <c r="O24" s="16">
        <f>((((O20*0.00314)*0.5)*'Технический лист'!$I$8)+310+(((O21*0.00314)*0.5)*'Технический лист'!$I$5))*2.44</f>
        <v>5930.9481237402597</v>
      </c>
      <c r="P24" s="16">
        <f>((((P20*0.00314)*0.5)*'Технический лист'!$I$8)+310+(((P21*0.00314)*0.5)*'Технический лист'!$I$5))*2.44</f>
        <v>6111.5489509610388</v>
      </c>
      <c r="Q24" s="16">
        <f>((((Q20*0.00314)*0.5)*'Технический лист'!$I$8)+310+(((Q21*0.00314)*0.5)*'Технический лист'!$I$5))*2.44</f>
        <v>6292.1497781818171</v>
      </c>
      <c r="R24" s="16">
        <f>((((R20*0.00314)*0.5)*'Технический лист'!$I$8)+310+(((R21*0.00314)*0.5)*'Технический лист'!$I$5))*2.44</f>
        <v>6472.750605402598</v>
      </c>
      <c r="S24" s="16">
        <f>((((S20*0.00314)*0.5)*'Технический лист'!$I$8)+310+(((S21*0.00314)*0.5)*'Технический лист'!$I$5))*2.44</f>
        <v>6653.3514326233762</v>
      </c>
    </row>
    <row r="25" spans="1:19">
      <c r="A25" s="4" t="s">
        <v>96</v>
      </c>
      <c r="B25" s="9">
        <f>((B24*2)/3)-6</f>
        <v>2021.556592138528</v>
      </c>
      <c r="C25" s="9">
        <f t="shared" ref="C25:S25" si="6">((C24*2)/3)-6</f>
        <v>2141.9571436190477</v>
      </c>
      <c r="D25" s="9">
        <f t="shared" si="6"/>
        <v>2202.1574193593074</v>
      </c>
      <c r="E25" s="9">
        <f t="shared" si="6"/>
        <v>2262.3576950995671</v>
      </c>
      <c r="F25" s="9">
        <f t="shared" si="6"/>
        <v>2322.5579708398268</v>
      </c>
      <c r="G25" s="9">
        <f t="shared" si="6"/>
        <v>2382.7582465800865</v>
      </c>
      <c r="H25" s="9">
        <f t="shared" si="6"/>
        <v>2503.1587980606059</v>
      </c>
      <c r="I25" s="9">
        <f t="shared" si="6"/>
        <v>2623.5593495411254</v>
      </c>
      <c r="J25" s="9">
        <f t="shared" si="6"/>
        <v>2743.9599010216448</v>
      </c>
      <c r="K25" s="9">
        <f t="shared" si="6"/>
        <v>2984.7610039826836</v>
      </c>
      <c r="L25" s="9">
        <f t="shared" si="6"/>
        <v>3225.5621069437234</v>
      </c>
      <c r="M25" s="9">
        <f t="shared" si="6"/>
        <v>3466.3632099047609</v>
      </c>
      <c r="N25" s="9">
        <f t="shared" si="6"/>
        <v>3827.5648643463205</v>
      </c>
      <c r="O25" s="9">
        <f t="shared" si="6"/>
        <v>3947.9654158268399</v>
      </c>
      <c r="P25" s="9">
        <f t="shared" si="6"/>
        <v>4068.3659673073594</v>
      </c>
      <c r="Q25" s="9">
        <f t="shared" si="6"/>
        <v>4188.7665187878783</v>
      </c>
      <c r="R25" s="9">
        <f t="shared" si="6"/>
        <v>4309.1670702683987</v>
      </c>
      <c r="S25" s="9">
        <f t="shared" si="6"/>
        <v>4429.5676217489172</v>
      </c>
    </row>
    <row r="26" spans="1:19">
      <c r="A26" s="4" t="s">
        <v>6</v>
      </c>
      <c r="B26" s="16">
        <f>((((B20*0.00314)*0.22)*'Технический лист'!$M$8)+100+(((B21*0.00314)*0.21)*'Технический лист'!$O$5)+(((B20+30)*(B20+30)/1000000)*'Технический лист'!$E$20))*2.4</f>
        <v>1476.5489060571426</v>
      </c>
      <c r="C26" s="16">
        <f>((((C20*0.00314)*0.22)*'Технический лист'!$M$8)+100+(((C21*0.00314)*0.21)*'Технический лист'!$O$5)+(((C20+30)*(C20+30)/1000000)*'Технический лист'!$E$20))*2.4</f>
        <v>1587.566709942857</v>
      </c>
      <c r="D26" s="16">
        <f>((((D20*0.00314)*0.22)*'Технический лист'!$M$8)+100+(((D21*0.00314)*0.21)*'Технический лист'!$O$5)+(((D20+30)*(D20+30)/1000000)*'Технический лист'!$E$20))*2.4</f>
        <v>1643.7956118857142</v>
      </c>
      <c r="E26" s="16">
        <f>((((E20*0.00314)*0.22)*'Технический лист'!$M$8)+100+(((E21*0.00314)*0.21)*'Технический лист'!$O$5)+(((E20+30)*(E20+30)/1000000)*'Технический лист'!$E$20))*2.4</f>
        <v>1700.5045138285716</v>
      </c>
      <c r="F26" s="16">
        <f>((((F20*0.00314)*0.22)*'Технический лист'!$M$8)+100+(((F21*0.00314)*0.21)*'Технический лист'!$O$5)+(((F20+30)*(F20+30)/1000000)*'Технический лист'!$E$20))*2.4</f>
        <v>1757.6934157714284</v>
      </c>
      <c r="G26" s="16">
        <f>((((G20*0.00314)*0.22)*'Технический лист'!$M$8)+100+(((G21*0.00314)*0.21)*'Технический лист'!$O$5)+(((G20+30)*(G20+30)/1000000)*'Технический лист'!$E$20))*2.4</f>
        <v>1815.3623177142856</v>
      </c>
      <c r="H26" s="16">
        <f>((((H20*0.00314)*0.22)*'Технический лист'!$M$8)+100+(((H21*0.00314)*0.21)*'Технический лист'!$O$5)+(((H20+30)*(H20+30)/1000000)*'Технический лист'!$E$20))*2.4</f>
        <v>1932.1401215999997</v>
      </c>
      <c r="I26" s="16">
        <f>((((I20*0.00314)*0.22)*'Технический лист'!$M$8)+100+(((I21*0.00314)*0.21)*'Технический лист'!$O$5)+(((I20+30)*(I20+30)/1000000)*'Технический лист'!$E$20))*2.4</f>
        <v>2050.8379254857136</v>
      </c>
      <c r="J26" s="16">
        <f>((((J20*0.00314)*0.22)*'Технический лист'!$M$8)+100+(((J21*0.00314)*0.21)*'Технический лист'!$O$5)+(((J20+30)*(J20+30)/1000000)*'Технический лист'!$E$20))*2.4</f>
        <v>2171.4557293714279</v>
      </c>
      <c r="K26" s="16">
        <f>((((K20*0.00314)*0.22)*'Технический лист'!$M$8)+100+(((K21*0.00314)*0.21)*'Технический лист'!$O$5)+(((K20+30)*(K20+30)/1000000)*'Технический лист'!$E$20))*2.4</f>
        <v>2418.451337142857</v>
      </c>
      <c r="L26" s="16">
        <f>((((L20*0.00314)*0.22)*'Технический лист'!$M$8)+100+(((L21*0.00314)*0.21)*'Технический лист'!$O$5)+(((L20+30)*(L20+30)/1000000)*'Технический лист'!$E$20))*2.4</f>
        <v>2673.126944914286</v>
      </c>
      <c r="M26" s="16">
        <f>((((M20*0.00314)*0.22)*'Технический лист'!$M$8)+100+(((M21*0.00314)*0.21)*'Технический лист'!$O$5)+(((M20+30)*(M20+30)/1000000)*'Технический лист'!$E$20))*2.4</f>
        <v>2935.4825526857144</v>
      </c>
      <c r="N26" s="16">
        <f>((((N20*0.00314)*0.22)*'Технический лист'!$M$8)+100+(((N21*0.00314)*0.21)*'Технический лист'!$O$5)+(((N20+30)*(N20+30)/1000000)*'Технический лист'!$E$20))*2.4</f>
        <v>3343.415964342857</v>
      </c>
      <c r="O26" s="16">
        <f>((((O20*0.00314)*0.22)*'Технический лист'!$M$8)+100+(((O21*0.00314)*0.21)*'Технический лист'!$O$5)+(((O20+30)*(O20+30)/1000000)*'Технический лист'!$E$20))*2.4</f>
        <v>3483.2337682285711</v>
      </c>
      <c r="P26" s="16">
        <f>((((P20*0.00314)*0.22)*'Технический лист'!$M$8)+100+(((P21*0.00314)*0.21)*'Технический лист'!$O$5)+(((P20+30)*(P20+30)/1000000)*'Технический лист'!$E$20))*2.4</f>
        <v>3624.9715721142861</v>
      </c>
      <c r="Q26" s="16">
        <f>((((Q20*0.00314)*0.22)*'Технический лист'!$M$8)+100+(((Q21*0.00314)*0.21)*'Технический лист'!$O$5)+(((Q20+30)*(Q20+30)/1000000)*'Технический лист'!$E$20))*2.4</f>
        <v>3768.6293759999999</v>
      </c>
      <c r="R26" s="16">
        <f>((((R20*0.00314)*0.22)*'Технический лист'!$M$8)+100+(((R21*0.00314)*0.21)*'Технический лист'!$O$5)+(((R20+30)*(R20+30)/1000000)*'Технический лист'!$E$20))*2.4</f>
        <v>3914.2071798857141</v>
      </c>
      <c r="S26" s="16">
        <f>((((S20*0.00314)*0.22)*'Технический лист'!$M$8)+100+(((S21*0.00314)*0.21)*'Технический лист'!$O$5)+(((S20+30)*(S20+30)/1000000)*'Технический лист'!$E$20))*2.4</f>
        <v>4061.7049837714276</v>
      </c>
    </row>
    <row r="27" spans="1:19">
      <c r="A27" s="4" t="s">
        <v>7</v>
      </c>
      <c r="B27" s="9">
        <f>(B26*2.2)+24</f>
        <v>3272.4075933257141</v>
      </c>
      <c r="C27" s="9">
        <f t="shared" ref="C27:S27" si="7">(C26*2.2)+24</f>
        <v>3516.6467618742854</v>
      </c>
      <c r="D27" s="9">
        <f t="shared" si="7"/>
        <v>3640.3503461485716</v>
      </c>
      <c r="E27" s="9">
        <f t="shared" si="7"/>
        <v>3765.1099304228578</v>
      </c>
      <c r="F27" s="9">
        <f t="shared" si="7"/>
        <v>3890.9255146971427</v>
      </c>
      <c r="G27" s="9">
        <f t="shared" si="7"/>
        <v>4017.7970989714286</v>
      </c>
      <c r="H27" s="9">
        <f t="shared" si="7"/>
        <v>4274.7082675199999</v>
      </c>
      <c r="I27" s="9">
        <f t="shared" si="7"/>
        <v>4535.8434360685706</v>
      </c>
      <c r="J27" s="9">
        <f t="shared" si="7"/>
        <v>4801.2026046171413</v>
      </c>
      <c r="K27" s="9">
        <f t="shared" si="7"/>
        <v>5344.5929417142861</v>
      </c>
      <c r="L27" s="9">
        <f t="shared" si="7"/>
        <v>5904.8792788114297</v>
      </c>
      <c r="M27" s="9">
        <f t="shared" si="7"/>
        <v>6482.0616159085721</v>
      </c>
      <c r="N27" s="9">
        <f t="shared" si="7"/>
        <v>7379.5151215542865</v>
      </c>
      <c r="O27" s="9">
        <f t="shared" si="7"/>
        <v>7687.114290102857</v>
      </c>
      <c r="P27" s="9">
        <f t="shared" si="7"/>
        <v>7998.9374586514305</v>
      </c>
      <c r="Q27" s="9">
        <f t="shared" si="7"/>
        <v>8314.9846271999995</v>
      </c>
      <c r="R27" s="9">
        <f t="shared" si="7"/>
        <v>8635.2557957485715</v>
      </c>
      <c r="S27" s="9">
        <f t="shared" si="7"/>
        <v>8959.7509642971418</v>
      </c>
    </row>
    <row r="28" spans="1:19">
      <c r="A28" s="4" t="s">
        <v>8</v>
      </c>
      <c r="B28" s="16">
        <f>((((B20*0.00314)*0.2)*'Технический лист'!$M$8)+50+(((B21*0.00314)*0.22)*'Технический лист'!$O$5))*2.46</f>
        <v>1201.0731204405195</v>
      </c>
      <c r="C28" s="16">
        <f>((((C20*0.00314)*0.2)*'Технический лист'!$M$8)+50+(((C21*0.00314)*0.22)*'Технический лист'!$O$5))*2.46</f>
        <v>1284.8989512685714</v>
      </c>
      <c r="D28" s="16">
        <f>((((D20*0.00314)*0.2)*'Технический лист'!$M$8)+50+(((D21*0.00314)*0.22)*'Технический лист'!$O$5))*2.46</f>
        <v>1326.8118666825974</v>
      </c>
      <c r="E28" s="16">
        <f>((((E20*0.00314)*0.2)*'Технический лист'!$M$8)+50+(((E21*0.00314)*0.22)*'Технический лист'!$O$5))*2.46</f>
        <v>1368.7247820966234</v>
      </c>
      <c r="F28" s="16">
        <f>((((F20*0.00314)*0.2)*'Технический лист'!$M$8)+50+(((F21*0.00314)*0.22)*'Технический лист'!$O$5))*2.46</f>
        <v>1410.6376975106493</v>
      </c>
      <c r="G28" s="16">
        <f>((((G20*0.00314)*0.2)*'Технический лист'!$M$8)+50+(((G21*0.00314)*0.22)*'Технический лист'!$O$5))*2.46</f>
        <v>1452.5506129246753</v>
      </c>
      <c r="H28" s="16">
        <f>((((H20*0.00314)*0.2)*'Технический лист'!$M$8)+50+(((H21*0.00314)*0.22)*'Технический лист'!$O$5))*2.46</f>
        <v>1536.3764437527273</v>
      </c>
      <c r="I28" s="16">
        <f>((((I20*0.00314)*0.2)*'Технический лист'!$M$8)+50+(((I21*0.00314)*0.22)*'Технический лист'!$O$5))*2.46</f>
        <v>1620.2022745807792</v>
      </c>
      <c r="J28" s="16">
        <f>((((J20*0.00314)*0.2)*'Технический лист'!$M$8)+50+(((J21*0.00314)*0.22)*'Технический лист'!$O$5))*2.46</f>
        <v>1704.0281054088309</v>
      </c>
      <c r="K28" s="16">
        <f>((((K20*0.00314)*0.2)*'Технический лист'!$M$8)+50+(((K21*0.00314)*0.22)*'Технический лист'!$O$5))*2.46</f>
        <v>1871.679767064935</v>
      </c>
      <c r="L28" s="16">
        <f>((((L20*0.00314)*0.2)*'Технический лист'!$M$8)+50+(((L21*0.00314)*0.22)*'Технический лист'!$O$5))*2.46</f>
        <v>2039.3314287210392</v>
      </c>
      <c r="M28" s="16">
        <f>((((M20*0.00314)*0.2)*'Технический лист'!$M$8)+50+(((M21*0.00314)*0.22)*'Технический лист'!$O$5))*2.46</f>
        <v>2206.9830903771426</v>
      </c>
      <c r="N28" s="16">
        <f>((((N20*0.00314)*0.2)*'Технический лист'!$M$8)+50+(((N21*0.00314)*0.22)*'Технический лист'!$O$5))*2.46</f>
        <v>2458.4605828612989</v>
      </c>
      <c r="O28" s="16">
        <f>((((O20*0.00314)*0.2)*'Технический лист'!$M$8)+50+(((O21*0.00314)*0.22)*'Технический лист'!$O$5))*2.46</f>
        <v>2542.2864136893504</v>
      </c>
      <c r="P28" s="16">
        <f>((((P20*0.00314)*0.2)*'Технический лист'!$M$8)+50+(((P21*0.00314)*0.22)*'Технический лист'!$O$5))*2.46</f>
        <v>2626.1122445174028</v>
      </c>
      <c r="Q28" s="16">
        <f>((((Q20*0.00314)*0.2)*'Технический лист'!$M$8)+50+(((Q21*0.00314)*0.22)*'Технический лист'!$O$5))*2.46</f>
        <v>2709.9380753454543</v>
      </c>
      <c r="R28" s="16">
        <f>((((R20*0.00314)*0.2)*'Технический лист'!$M$8)+50+(((R21*0.00314)*0.22)*'Технический лист'!$O$5))*2.46</f>
        <v>2793.7639061735063</v>
      </c>
      <c r="S28" s="16">
        <f>((((S20*0.00314)*0.2)*'Технический лист'!$M$8)+50+(((S21*0.00314)*0.22)*'Технический лист'!$O$5))*2.46</f>
        <v>2877.5897370015587</v>
      </c>
    </row>
    <row r="29" spans="1:19">
      <c r="A29" s="4" t="s">
        <v>9</v>
      </c>
      <c r="B29" s="9">
        <f>((((B20*0.00314)*((B20+545)/1000))*'Технический лист'!$K$8)+370+((B21*0.00314)*((B21+450)/1000))*'Технический лист'!$K$5)*2.56</f>
        <v>4146.7716219677932</v>
      </c>
      <c r="C29" s="9">
        <f>((((C20*0.00314)*((C20+545)/1000))*'Технический лист'!$K$8)+370+((C21*0.00314)*((C21+450)/1000))*'Технический лист'!$K$5)*2.56</f>
        <v>4452.7471586742859</v>
      </c>
      <c r="D29" s="9">
        <f>((((D20*0.00314)*((D20+545)/1000))*'Технический лист'!$K$8)+370+((D21*0.00314)*((D21+450)/1000))*'Технический лист'!$K$5)*2.56</f>
        <v>4608.703774354286</v>
      </c>
      <c r="E29" s="9">
        <f>((((E20*0.00314)*((E20+545)/1000))*'Технический лист'!$K$8)+370+((E21*0.00314)*((E21+450)/1000))*'Технический лист'!$K$5)*2.56</f>
        <v>4766.6396215854547</v>
      </c>
      <c r="F29" s="9">
        <f>((((F20*0.00314)*((F20+545)/1000))*'Технический лист'!$K$8)+370+((F21*0.00314)*((F21+450)/1000))*'Технический лист'!$K$5)*2.56</f>
        <v>4926.5547003677921</v>
      </c>
      <c r="G29" s="9">
        <f>((((G20*0.00314)*((G20+545)/1000))*'Технический лист'!$K$8)+370+((G21*0.00314)*((G21+450)/1000))*'Технический лист'!$K$5)*2.56</f>
        <v>5088.4490107012998</v>
      </c>
      <c r="H29" s="9">
        <f>((((H20*0.00314)*((H20+545)/1000))*'Технический лист'!$K$8)+370+((H21*0.00314)*((H21+450)/1000))*'Технический лист'!$K$5)*2.56</f>
        <v>5418.1753260218193</v>
      </c>
      <c r="I29" s="9">
        <f>((((I20*0.00314)*((I20+545)/1000))*'Технический лист'!$K$8)+370+((I21*0.00314)*((I21+450)/1000))*'Технический лист'!$K$5)*2.56</f>
        <v>5755.818567547014</v>
      </c>
      <c r="J29" s="9">
        <f>((((J20*0.00314)*((J20+545)/1000))*'Технический лист'!$K$8)+370+((J21*0.00314)*((J21+450)/1000))*'Технический лист'!$K$5)*2.56</f>
        <v>6101.3787352768823</v>
      </c>
      <c r="K29" s="9">
        <f>((((K20*0.00314)*((K20+545)/1000))*'Технический лист'!$K$8)+370+((K21*0.00314)*((K21+450)/1000))*'Технический лист'!$K$5)*2.56</f>
        <v>6816.2498493506491</v>
      </c>
      <c r="L29" s="9">
        <f>((((L20*0.00314)*((L20+545)/1000))*'Технический лист'!$K$8)+370+((L21*0.00314)*((L21+450)/1000))*'Технический лист'!$K$5)*2.56</f>
        <v>7562.7886682431172</v>
      </c>
      <c r="M29" s="9">
        <f>((((M20*0.00314)*((M20+545)/1000))*'Технический лист'!$K$8)+370+((M21*0.00314)*((M21+450)/1000))*'Технический лист'!$K$5)*2.56</f>
        <v>8340.9951919542855</v>
      </c>
      <c r="N29" s="9">
        <f>((((N20*0.00314)*((N20+545)/1000))*'Технический лист'!$K$8)+370+((N21*0.00314)*((N21+450)/1000))*'Технический лист'!$K$5)*2.56</f>
        <v>9567.6819240561035</v>
      </c>
      <c r="O29" s="9">
        <f>((((O20*0.00314)*((O20+545)/1000))*'Технический лист'!$K$8)+370+((O21*0.00314)*((O21+450)/1000))*'Технический лист'!$K$5)*2.56</f>
        <v>9992.4113538327274</v>
      </c>
      <c r="P29" s="9">
        <f>((((P20*0.00314)*((P20+545)/1000))*'Технический лист'!$K$8)+370+((P21*0.00314)*((P21+450)/1000))*'Технический лист'!$K$5)*2.56</f>
        <v>10425.057709814026</v>
      </c>
      <c r="Q29" s="9">
        <f>((((Q20*0.00314)*((Q20+545)/1000))*'Технический лист'!$K$8)+370+((Q21*0.00314)*((Q21+450)/1000))*'Технический лист'!$K$5)*2.56</f>
        <v>10865.620992</v>
      </c>
      <c r="R29" s="9">
        <f>((((R20*0.00314)*((R20+545)/1000))*'Технический лист'!$K$8)+370+((R21*0.00314)*((R21+450)/1000))*'Технический лист'!$K$5)*2.56</f>
        <v>11314.101200390649</v>
      </c>
      <c r="S29" s="9">
        <f>((((S20*0.00314)*((S20+545)/1000))*'Технический лист'!$K$8)+370+((S21*0.00314)*((S21+450)/1000))*'Технический лист'!$K$5)*2.56</f>
        <v>11770.498334985972</v>
      </c>
    </row>
    <row r="30" spans="1:19" ht="0.75" hidden="1" customHeight="1">
      <c r="A30" s="4" t="s">
        <v>8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>
      <c r="A31" s="4" t="s">
        <v>119</v>
      </c>
      <c r="B31" s="16">
        <v>2100</v>
      </c>
      <c r="C31" s="16">
        <v>2100</v>
      </c>
      <c r="D31" s="16">
        <v>2100</v>
      </c>
      <c r="E31" s="16">
        <v>2100</v>
      </c>
      <c r="F31" s="16">
        <v>2100</v>
      </c>
      <c r="G31" s="16">
        <v>2100</v>
      </c>
      <c r="H31" s="16">
        <v>2100</v>
      </c>
      <c r="I31" s="16">
        <v>2100</v>
      </c>
      <c r="J31" s="16">
        <v>2100</v>
      </c>
      <c r="K31" s="16">
        <v>2100</v>
      </c>
      <c r="L31" s="16">
        <v>2100</v>
      </c>
      <c r="M31" s="16">
        <v>2100</v>
      </c>
      <c r="N31" s="16">
        <v>2100</v>
      </c>
      <c r="O31" s="16">
        <v>2100</v>
      </c>
      <c r="P31" s="16">
        <v>2100</v>
      </c>
      <c r="Q31" s="16">
        <v>2100</v>
      </c>
      <c r="R31" s="16">
        <v>2100</v>
      </c>
      <c r="S31" s="16">
        <v>2100</v>
      </c>
    </row>
  </sheetData>
  <mergeCells count="6">
    <mergeCell ref="A19:N19"/>
    <mergeCell ref="A1:C1"/>
    <mergeCell ref="D1:O1"/>
    <mergeCell ref="D2:O2"/>
    <mergeCell ref="D3:O3"/>
    <mergeCell ref="A5:O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2"/>
  <sheetViews>
    <sheetView workbookViewId="0">
      <selection activeCell="A22" sqref="A2:XFD22"/>
    </sheetView>
  </sheetViews>
  <sheetFormatPr defaultRowHeight="14.4"/>
  <cols>
    <col min="1" max="1" width="19.88671875" customWidth="1"/>
    <col min="2" max="2" width="8.88671875" customWidth="1"/>
    <col min="3" max="3" width="5.88671875" customWidth="1"/>
    <col min="4" max="4" width="6.44140625" customWidth="1"/>
    <col min="5" max="5" width="7.6640625" customWidth="1"/>
    <col min="6" max="6" width="9.33203125" customWidth="1"/>
    <col min="7" max="7" width="11" customWidth="1"/>
    <col min="8" max="8" width="9.44140625" customWidth="1"/>
    <col min="9" max="9" width="12.33203125" customWidth="1"/>
    <col min="10" max="10" width="12.6640625" customWidth="1"/>
    <col min="11" max="11" width="12.109375" customWidth="1"/>
    <col min="12" max="12" width="13" customWidth="1"/>
    <col min="13" max="13" width="11.44140625" customWidth="1"/>
    <col min="14" max="14" width="12.33203125" customWidth="1"/>
    <col min="15" max="15" width="12" customWidth="1"/>
    <col min="16" max="16" width="12.33203125" customWidth="1"/>
  </cols>
  <sheetData>
    <row r="1" spans="1:18">
      <c r="A1" s="32" t="s">
        <v>11</v>
      </c>
      <c r="B1" s="32"/>
      <c r="C1" s="32"/>
      <c r="D1" s="32"/>
      <c r="E1" s="32"/>
      <c r="F1" s="32"/>
    </row>
    <row r="2" spans="1:18" hidden="1">
      <c r="A2" t="s">
        <v>23</v>
      </c>
      <c r="B2" t="s">
        <v>20</v>
      </c>
      <c r="C2" t="s">
        <v>21</v>
      </c>
      <c r="D2" t="s">
        <v>22</v>
      </c>
      <c r="E2" t="s">
        <v>24</v>
      </c>
      <c r="F2" t="s">
        <v>25</v>
      </c>
      <c r="G2" s="6" t="s">
        <v>26</v>
      </c>
      <c r="H2" t="s">
        <v>27</v>
      </c>
      <c r="I2" s="6" t="s">
        <v>28</v>
      </c>
      <c r="J2" t="s">
        <v>29</v>
      </c>
      <c r="K2" s="6" t="s">
        <v>30</v>
      </c>
      <c r="L2" t="s">
        <v>31</v>
      </c>
      <c r="M2" s="6" t="s">
        <v>32</v>
      </c>
      <c r="N2" t="s">
        <v>34</v>
      </c>
      <c r="O2" s="6" t="s">
        <v>35</v>
      </c>
      <c r="P2" t="s">
        <v>36</v>
      </c>
      <c r="Q2" s="6"/>
    </row>
    <row r="3" spans="1:18" hidden="1">
      <c r="A3" t="s">
        <v>12</v>
      </c>
      <c r="B3">
        <v>153000</v>
      </c>
      <c r="C3">
        <v>125</v>
      </c>
      <c r="D3" s="5">
        <f>B3/C3</f>
        <v>1224</v>
      </c>
      <c r="E3" s="5">
        <f>D3/2</f>
        <v>612</v>
      </c>
      <c r="F3">
        <v>400</v>
      </c>
      <c r="G3" s="7">
        <f>F3+E3</f>
        <v>1012</v>
      </c>
      <c r="H3">
        <v>1070</v>
      </c>
      <c r="I3" s="7">
        <f>H3+E3</f>
        <v>1682</v>
      </c>
      <c r="J3">
        <v>1250</v>
      </c>
      <c r="K3" s="7">
        <f>J3+E3</f>
        <v>1862</v>
      </c>
      <c r="L3">
        <v>1500</v>
      </c>
      <c r="M3" s="7">
        <f>L3+E3</f>
        <v>2112</v>
      </c>
      <c r="P3">
        <v>671</v>
      </c>
      <c r="Q3" s="7">
        <f>P3+E3</f>
        <v>1283</v>
      </c>
    </row>
    <row r="4" spans="1:18" hidden="1">
      <c r="A4" t="s">
        <v>13</v>
      </c>
      <c r="B4">
        <v>148800</v>
      </c>
      <c r="C4">
        <v>77</v>
      </c>
      <c r="D4" s="5">
        <f t="shared" ref="D4:D10" si="0">B4/C4</f>
        <v>1932.4675324675325</v>
      </c>
      <c r="E4" s="5">
        <f t="shared" ref="E4:E10" si="1">D4/2</f>
        <v>966.23376623376623</v>
      </c>
      <c r="F4">
        <v>500</v>
      </c>
      <c r="G4" s="7">
        <f t="shared" ref="G4:G14" si="2">F4+E4</f>
        <v>1466.2337662337663</v>
      </c>
      <c r="H4">
        <v>1270</v>
      </c>
      <c r="I4" s="7">
        <f t="shared" ref="I4:I11" si="3">H4+E4</f>
        <v>2236.2337662337663</v>
      </c>
      <c r="J4">
        <v>1370</v>
      </c>
      <c r="K4" s="7">
        <f t="shared" ref="K4:K11" si="4">J4+E4</f>
        <v>2336.2337662337663</v>
      </c>
      <c r="L4">
        <v>1650</v>
      </c>
      <c r="M4" s="7">
        <f t="shared" ref="M4:M11" si="5">L4+E4</f>
        <v>2616.2337662337663</v>
      </c>
      <c r="N4">
        <v>1400</v>
      </c>
      <c r="O4" s="5">
        <f>N4+E4</f>
        <v>2366.2337662337663</v>
      </c>
      <c r="P4">
        <v>671</v>
      </c>
      <c r="Q4" s="7">
        <f t="shared" ref="Q4:Q11" si="6">P4+E4</f>
        <v>1637.2337662337663</v>
      </c>
    </row>
    <row r="5" spans="1:18" hidden="1">
      <c r="A5" t="s">
        <v>15</v>
      </c>
      <c r="B5">
        <v>179000</v>
      </c>
      <c r="C5">
        <v>125</v>
      </c>
      <c r="D5" s="5">
        <f t="shared" si="0"/>
        <v>1432</v>
      </c>
      <c r="E5" s="5">
        <f t="shared" si="1"/>
        <v>716</v>
      </c>
      <c r="F5">
        <v>420</v>
      </c>
      <c r="G5" s="7">
        <f t="shared" si="2"/>
        <v>1136</v>
      </c>
      <c r="H5">
        <v>1070</v>
      </c>
      <c r="I5" s="7">
        <f t="shared" si="3"/>
        <v>1786</v>
      </c>
      <c r="J5">
        <v>1250</v>
      </c>
      <c r="K5" s="7">
        <f t="shared" si="4"/>
        <v>1966</v>
      </c>
      <c r="L5">
        <v>1500</v>
      </c>
      <c r="M5" s="7">
        <f t="shared" si="5"/>
        <v>2216</v>
      </c>
      <c r="N5">
        <v>1300</v>
      </c>
      <c r="O5" s="5">
        <f>N5+E5</f>
        <v>2016</v>
      </c>
      <c r="P5">
        <v>671</v>
      </c>
      <c r="Q5" s="15">
        <f t="shared" si="6"/>
        <v>1387</v>
      </c>
    </row>
    <row r="6" spans="1:18" hidden="1">
      <c r="A6" t="s">
        <v>14</v>
      </c>
      <c r="B6">
        <v>171000</v>
      </c>
      <c r="C6">
        <v>77</v>
      </c>
      <c r="D6" s="5">
        <f t="shared" si="0"/>
        <v>2220.7792207792209</v>
      </c>
      <c r="E6" s="5">
        <f t="shared" si="1"/>
        <v>1110.3896103896104</v>
      </c>
      <c r="F6">
        <v>500</v>
      </c>
      <c r="G6" s="7">
        <f t="shared" si="2"/>
        <v>1610.3896103896104</v>
      </c>
      <c r="H6">
        <v>1270</v>
      </c>
      <c r="I6" s="7">
        <f t="shared" si="3"/>
        <v>2380.3896103896104</v>
      </c>
      <c r="J6">
        <v>1370</v>
      </c>
      <c r="K6" s="7">
        <f t="shared" si="4"/>
        <v>2480.3896103896104</v>
      </c>
      <c r="L6">
        <v>1650</v>
      </c>
      <c r="M6" s="7">
        <f t="shared" si="5"/>
        <v>2760.3896103896104</v>
      </c>
      <c r="P6">
        <v>671</v>
      </c>
      <c r="Q6" s="7">
        <f t="shared" si="6"/>
        <v>1781.3896103896104</v>
      </c>
    </row>
    <row r="7" spans="1:18" hidden="1">
      <c r="A7" s="12" t="s">
        <v>16</v>
      </c>
      <c r="B7" s="12">
        <v>246300</v>
      </c>
      <c r="C7" s="12">
        <v>125</v>
      </c>
      <c r="D7" s="13">
        <f t="shared" si="0"/>
        <v>1970.4</v>
      </c>
      <c r="E7" s="13">
        <f t="shared" si="1"/>
        <v>985.2</v>
      </c>
      <c r="F7" s="12">
        <v>400</v>
      </c>
      <c r="G7" s="7">
        <f t="shared" si="2"/>
        <v>1385.2</v>
      </c>
      <c r="H7" s="12">
        <v>1070</v>
      </c>
      <c r="I7" s="7">
        <f t="shared" si="3"/>
        <v>2055.1999999999998</v>
      </c>
      <c r="J7" s="12">
        <v>1250</v>
      </c>
      <c r="K7" s="7">
        <f t="shared" si="4"/>
        <v>2235.1999999999998</v>
      </c>
      <c r="L7" s="12">
        <v>1500</v>
      </c>
      <c r="M7" s="7">
        <f t="shared" si="5"/>
        <v>2485.1999999999998</v>
      </c>
      <c r="N7" s="12"/>
      <c r="O7" s="12"/>
      <c r="P7" s="12">
        <v>671</v>
      </c>
      <c r="Q7" s="11">
        <f t="shared" si="6"/>
        <v>1656.2</v>
      </c>
    </row>
    <row r="8" spans="1:18" hidden="1">
      <c r="A8" s="12" t="s">
        <v>17</v>
      </c>
      <c r="B8" s="12">
        <v>240000</v>
      </c>
      <c r="C8" s="12">
        <v>77</v>
      </c>
      <c r="D8" s="13">
        <f t="shared" si="0"/>
        <v>3116.8831168831171</v>
      </c>
      <c r="E8" s="13">
        <f t="shared" si="1"/>
        <v>1558.4415584415585</v>
      </c>
      <c r="F8" s="12">
        <v>500</v>
      </c>
      <c r="G8" s="7">
        <f t="shared" si="2"/>
        <v>2058.4415584415583</v>
      </c>
      <c r="H8" s="12">
        <v>1370</v>
      </c>
      <c r="I8" s="7">
        <f t="shared" si="3"/>
        <v>2928.4415584415583</v>
      </c>
      <c r="J8" s="12">
        <v>1400</v>
      </c>
      <c r="K8" s="7">
        <f t="shared" si="4"/>
        <v>2958.4415584415583</v>
      </c>
      <c r="L8" s="12">
        <v>1650</v>
      </c>
      <c r="M8" s="7">
        <f t="shared" si="5"/>
        <v>3208.4415584415583</v>
      </c>
      <c r="N8" s="12">
        <v>1400</v>
      </c>
      <c r="O8" s="13">
        <f>N8+E8</f>
        <v>2958.4415584415583</v>
      </c>
      <c r="P8" s="12">
        <v>671</v>
      </c>
      <c r="Q8" s="13">
        <f t="shared" si="6"/>
        <v>2229.4415584415583</v>
      </c>
      <c r="R8" s="12"/>
    </row>
    <row r="9" spans="1:18" hidden="1">
      <c r="A9" s="12" t="s">
        <v>18</v>
      </c>
      <c r="B9" s="12">
        <v>288800</v>
      </c>
      <c r="C9" s="12">
        <v>125</v>
      </c>
      <c r="D9" s="13">
        <f t="shared" si="0"/>
        <v>2310.4</v>
      </c>
      <c r="E9" s="13">
        <f t="shared" si="1"/>
        <v>1155.2</v>
      </c>
      <c r="F9" s="12">
        <v>400</v>
      </c>
      <c r="G9" s="13">
        <f t="shared" si="2"/>
        <v>1555.2</v>
      </c>
      <c r="H9" s="12">
        <v>1170</v>
      </c>
      <c r="I9" s="13">
        <f t="shared" si="3"/>
        <v>2325.1999999999998</v>
      </c>
      <c r="J9" s="12">
        <v>1250</v>
      </c>
      <c r="K9" s="13">
        <f t="shared" si="4"/>
        <v>2405.1999999999998</v>
      </c>
      <c r="L9" s="12">
        <v>1500</v>
      </c>
      <c r="M9" s="13">
        <f t="shared" si="5"/>
        <v>2655.2</v>
      </c>
      <c r="N9" s="12">
        <v>1300</v>
      </c>
      <c r="O9" s="13">
        <f>N9+E9</f>
        <v>2455.1999999999998</v>
      </c>
      <c r="P9" s="12">
        <v>671</v>
      </c>
      <c r="Q9" s="13">
        <f t="shared" si="6"/>
        <v>1826.2</v>
      </c>
      <c r="R9" s="12"/>
    </row>
    <row r="10" spans="1:18" hidden="1">
      <c r="A10" s="14" t="s">
        <v>19</v>
      </c>
      <c r="B10" s="14">
        <v>275300</v>
      </c>
      <c r="C10" s="14">
        <v>77</v>
      </c>
      <c r="D10" s="15">
        <f t="shared" si="0"/>
        <v>3575.3246753246754</v>
      </c>
      <c r="E10" s="15">
        <f t="shared" si="1"/>
        <v>1787.6623376623377</v>
      </c>
      <c r="F10" s="14">
        <v>500</v>
      </c>
      <c r="G10" s="15">
        <f t="shared" si="2"/>
        <v>2287.6623376623374</v>
      </c>
      <c r="H10" s="14">
        <v>1370</v>
      </c>
      <c r="I10" s="15">
        <f t="shared" si="3"/>
        <v>3157.6623376623374</v>
      </c>
      <c r="J10" s="14">
        <v>1420</v>
      </c>
      <c r="K10" s="15">
        <f t="shared" si="4"/>
        <v>3207.6623376623374</v>
      </c>
      <c r="L10" s="14">
        <v>1650</v>
      </c>
      <c r="M10" s="15">
        <f t="shared" si="5"/>
        <v>3437.6623376623374</v>
      </c>
      <c r="N10" s="14">
        <v>1400</v>
      </c>
      <c r="O10" s="13">
        <f>N10+E10</f>
        <v>3187.6623376623374</v>
      </c>
      <c r="P10" s="14">
        <v>671</v>
      </c>
      <c r="Q10" s="15">
        <f t="shared" si="6"/>
        <v>2458.6623376623374</v>
      </c>
    </row>
    <row r="11" spans="1:18" hidden="1">
      <c r="A11" t="s">
        <v>33</v>
      </c>
      <c r="D11">
        <v>536</v>
      </c>
      <c r="E11" s="5">
        <f>D11/3</f>
        <v>178.66666666666666</v>
      </c>
      <c r="F11">
        <v>175</v>
      </c>
      <c r="G11" s="7">
        <f t="shared" si="2"/>
        <v>353.66666666666663</v>
      </c>
      <c r="H11">
        <v>500</v>
      </c>
      <c r="I11" s="7">
        <f t="shared" si="3"/>
        <v>678.66666666666663</v>
      </c>
      <c r="J11">
        <v>500</v>
      </c>
      <c r="K11" s="7">
        <f t="shared" si="4"/>
        <v>678.66666666666663</v>
      </c>
      <c r="L11">
        <v>1500</v>
      </c>
      <c r="M11" s="7">
        <f t="shared" si="5"/>
        <v>1678.6666666666667</v>
      </c>
      <c r="N11">
        <v>900</v>
      </c>
      <c r="O11" s="5">
        <f>N11+E11</f>
        <v>1078.6666666666667</v>
      </c>
      <c r="P11">
        <v>671</v>
      </c>
      <c r="Q11" s="7">
        <f t="shared" si="6"/>
        <v>849.66666666666663</v>
      </c>
    </row>
    <row r="12" spans="1:18" hidden="1">
      <c r="A12" t="s">
        <v>37</v>
      </c>
      <c r="D12">
        <v>850</v>
      </c>
      <c r="E12" s="5">
        <f>D12/5</f>
        <v>170</v>
      </c>
      <c r="F12">
        <v>250</v>
      </c>
      <c r="G12" s="7">
        <f t="shared" si="2"/>
        <v>420</v>
      </c>
      <c r="I12" s="6"/>
      <c r="K12" s="6"/>
      <c r="M12" s="6"/>
    </row>
    <row r="13" spans="1:18" hidden="1">
      <c r="A13" t="s">
        <v>38</v>
      </c>
      <c r="D13">
        <v>500</v>
      </c>
      <c r="E13">
        <f>D13/2.5</f>
        <v>200</v>
      </c>
      <c r="F13">
        <v>500</v>
      </c>
      <c r="G13" s="7">
        <f t="shared" si="2"/>
        <v>700</v>
      </c>
      <c r="I13" s="6"/>
      <c r="K13" s="6"/>
      <c r="M13" s="6"/>
    </row>
    <row r="14" spans="1:18" hidden="1">
      <c r="A14" t="s">
        <v>92</v>
      </c>
      <c r="D14">
        <v>740</v>
      </c>
      <c r="E14" s="5">
        <f>D14/3</f>
        <v>246.66666666666666</v>
      </c>
      <c r="F14">
        <v>175</v>
      </c>
      <c r="G14" s="7">
        <f t="shared" si="2"/>
        <v>421.66666666666663</v>
      </c>
      <c r="H14">
        <v>500</v>
      </c>
      <c r="I14" s="7">
        <f>H14+E14</f>
        <v>746.66666666666663</v>
      </c>
      <c r="J14">
        <v>500</v>
      </c>
      <c r="K14" s="5">
        <f>J14+E14</f>
        <v>746.66666666666663</v>
      </c>
      <c r="L14">
        <v>1500</v>
      </c>
      <c r="M14" s="19">
        <f>L14+E14</f>
        <v>1746.6666666666667</v>
      </c>
      <c r="N14">
        <v>900</v>
      </c>
      <c r="O14" s="5">
        <f>N14+E14</f>
        <v>1146.6666666666667</v>
      </c>
    </row>
    <row r="15" spans="1:18" hidden="1"/>
    <row r="16" spans="1:18" hidden="1"/>
    <row r="17" spans="3:5" hidden="1">
      <c r="E17" t="s">
        <v>40</v>
      </c>
    </row>
    <row r="18" spans="3:5" hidden="1">
      <c r="D18">
        <v>430</v>
      </c>
      <c r="E18">
        <v>3200</v>
      </c>
    </row>
    <row r="19" spans="3:5" hidden="1">
      <c r="D19" t="s">
        <v>39</v>
      </c>
      <c r="E19">
        <v>2500</v>
      </c>
    </row>
    <row r="20" spans="3:5" hidden="1">
      <c r="D20">
        <v>304</v>
      </c>
      <c r="E20">
        <v>4000</v>
      </c>
    </row>
    <row r="21" spans="3:5" hidden="1">
      <c r="C21">
        <v>430</v>
      </c>
      <c r="D21">
        <v>0.8</v>
      </c>
      <c r="E21">
        <v>4000</v>
      </c>
    </row>
    <row r="22" spans="3:5" hidden="1"/>
  </sheetData>
  <sheetProtection password="CC3F" sheet="1" objects="1" scenarios="1"/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31"/>
  <sheetViews>
    <sheetView zoomScale="80" zoomScaleNormal="80" workbookViewId="0">
      <selection activeCell="B29" sqref="B29:S29"/>
    </sheetView>
  </sheetViews>
  <sheetFormatPr defaultRowHeight="14.4"/>
  <cols>
    <col min="1" max="1" width="26.6640625" customWidth="1"/>
    <col min="2" max="19" width="6.33203125" customWidth="1"/>
  </cols>
  <sheetData>
    <row r="1" spans="1:19" ht="45" customHeight="1">
      <c r="A1" s="32"/>
      <c r="B1" s="32"/>
      <c r="C1" s="32"/>
      <c r="D1" s="40" t="s">
        <v>94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1"/>
      <c r="Q1" s="1"/>
    </row>
    <row r="2" spans="1:19" ht="15" customHeight="1">
      <c r="D2" s="34" t="s">
        <v>95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1"/>
    </row>
    <row r="3" spans="1:19" ht="15" customHeight="1">
      <c r="D3" s="34" t="s">
        <v>112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9" ht="2.25" customHeight="1"/>
    <row r="5" spans="1:19">
      <c r="A5" s="41" t="s">
        <v>41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1:19">
      <c r="A6" s="3" t="s">
        <v>0</v>
      </c>
      <c r="B6" s="10">
        <v>100</v>
      </c>
      <c r="C6" s="10">
        <v>110</v>
      </c>
      <c r="D6" s="10">
        <v>115</v>
      </c>
      <c r="E6" s="10">
        <v>120</v>
      </c>
      <c r="F6" s="10">
        <v>125</v>
      </c>
      <c r="G6" s="10">
        <v>130</v>
      </c>
      <c r="H6" s="10">
        <v>140</v>
      </c>
      <c r="I6" s="10">
        <v>150</v>
      </c>
      <c r="J6" s="10">
        <v>160</v>
      </c>
      <c r="K6" s="10">
        <v>180</v>
      </c>
      <c r="L6" s="10">
        <v>200</v>
      </c>
      <c r="M6" s="10">
        <v>220</v>
      </c>
      <c r="N6" s="10">
        <v>250</v>
      </c>
      <c r="O6" s="10">
        <v>260</v>
      </c>
      <c r="P6" s="10">
        <v>270</v>
      </c>
      <c r="Q6" s="10">
        <v>280</v>
      </c>
      <c r="R6" s="10">
        <v>290</v>
      </c>
      <c r="S6" s="10">
        <v>300</v>
      </c>
    </row>
    <row r="7" spans="1:19">
      <c r="A7" s="3" t="s">
        <v>1</v>
      </c>
      <c r="B7" s="10">
        <f>B6+70</f>
        <v>170</v>
      </c>
      <c r="C7" s="10">
        <f t="shared" ref="C7:N7" si="0">C6+70</f>
        <v>180</v>
      </c>
      <c r="D7" s="10">
        <f t="shared" si="0"/>
        <v>185</v>
      </c>
      <c r="E7" s="10">
        <f t="shared" si="0"/>
        <v>190</v>
      </c>
      <c r="F7" s="10">
        <f t="shared" si="0"/>
        <v>195</v>
      </c>
      <c r="G7" s="10">
        <f t="shared" si="0"/>
        <v>200</v>
      </c>
      <c r="H7" s="10">
        <f t="shared" si="0"/>
        <v>210</v>
      </c>
      <c r="I7" s="10">
        <f t="shared" si="0"/>
        <v>220</v>
      </c>
      <c r="J7" s="10">
        <f t="shared" si="0"/>
        <v>230</v>
      </c>
      <c r="K7" s="10">
        <f t="shared" si="0"/>
        <v>250</v>
      </c>
      <c r="L7" s="10">
        <f t="shared" si="0"/>
        <v>270</v>
      </c>
      <c r="M7" s="10">
        <f t="shared" si="0"/>
        <v>290</v>
      </c>
      <c r="N7" s="10">
        <f t="shared" si="0"/>
        <v>320</v>
      </c>
      <c r="O7" s="10">
        <f t="shared" ref="O7:S7" si="1">O6+70</f>
        <v>330</v>
      </c>
      <c r="P7" s="10">
        <f t="shared" si="1"/>
        <v>340</v>
      </c>
      <c r="Q7" s="10">
        <f t="shared" si="1"/>
        <v>350</v>
      </c>
      <c r="R7" s="10">
        <f t="shared" si="1"/>
        <v>360</v>
      </c>
      <c r="S7" s="10">
        <f t="shared" si="1"/>
        <v>370</v>
      </c>
    </row>
    <row r="8" spans="1:19">
      <c r="A8" s="4" t="s">
        <v>4</v>
      </c>
      <c r="B8" s="16">
        <f>(((B6*0.00314)*'Технический лист'!$G$4)+310+((B7*0.00314)*'Технический лист'!$G$11))*1.95</f>
        <v>1870.4101050649351</v>
      </c>
      <c r="C8" s="16">
        <f>(((C6*0.00314)*'Технический лист'!$G$4)+310+((C7*0.00314)*'Технический лист'!$G$11))*1.95</f>
        <v>1981.8426085714284</v>
      </c>
      <c r="D8" s="16">
        <f>(((D6*0.00314)*'Технический лист'!$G$4)+310+((D7*0.00314)*'Технический лист'!$G$11))*1.95</f>
        <v>2037.5588603246749</v>
      </c>
      <c r="E8" s="16">
        <f>(((E6*0.00314)*'Технический лист'!$G$4)+310+((E7*0.00314)*'Технический лист'!$G$11))*1.95</f>
        <v>2093.2751120779221</v>
      </c>
      <c r="F8" s="16">
        <f>(((F6*0.00314)*'Технический лист'!$G$4)+310+((F7*0.00314)*'Технический лист'!$G$11))*1.95</f>
        <v>2148.9913638311687</v>
      </c>
      <c r="G8" s="16">
        <f>(((G6*0.00314)*'Технический лист'!$G$4)+310+((G7*0.00314)*'Технический лист'!$G$11))*1.95</f>
        <v>2204.7076155844156</v>
      </c>
      <c r="H8" s="16">
        <f>(((H6*0.00314)*'Технический лист'!$G$4)+310+((H7*0.00314)*'Технический лист'!$G$11))*1.95</f>
        <v>2316.1401190909091</v>
      </c>
      <c r="I8" s="16">
        <f>(((I6*0.00314)*'Технический лист'!$G$4)+310+((I7*0.00314)*'Технический лист'!$G$11))*1.95</f>
        <v>2427.5726225974026</v>
      </c>
      <c r="J8" s="16">
        <f>(((J6*0.00314)*'Технический лист'!$G$4)+310+((J7*0.00314)*'Технический лист'!$G$11))*1.95</f>
        <v>2539.0051261038957</v>
      </c>
      <c r="K8" s="16">
        <f>(((K6*0.00314)*'Технический лист'!$G$4)+310+((K7*0.00314)*'Технический лист'!$G$11))*1.95</f>
        <v>2761.8701331168832</v>
      </c>
      <c r="L8" s="16">
        <f>(((L6*0.00314)*'Технический лист'!$G$4)+310+((L7*0.00314)*'Технический лист'!$G$11))*1.95</f>
        <v>2984.7351401298702</v>
      </c>
      <c r="M8" s="16">
        <f>(((M6*0.00314)*'Технический лист'!$G$4)+310+((M7*0.00314)*'Технический лист'!$G$11))*1.95</f>
        <v>3207.6001471428567</v>
      </c>
      <c r="N8" s="16">
        <f>(((N6*0.00314)*'Технический лист'!$G$4)+310+((N7*0.00314)*'Технический лист'!$G$11))*1.95</f>
        <v>3541.8976576623377</v>
      </c>
      <c r="O8" s="16">
        <f>(((O6*0.00314)*'Технический лист'!$G$4)+310+((O7*0.00314)*'Технический лист'!$G$11))*1.95</f>
        <v>3653.3301611688312</v>
      </c>
      <c r="P8" s="16">
        <f>(((P6*0.00314)*'Технический лист'!$G$4)+310+((P7*0.00314)*'Технический лист'!$G$11))*1.95</f>
        <v>3764.7626646753251</v>
      </c>
      <c r="Q8" s="16">
        <f>(((Q6*0.00314)*'Технический лист'!$G$4)+310+((Q7*0.00314)*'Технический лист'!$G$11))*1.95</f>
        <v>3876.1951681818182</v>
      </c>
      <c r="R8" s="16">
        <f>(((R6*0.00314)*'Технический лист'!$G$4)+310+((R7*0.00314)*'Технический лист'!$G$11))*1.95</f>
        <v>3987.6276716883117</v>
      </c>
      <c r="S8" s="16">
        <f>(((S6*0.00314)*'Технический лист'!$G$4)+310+((S7*0.00314)*'Технический лист'!$G$11))*1.95</f>
        <v>4099.0601751948052</v>
      </c>
    </row>
    <row r="9" spans="1:19">
      <c r="A9" s="4" t="s">
        <v>3</v>
      </c>
      <c r="B9" s="9">
        <f>((B8/2)*1.07)-10</f>
        <v>990.66940620974037</v>
      </c>
      <c r="C9" s="9">
        <f t="shared" ref="C9:N9" si="2">((C8/2)*1.07)-10</f>
        <v>1050.2857955857144</v>
      </c>
      <c r="D9" s="9">
        <f t="shared" si="2"/>
        <v>1080.0939902737011</v>
      </c>
      <c r="E9" s="9">
        <f t="shared" si="2"/>
        <v>1109.9021849616884</v>
      </c>
      <c r="F9" s="9">
        <f t="shared" si="2"/>
        <v>1139.7103796496754</v>
      </c>
      <c r="G9" s="9">
        <f t="shared" si="2"/>
        <v>1169.5185743376624</v>
      </c>
      <c r="H9" s="9">
        <f t="shared" si="2"/>
        <v>1229.1349637136364</v>
      </c>
      <c r="I9" s="9">
        <f t="shared" si="2"/>
        <v>1288.7513530896106</v>
      </c>
      <c r="J9" s="9">
        <f t="shared" si="2"/>
        <v>1348.3677424655843</v>
      </c>
      <c r="K9" s="9">
        <f t="shared" si="2"/>
        <v>1467.6005212175326</v>
      </c>
      <c r="L9" s="9">
        <f t="shared" si="2"/>
        <v>1586.8332999694805</v>
      </c>
      <c r="M9" s="9">
        <f t="shared" si="2"/>
        <v>1706.0660787214285</v>
      </c>
      <c r="N9" s="9">
        <f t="shared" si="2"/>
        <v>1884.9152468493508</v>
      </c>
      <c r="O9" s="9">
        <f t="shared" ref="O9:S9" si="3">((O8/2)*1.07)-10</f>
        <v>1944.5316362253247</v>
      </c>
      <c r="P9" s="9">
        <f t="shared" si="3"/>
        <v>2004.148025601299</v>
      </c>
      <c r="Q9" s="9">
        <f t="shared" si="3"/>
        <v>2063.7644149772727</v>
      </c>
      <c r="R9" s="9">
        <f t="shared" si="3"/>
        <v>2123.3808043532467</v>
      </c>
      <c r="S9" s="9">
        <f t="shared" si="3"/>
        <v>2182.9971937292207</v>
      </c>
    </row>
    <row r="10" spans="1:19">
      <c r="A10" s="4" t="s">
        <v>5</v>
      </c>
      <c r="B10" s="16">
        <f>((((B6*0.00314)*0.5)*'Технический лист'!$I$4)+310+(((B7*0.00314)*0.5)*'Технический лист'!$I$11))*1.95</f>
        <v>1642.3384275324677</v>
      </c>
      <c r="C10" s="16">
        <f>((((C6*0.00314)*0.5)*'Технический лист'!$I$4)+310+(((C7*0.00314)*0.5)*'Технический лист'!$I$11))*1.95</f>
        <v>1731.5781042857143</v>
      </c>
      <c r="D10" s="16">
        <f>((((D6*0.00314)*0.5)*'Технический лист'!$I$4)+310+(((D7*0.00314)*0.5)*'Технический лист'!$I$11))*1.95</f>
        <v>1776.1979426623377</v>
      </c>
      <c r="E10" s="16">
        <f>((((E6*0.00314)*0.5)*'Технический лист'!$I$4)+310+(((E7*0.00314)*0.5)*'Технический лист'!$I$11))*1.95</f>
        <v>1820.8177810389611</v>
      </c>
      <c r="F10" s="16">
        <f>((((F6*0.00314)*0.5)*'Технический лист'!$I$4)+310+(((F7*0.00314)*0.5)*'Технический лист'!$I$11))*1.95</f>
        <v>1865.4376194155845</v>
      </c>
      <c r="G10" s="16">
        <f>((((G6*0.00314)*0.5)*'Технический лист'!$I$4)+310+(((G7*0.00314)*0.5)*'Технический лист'!$I$11))*1.95</f>
        <v>1910.0574577922077</v>
      </c>
      <c r="H10" s="16">
        <f>((((H6*0.00314)*0.5)*'Технический лист'!$I$4)+310+(((H7*0.00314)*0.5)*'Технический лист'!$I$11))*1.95</f>
        <v>1999.2971345454546</v>
      </c>
      <c r="I10" s="16">
        <f>((((I6*0.00314)*0.5)*'Технический лист'!$I$4)+310+(((I7*0.00314)*0.5)*'Технический лист'!$I$11))*1.95</f>
        <v>2088.5368112987012</v>
      </c>
      <c r="J10" s="16">
        <f>((((J6*0.00314)*0.5)*'Технический лист'!$I$4)+310+(((J7*0.00314)*0.5)*'Технический лист'!$I$11))*1.95</f>
        <v>2177.776488051948</v>
      </c>
      <c r="K10" s="16">
        <f>((((K6*0.00314)*0.5)*'Технический лист'!$I$4)+310+(((K7*0.00314)*0.5)*'Технический лист'!$I$11))*1.95</f>
        <v>2356.2558415584413</v>
      </c>
      <c r="L10" s="16">
        <f>((((L6*0.00314)*0.5)*'Технический лист'!$I$4)+310+(((L7*0.00314)*0.5)*'Технический лист'!$I$11))*1.95</f>
        <v>2534.7351950649354</v>
      </c>
      <c r="M10" s="16">
        <f>((((M6*0.00314)*0.5)*'Технический лист'!$I$4)+310+(((M7*0.00314)*0.5)*'Технический лист'!$I$11))*1.95</f>
        <v>2713.2145485714286</v>
      </c>
      <c r="N10" s="16">
        <f>((((N6*0.00314)*0.5)*'Технический лист'!$I$4)+310+(((N7*0.00314)*0.5)*'Технический лист'!$I$11))*1.95</f>
        <v>2980.9335788311691</v>
      </c>
      <c r="O10" s="16">
        <f>((((O6*0.00314)*0.5)*'Технический лист'!$I$4)+310+(((O7*0.00314)*0.5)*'Технический лист'!$I$11))*1.95</f>
        <v>3070.1732555844155</v>
      </c>
      <c r="P10" s="16">
        <f>((((P6*0.00314)*0.5)*'Технический лист'!$I$4)+310+(((P7*0.00314)*0.5)*'Технический лист'!$I$11))*1.95</f>
        <v>3159.4129323376624</v>
      </c>
      <c r="Q10" s="16">
        <f>((((Q6*0.00314)*0.5)*'Технический лист'!$I$4)+310+(((Q7*0.00314)*0.5)*'Технический лист'!$I$11))*1.95</f>
        <v>3248.6526090909092</v>
      </c>
      <c r="R10" s="16">
        <f>((((R6*0.00314)*0.5)*'Технический лист'!$I$4)+310+(((R7*0.00314)*0.5)*'Технический лист'!$I$11))*1.95</f>
        <v>3337.8922858441556</v>
      </c>
      <c r="S10" s="16">
        <f>((((S6*0.00314)*0.5)*'Технический лист'!$I$4)+310+(((S7*0.00314)*0.5)*'Технический лист'!$I$11))*1.95</f>
        <v>3427.1319625974024</v>
      </c>
    </row>
    <row r="11" spans="1:19">
      <c r="A11" s="4" t="s">
        <v>96</v>
      </c>
      <c r="B11" s="9">
        <f>((B10*2)/3)-7</f>
        <v>1087.8922850216452</v>
      </c>
      <c r="C11" s="9">
        <f t="shared" ref="C11:N11" si="4">((C10*2)/3)-7</f>
        <v>1147.3854028571429</v>
      </c>
      <c r="D11" s="9">
        <f t="shared" si="4"/>
        <v>1177.1319617748918</v>
      </c>
      <c r="E11" s="9">
        <f t="shared" si="4"/>
        <v>1206.8785206926407</v>
      </c>
      <c r="F11" s="9">
        <f t="shared" si="4"/>
        <v>1236.6250796103898</v>
      </c>
      <c r="G11" s="9">
        <f t="shared" si="4"/>
        <v>1266.3716385281384</v>
      </c>
      <c r="H11" s="9">
        <f t="shared" si="4"/>
        <v>1325.8647563636364</v>
      </c>
      <c r="I11" s="9">
        <f t="shared" si="4"/>
        <v>1385.3578741991341</v>
      </c>
      <c r="J11" s="9">
        <f t="shared" si="4"/>
        <v>1444.8509920346321</v>
      </c>
      <c r="K11" s="9">
        <f t="shared" si="4"/>
        <v>1563.8372277056276</v>
      </c>
      <c r="L11" s="9">
        <f t="shared" si="4"/>
        <v>1682.8234633766235</v>
      </c>
      <c r="M11" s="9">
        <f t="shared" si="4"/>
        <v>1801.809699047619</v>
      </c>
      <c r="N11" s="9">
        <f t="shared" si="4"/>
        <v>1980.2890525541127</v>
      </c>
      <c r="O11" s="9">
        <f t="shared" ref="O11:S11" si="5">((O10*2)/3)-7</f>
        <v>2039.7821703896104</v>
      </c>
      <c r="P11" s="9">
        <f t="shared" si="5"/>
        <v>2099.2752882251084</v>
      </c>
      <c r="Q11" s="9">
        <f t="shared" si="5"/>
        <v>2158.7684060606061</v>
      </c>
      <c r="R11" s="9">
        <f t="shared" si="5"/>
        <v>2218.2615238961039</v>
      </c>
      <c r="S11" s="9">
        <f t="shared" si="5"/>
        <v>2277.7546417316016</v>
      </c>
    </row>
    <row r="12" spans="1:19">
      <c r="A12" s="4" t="s">
        <v>6</v>
      </c>
      <c r="B12" s="16">
        <f>((((B6*0.00314)*0.22)*'Технический лист'!$M$4)+100+(((B7*0.00314)*0.21)*'Технический лист'!$O$11)+(((B6+30)*(B6+30)/1000000)*'Технический лист'!$E$18))*1.95</f>
        <v>888.66531891428565</v>
      </c>
      <c r="C12" s="16">
        <f>((((C6*0.00314)*0.22)*'Технический лист'!$M$4)+100+(((C7*0.00314)*0.21)*'Технический лист'!$O$11)+(((C6+30)*(C6+30)/1000000)*'Технический лист'!$E$18))*1.95</f>
        <v>954.62537708571415</v>
      </c>
      <c r="D12" s="16">
        <f>((((D6*0.00314)*0.22)*'Технический лист'!$M$4)+100+(((D7*0.00314)*0.21)*'Технический лист'!$O$11)+(((D6+30)*(D6+30)/1000000)*'Технический лист'!$E$18))*1.95</f>
        <v>988.07340617142836</v>
      </c>
      <c r="E12" s="16">
        <f>((((E6*0.00314)*0.22)*'Технический лист'!$M$4)+100+(((E7*0.00314)*0.21)*'Технический лист'!$O$11)+(((E6+30)*(E6+30)/1000000)*'Технический лист'!$E$18))*1.95</f>
        <v>1021.833435257143</v>
      </c>
      <c r="F12" s="16">
        <f>((((F6*0.00314)*0.22)*'Технический лист'!$M$4)+100+(((F7*0.00314)*0.21)*'Технический лист'!$O$11)+(((F6+30)*(F6+30)/1000000)*'Технический лист'!$E$18))*1.95</f>
        <v>1055.9054643428574</v>
      </c>
      <c r="G12" s="16">
        <f>((((G6*0.00314)*0.22)*'Технический лист'!$M$4)+100+(((G7*0.00314)*0.21)*'Технический лист'!$O$11)+(((G6+30)*(G6+30)/1000000)*'Технический лист'!$E$18))*1.95</f>
        <v>1090.2894934285714</v>
      </c>
      <c r="H12" s="16">
        <f>((((H6*0.00314)*0.22)*'Технический лист'!$M$4)+100+(((H7*0.00314)*0.21)*'Технический лист'!$O$11)+(((H6+30)*(H6+30)/1000000)*'Технический лист'!$E$18))*1.95</f>
        <v>1159.9935516</v>
      </c>
      <c r="I12" s="16">
        <f>((((I6*0.00314)*0.22)*'Технический лист'!$M$4)+100+(((I7*0.00314)*0.21)*'Технический лист'!$O$11)+(((I6+30)*(I6+30)/1000000)*'Технический лист'!$E$18))*1.95</f>
        <v>1230.9456097714285</v>
      </c>
      <c r="J12" s="16">
        <f>((((J6*0.00314)*0.22)*'Технический лист'!$M$4)+100+(((J7*0.00314)*0.21)*'Технический лист'!$O$11)+(((J6+30)*(J6+30)/1000000)*'Технический лист'!$E$18))*1.95</f>
        <v>1303.145667942857</v>
      </c>
      <c r="K12" s="16">
        <f>((((K6*0.00314)*0.22)*'Технический лист'!$M$4)+100+(((K7*0.00314)*0.21)*'Технический лист'!$O$11)+(((K6+30)*(K6+30)/1000000)*'Технический лист'!$E$18))*1.95</f>
        <v>1451.2897842857144</v>
      </c>
      <c r="L12" s="16">
        <f>((((L6*0.00314)*0.22)*'Технический лист'!$M$4)+100+(((L7*0.00314)*0.21)*'Технический лист'!$O$11)+(((L6+30)*(L6+30)/1000000)*'Технический лист'!$E$18))*1.95</f>
        <v>1604.4259006285715</v>
      </c>
      <c r="M12" s="16">
        <f>((((M6*0.00314)*0.22)*'Технический лист'!$M$4)+100+(((M7*0.00314)*0.21)*'Технический лист'!$O$11)+(((M6+30)*(M6+30)/1000000)*'Технический лист'!$E$18))*1.95</f>
        <v>1762.5540169714286</v>
      </c>
      <c r="N12" s="16">
        <f>((((N6*0.00314)*0.22)*'Технический лист'!$M$4)+100+(((N7*0.00314)*0.21)*'Технический лист'!$O$11)+(((N6+30)*(N6+30)/1000000)*'Технический лист'!$E$18))*1.95</f>
        <v>2009.1061914857146</v>
      </c>
      <c r="O12" s="16">
        <f>((((O6*0.00314)*0.22)*'Технический лист'!$M$4)+100+(((O7*0.00314)*0.21)*'Технический лист'!$O$11)+(((O6+30)*(O6+30)/1000000)*'Технический лист'!$E$18))*1.95</f>
        <v>2093.7862496571429</v>
      </c>
      <c r="P12" s="16">
        <f>((((P6*0.00314)*0.22)*'Технический лист'!$M$4)+100+(((P7*0.00314)*0.21)*'Технический лист'!$O$11)+(((P6+30)*(P6+30)/1000000)*'Технический лист'!$E$18))*1.95</f>
        <v>2179.7143078285717</v>
      </c>
      <c r="Q12" s="16">
        <f>((((Q6*0.00314)*0.22)*'Технический лист'!$M$4)+100+(((Q7*0.00314)*0.21)*'Технический лист'!$O$11)+(((Q6+30)*(Q6+30)/1000000)*'Технический лист'!$E$18))*1.95</f>
        <v>2266.8903660000001</v>
      </c>
      <c r="R12" s="16">
        <f>((((R6*0.00314)*0.22)*'Технический лист'!$M$4)+100+(((R7*0.00314)*0.21)*'Технический лист'!$O$11)+(((R6+30)*(R6+30)/1000000)*'Технический лист'!$E$18))*1.95</f>
        <v>2355.3144241714285</v>
      </c>
      <c r="S12" s="16">
        <f>((((S6*0.00314)*0.22)*'Технический лист'!$M$4)+100+(((S7*0.00314)*0.21)*'Технический лист'!$O$11)+(((S6+30)*(S6+30)/1000000)*'Технический лист'!$E$18))*1.95</f>
        <v>2444.986482342857</v>
      </c>
    </row>
    <row r="13" spans="1:19">
      <c r="A13" s="4" t="s">
        <v>7</v>
      </c>
      <c r="B13" s="9">
        <f>(B12*2.2)+24</f>
        <v>1979.0637016114285</v>
      </c>
      <c r="C13" s="9">
        <f t="shared" ref="C13:N13" si="6">(C12*2.2)+24</f>
        <v>2124.1758295885711</v>
      </c>
      <c r="D13" s="9">
        <f t="shared" si="6"/>
        <v>2197.7614935771426</v>
      </c>
      <c r="E13" s="9">
        <f t="shared" si="6"/>
        <v>2272.033557565715</v>
      </c>
      <c r="F13" s="9">
        <f t="shared" si="6"/>
        <v>2346.9920215542866</v>
      </c>
      <c r="G13" s="9">
        <f t="shared" si="6"/>
        <v>2422.6368855428573</v>
      </c>
      <c r="H13" s="9">
        <f t="shared" si="6"/>
        <v>2575.9858135200002</v>
      </c>
      <c r="I13" s="9">
        <f t="shared" si="6"/>
        <v>2732.0803414971429</v>
      </c>
      <c r="J13" s="9">
        <f t="shared" si="6"/>
        <v>2890.9204694742857</v>
      </c>
      <c r="K13" s="9">
        <f t="shared" si="6"/>
        <v>3216.837525428572</v>
      </c>
      <c r="L13" s="9">
        <f t="shared" si="6"/>
        <v>3553.7369813828577</v>
      </c>
      <c r="M13" s="9">
        <f t="shared" si="6"/>
        <v>3901.6188373371433</v>
      </c>
      <c r="N13" s="9">
        <f t="shared" si="6"/>
        <v>4444.0336212685725</v>
      </c>
      <c r="O13" s="9">
        <f t="shared" ref="O13:S13" si="7">(O12*2.2)+24</f>
        <v>4630.329749245715</v>
      </c>
      <c r="P13" s="9">
        <f t="shared" si="7"/>
        <v>4819.3714772228577</v>
      </c>
      <c r="Q13" s="9">
        <f t="shared" si="7"/>
        <v>5011.1588052000006</v>
      </c>
      <c r="R13" s="9">
        <f t="shared" si="7"/>
        <v>5205.6917331771429</v>
      </c>
      <c r="S13" s="9">
        <f t="shared" si="7"/>
        <v>5402.9702611542862</v>
      </c>
    </row>
    <row r="14" spans="1:19">
      <c r="A14" s="4" t="s">
        <v>8</v>
      </c>
      <c r="B14" s="16">
        <f>((((B6*0.00314)*0.2)*'Технический лист'!$M$4)+50+(((B7*0.00314)*0.22)*'Технический лист'!$O$11))*1.95</f>
        <v>664.8988694129871</v>
      </c>
      <c r="C14" s="16">
        <f>((((C6*0.00314)*0.2)*'Технический лист'!$M$4)+50+(((C7*0.00314)*0.22)*'Технический лист'!$O$11))*1.95</f>
        <v>711.46755531428573</v>
      </c>
      <c r="D14" s="16">
        <f>((((D6*0.00314)*0.2)*'Технический лист'!$M$4)+50+(((D7*0.00314)*0.22)*'Технический лист'!$O$11))*1.95</f>
        <v>734.75189826493511</v>
      </c>
      <c r="E14" s="16">
        <f>((((E6*0.00314)*0.2)*'Технический лист'!$M$4)+50+(((E7*0.00314)*0.22)*'Технический лист'!$O$11))*1.95</f>
        <v>758.03624121558448</v>
      </c>
      <c r="F14" s="16">
        <f>((((F6*0.00314)*0.2)*'Технический лист'!$M$4)+50+(((F7*0.00314)*0.22)*'Технический лист'!$O$11))*1.95</f>
        <v>781.32058416623386</v>
      </c>
      <c r="G14" s="16">
        <f>((((G6*0.00314)*0.2)*'Технический лист'!$M$4)+50+(((G7*0.00314)*0.22)*'Технический лист'!$O$11))*1.95</f>
        <v>804.60492711688312</v>
      </c>
      <c r="H14" s="16">
        <f>((((H6*0.00314)*0.2)*'Технический лист'!$M$4)+50+(((H7*0.00314)*0.22)*'Технический лист'!$O$11))*1.95</f>
        <v>851.17361301818187</v>
      </c>
      <c r="I14" s="16">
        <f>((((I6*0.00314)*0.2)*'Технический лист'!$M$4)+50+(((I7*0.00314)*0.22)*'Технический лист'!$O$11))*1.95</f>
        <v>897.74229891948062</v>
      </c>
      <c r="J14" s="16">
        <f>((((J6*0.00314)*0.2)*'Технический лист'!$M$4)+50+(((J7*0.00314)*0.22)*'Технический лист'!$O$11))*1.95</f>
        <v>944.31098482077925</v>
      </c>
      <c r="K14" s="16">
        <f>((((K6*0.00314)*0.2)*'Технический лист'!$M$4)+50+(((K7*0.00314)*0.22)*'Технический лист'!$O$11))*1.95</f>
        <v>1037.4483566233769</v>
      </c>
      <c r="L14" s="16">
        <f>((((L6*0.00314)*0.2)*'Технический лист'!$M$4)+50+(((L7*0.00314)*0.22)*'Технический лист'!$O$11))*1.95</f>
        <v>1130.5857284259739</v>
      </c>
      <c r="M14" s="16">
        <f>((((M6*0.00314)*0.2)*'Технический лист'!$M$4)+50+(((M7*0.00314)*0.22)*'Технический лист'!$O$11))*1.95</f>
        <v>1223.7231002285716</v>
      </c>
      <c r="N14" s="16">
        <f>((((N6*0.00314)*0.2)*'Технический лист'!$M$4)+50+(((N7*0.00314)*0.22)*'Технический лист'!$O$11))*1.95</f>
        <v>1363.4291579324677</v>
      </c>
      <c r="O14" s="16">
        <f>((((O6*0.00314)*0.2)*'Технический лист'!$M$4)+50+(((O7*0.00314)*0.22)*'Технический лист'!$O$11))*1.95</f>
        <v>1409.9978438337664</v>
      </c>
      <c r="P14" s="16">
        <f>((((P6*0.00314)*0.2)*'Технический лист'!$M$4)+50+(((P7*0.00314)*0.22)*'Технический лист'!$O$11))*1.95</f>
        <v>1456.5665297350652</v>
      </c>
      <c r="Q14" s="16">
        <f>((((Q6*0.00314)*0.2)*'Технический лист'!$M$4)+50+(((Q7*0.00314)*0.22)*'Технический лист'!$O$11))*1.95</f>
        <v>1503.1352156363637</v>
      </c>
      <c r="R14" s="16">
        <f>((((R6*0.00314)*0.2)*'Технический лист'!$M$4)+50+(((R7*0.00314)*0.22)*'Технический лист'!$O$11))*1.95</f>
        <v>1549.7039015376624</v>
      </c>
      <c r="S14" s="16">
        <f>((((S6*0.00314)*0.2)*'Технический лист'!$M$4)+50+(((S7*0.00314)*0.22)*'Технический лист'!$O$11))*1.95</f>
        <v>1596.2725874389612</v>
      </c>
    </row>
    <row r="15" spans="1:19">
      <c r="A15" s="4" t="s">
        <v>9</v>
      </c>
      <c r="B15" s="9">
        <f>((((B6*0.00314)*((B6+545)/1000))*'Технический лист'!$K$4)+370+((B7*0.00314)*((B7+450)/1000))*'Технический лист'!$K$11)*1.95</f>
        <v>2082.1441485168834</v>
      </c>
      <c r="C15" s="9">
        <f>((((C6*0.00314)*((C6+545)/1000))*'Технический лист'!$K$4)+370+((C7*0.00314)*((C7+450)/1000))*'Технический лист'!$K$11)*1.95</f>
        <v>2223.3888896142857</v>
      </c>
      <c r="D15" s="9">
        <f>((((D6*0.00314)*((D6+545)/1000))*'Технический лист'!$K$4)+370+((D7*0.00314)*((D7+450)/1000))*'Технический лист'!$K$11)*1.95</f>
        <v>2295.3957778142858</v>
      </c>
      <c r="E15" s="9">
        <f>((((E6*0.00314)*((E6+545)/1000))*'Технический лист'!$K$4)+370+((E7*0.00314)*((E7+450)/1000))*'Технический лист'!$K$11)*1.95</f>
        <v>2368.3256777818183</v>
      </c>
      <c r="F15" s="9">
        <f>((((F6*0.00314)*((F6+545)/1000))*'Технический лист'!$K$4)+370+((F7*0.00314)*((F7+450)/1000))*'Технический лист'!$K$11)*1.95</f>
        <v>2442.1785895168832</v>
      </c>
      <c r="G15" s="9">
        <f>((((G6*0.00314)*((G6+545)/1000))*'Технический лист'!$K$4)+370+((G7*0.00314)*((G7+450)/1000))*'Технический лист'!$K$11)*1.95</f>
        <v>2516.9545130194806</v>
      </c>
      <c r="H15" s="9">
        <f>((((H6*0.00314)*((H6+545)/1000))*'Технический лист'!$K$4)+370+((H7*0.00314)*((H7+450)/1000))*'Технический лист'!$K$11)*1.95</f>
        <v>2669.2753953272727</v>
      </c>
      <c r="I15" s="9">
        <f>((((I6*0.00314)*((I6+545)/1000))*'Технический лист'!$K$4)+370+((I7*0.00314)*((I7+450)/1000))*'Технический лист'!$K$11)*1.95</f>
        <v>2825.2883247051946</v>
      </c>
      <c r="J15" s="9">
        <f>((((J6*0.00314)*((J6+545)/1000))*'Технический лист'!$K$4)+370+((J7*0.00314)*((J7+450)/1000))*'Технический лист'!$K$11)*1.95</f>
        <v>2984.9933011532471</v>
      </c>
      <c r="K15" s="9">
        <f>((((K6*0.00314)*((K6+545)/1000))*'Технический лист'!$K$4)+370+((K7*0.00314)*((K7+450)/1000))*'Технический лист'!$K$11)*1.95</f>
        <v>3315.4793952597406</v>
      </c>
      <c r="L15" s="9">
        <f>((((L6*0.00314)*((L6+545)/1000))*'Технический лист'!$K$4)+370+((L7*0.00314)*((L7+450)/1000))*'Технический лист'!$K$11)*1.95</f>
        <v>3660.7336776467532</v>
      </c>
      <c r="M15" s="9">
        <f>((((M6*0.00314)*((M6+545)/1000))*'Технический лист'!$K$4)+370+((M7*0.00314)*((M7+450)/1000))*'Технический лист'!$K$11)*1.95</f>
        <v>4020.7561483142854</v>
      </c>
      <c r="N15" s="9">
        <f>((((N6*0.00314)*((N6+545)/1000))*'Технический лист'!$K$4)+370+((N7*0.00314)*((N7+450)/1000))*'Технический лист'!$K$11)*1.95</f>
        <v>4588.4802073415585</v>
      </c>
      <c r="O15" s="9">
        <f>((((O6*0.00314)*((O6+545)/1000))*'Технический лист'!$K$4)+370+((O7*0.00314)*((O7+450)/1000))*'Технический лист'!$K$11)*1.95</f>
        <v>4785.1056544909088</v>
      </c>
      <c r="P15" s="9">
        <f>((((P6*0.00314)*((P6+545)/1000))*'Технический лист'!$K$4)+370+((P7*0.00314)*((P7+450)/1000))*'Технический лист'!$K$11)*1.95</f>
        <v>4985.4231487103898</v>
      </c>
      <c r="Q15" s="9">
        <f>((((Q6*0.00314)*((Q6+545)/1000))*'Технический лист'!$K$4)+370+((Q7*0.00314)*((Q7+450)/1000))*'Технический лист'!$K$11)*1.95</f>
        <v>5189.4326899999996</v>
      </c>
      <c r="R15" s="9">
        <f>((((R6*0.00314)*((R6+545)/1000))*'Технический лист'!$K$4)+370+((R7*0.00314)*((R7+450)/1000))*'Технический лист'!$K$11)*1.95</f>
        <v>5397.1342783597402</v>
      </c>
      <c r="S15" s="9">
        <f>((((S6*0.00314)*((S6+545)/1000))*'Технический лист'!$K$4)+370+((S7*0.00314)*((S7+450)/1000))*'Технический лист'!$K$11)*1.95</f>
        <v>5608.5279137896096</v>
      </c>
    </row>
    <row r="16" spans="1:19" ht="0.75" hidden="1" customHeight="1">
      <c r="A16" s="4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>
      <c r="A17" s="4" t="s">
        <v>118</v>
      </c>
      <c r="B17" s="16">
        <v>1800</v>
      </c>
      <c r="C17" s="16">
        <v>1800</v>
      </c>
      <c r="D17" s="16">
        <v>1800</v>
      </c>
      <c r="E17" s="16">
        <v>1800</v>
      </c>
      <c r="F17" s="16">
        <v>1800</v>
      </c>
      <c r="G17" s="16">
        <v>1800</v>
      </c>
      <c r="H17" s="16">
        <v>1800</v>
      </c>
      <c r="I17" s="16">
        <v>1800</v>
      </c>
      <c r="J17" s="16">
        <v>1800</v>
      </c>
      <c r="K17" s="16">
        <v>1800</v>
      </c>
      <c r="L17" s="16">
        <v>1800</v>
      </c>
      <c r="M17" s="16">
        <v>1800</v>
      </c>
      <c r="N17" s="16">
        <v>1800</v>
      </c>
      <c r="O17" s="16">
        <v>1800</v>
      </c>
      <c r="P17" s="16">
        <v>1800</v>
      </c>
      <c r="Q17" s="16">
        <v>1800</v>
      </c>
      <c r="R17" s="16">
        <v>1800</v>
      </c>
      <c r="S17" s="16">
        <v>1800</v>
      </c>
    </row>
    <row r="19" spans="1:19">
      <c r="A19" s="41" t="s">
        <v>42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19">
      <c r="A20" s="3" t="s">
        <v>0</v>
      </c>
      <c r="B20" s="10">
        <v>100</v>
      </c>
      <c r="C20" s="10">
        <v>110</v>
      </c>
      <c r="D20" s="10">
        <v>115</v>
      </c>
      <c r="E20" s="10">
        <v>120</v>
      </c>
      <c r="F20" s="10">
        <v>125</v>
      </c>
      <c r="G20" s="10">
        <v>130</v>
      </c>
      <c r="H20" s="10">
        <v>140</v>
      </c>
      <c r="I20" s="10">
        <v>150</v>
      </c>
      <c r="J20" s="10">
        <v>160</v>
      </c>
      <c r="K20" s="10">
        <v>180</v>
      </c>
      <c r="L20" s="10">
        <v>200</v>
      </c>
      <c r="M20" s="10">
        <v>220</v>
      </c>
      <c r="N20" s="10">
        <v>250</v>
      </c>
      <c r="O20" s="10">
        <v>260</v>
      </c>
      <c r="P20" s="10">
        <v>270</v>
      </c>
      <c r="Q20" s="10">
        <v>280</v>
      </c>
      <c r="R20" s="10">
        <v>290</v>
      </c>
      <c r="S20" s="10">
        <v>300</v>
      </c>
    </row>
    <row r="21" spans="1:19">
      <c r="A21" s="3" t="s">
        <v>1</v>
      </c>
      <c r="B21" s="10">
        <f>B20+70</f>
        <v>170</v>
      </c>
      <c r="C21" s="10">
        <f t="shared" ref="C21:N21" si="8">C20+70</f>
        <v>180</v>
      </c>
      <c r="D21" s="10">
        <f t="shared" si="8"/>
        <v>185</v>
      </c>
      <c r="E21" s="10">
        <f t="shared" si="8"/>
        <v>190</v>
      </c>
      <c r="F21" s="10">
        <f t="shared" si="8"/>
        <v>195</v>
      </c>
      <c r="G21" s="10">
        <f t="shared" si="8"/>
        <v>200</v>
      </c>
      <c r="H21" s="10">
        <f t="shared" si="8"/>
        <v>210</v>
      </c>
      <c r="I21" s="10">
        <f t="shared" si="8"/>
        <v>220</v>
      </c>
      <c r="J21" s="10">
        <f t="shared" si="8"/>
        <v>230</v>
      </c>
      <c r="K21" s="10">
        <f t="shared" si="8"/>
        <v>250</v>
      </c>
      <c r="L21" s="10">
        <f t="shared" si="8"/>
        <v>270</v>
      </c>
      <c r="M21" s="10">
        <f t="shared" si="8"/>
        <v>290</v>
      </c>
      <c r="N21" s="10">
        <f t="shared" si="8"/>
        <v>320</v>
      </c>
      <c r="O21" s="10">
        <f t="shared" ref="O21:S21" si="9">O20+70</f>
        <v>330</v>
      </c>
      <c r="P21" s="10">
        <f t="shared" si="9"/>
        <v>340</v>
      </c>
      <c r="Q21" s="10">
        <f t="shared" si="9"/>
        <v>350</v>
      </c>
      <c r="R21" s="10">
        <f t="shared" si="9"/>
        <v>360</v>
      </c>
      <c r="S21" s="10">
        <f t="shared" si="9"/>
        <v>370</v>
      </c>
    </row>
    <row r="22" spans="1:19">
      <c r="A22" s="4" t="s">
        <v>4</v>
      </c>
      <c r="B22" s="16">
        <f>(((B20*0.00314)*'Технический лист'!$G$4)+310+((B21*0.00314)*'Технический лист'!$G$5))*1.95</f>
        <v>2684.748695064935</v>
      </c>
      <c r="C22" s="16">
        <f>(((C20*0.00314)*'Технический лист'!$G$4)+310+((C21*0.00314)*'Технический лист'!$G$5))*1.95</f>
        <v>2844.083468571429</v>
      </c>
      <c r="D22" s="16">
        <f>(((D20*0.00314)*'Технический лист'!$G$4)+310+((D21*0.00314)*'Технический лист'!$G$5))*1.95</f>
        <v>2923.7508553246753</v>
      </c>
      <c r="E22" s="16">
        <f>(((E20*0.00314)*'Технический лист'!$G$4)+310+((E21*0.00314)*'Технический лист'!$G$5))*1.95</f>
        <v>3003.4182420779221</v>
      </c>
      <c r="F22" s="16">
        <f>(((F20*0.00314)*'Технический лист'!$G$4)+310+((F21*0.00314)*'Технический лист'!$G$5))*1.95</f>
        <v>3083.0856288311688</v>
      </c>
      <c r="G22" s="16">
        <f>(((G20*0.00314)*'Технический лист'!$G$4)+310+((G21*0.00314)*'Технический лист'!$G$5))*1.95</f>
        <v>3162.7530155844156</v>
      </c>
      <c r="H22" s="16">
        <f>(((H20*0.00314)*'Технический лист'!$G$4)+310+((H21*0.00314)*'Технический лист'!$G$5))*1.95</f>
        <v>3322.0877890909092</v>
      </c>
      <c r="I22" s="16">
        <f>(((I20*0.00314)*'Технический лист'!$G$4)+310+((I21*0.00314)*'Технический лист'!$G$5))*1.95</f>
        <v>3481.4225625974027</v>
      </c>
      <c r="J22" s="16">
        <f>(((J20*0.00314)*'Технический лист'!$G$4)+310+((J21*0.00314)*'Технический лист'!$G$5))*1.95</f>
        <v>3640.7573361038953</v>
      </c>
      <c r="K22" s="16">
        <f>(((K20*0.00314)*'Технический лист'!$G$4)+310+((K21*0.00314)*'Технический лист'!$G$5))*1.95</f>
        <v>3959.4268831168833</v>
      </c>
      <c r="L22" s="16">
        <f>(((L20*0.00314)*'Технический лист'!$G$4)+310+((L21*0.00314)*'Технический лист'!$G$5))*1.95</f>
        <v>4278.09643012987</v>
      </c>
      <c r="M22" s="16">
        <f>(((M20*0.00314)*'Технический лист'!$G$4)+310+((M21*0.00314)*'Технический лист'!$G$5))*1.95</f>
        <v>4596.7659771428562</v>
      </c>
      <c r="N22" s="16">
        <f>(((N20*0.00314)*'Технический лист'!$G$4)+310+((N21*0.00314)*'Технический лист'!$G$5))*1.95</f>
        <v>5074.7702976623368</v>
      </c>
      <c r="O22" s="16">
        <f>(((O20*0.00314)*'Технический лист'!$G$4)+310+((O21*0.00314)*'Технический лист'!$G$5))*1.95</f>
        <v>5234.1050711688322</v>
      </c>
      <c r="P22" s="16">
        <f>(((P20*0.00314)*'Технический лист'!$G$4)+310+((P21*0.00314)*'Технический лист'!$G$5))*1.95</f>
        <v>5393.4398446753248</v>
      </c>
      <c r="Q22" s="16">
        <f>(((Q20*0.00314)*'Технический лист'!$G$4)+310+((Q21*0.00314)*'Технический лист'!$G$5))*1.95</f>
        <v>5552.7746181818175</v>
      </c>
      <c r="R22" s="16">
        <f>(((R20*0.00314)*'Технический лист'!$G$4)+310+((R21*0.00314)*'Технический лист'!$G$5))*1.95</f>
        <v>5712.1093916883128</v>
      </c>
      <c r="S22" s="16">
        <f>(((S20*0.00314)*'Технический лист'!$G$4)+310+((S21*0.00314)*'Технический лист'!$G$5))*1.95</f>
        <v>5871.4441651948055</v>
      </c>
    </row>
    <row r="23" spans="1:19">
      <c r="A23" s="4" t="s">
        <v>3</v>
      </c>
      <c r="B23" s="9">
        <f>((B22/2)*1.07)-9</f>
        <v>1427.3405518597403</v>
      </c>
      <c r="C23" s="9">
        <f t="shared" ref="C23:N23" si="10">((C22/2)*1.07)-9</f>
        <v>1512.5846556857146</v>
      </c>
      <c r="D23" s="9">
        <f t="shared" si="10"/>
        <v>1555.2067075987013</v>
      </c>
      <c r="E23" s="9">
        <f t="shared" si="10"/>
        <v>1597.8287595116883</v>
      </c>
      <c r="F23" s="9">
        <f t="shared" si="10"/>
        <v>1640.4508114246755</v>
      </c>
      <c r="G23" s="9">
        <f t="shared" si="10"/>
        <v>1683.0728633376625</v>
      </c>
      <c r="H23" s="9">
        <f t="shared" si="10"/>
        <v>1768.3169671636365</v>
      </c>
      <c r="I23" s="9">
        <f t="shared" si="10"/>
        <v>1853.5610709896105</v>
      </c>
      <c r="J23" s="9">
        <f t="shared" si="10"/>
        <v>1938.8051748155842</v>
      </c>
      <c r="K23" s="9">
        <f t="shared" si="10"/>
        <v>2109.2933824675329</v>
      </c>
      <c r="L23" s="9">
        <f t="shared" si="10"/>
        <v>2279.7815901194804</v>
      </c>
      <c r="M23" s="9">
        <f t="shared" si="10"/>
        <v>2450.2697977714283</v>
      </c>
      <c r="N23" s="9">
        <f t="shared" si="10"/>
        <v>2706.0021092493503</v>
      </c>
      <c r="O23" s="9">
        <f t="shared" ref="O23:S23" si="11">((O22/2)*1.07)-9</f>
        <v>2791.2462130753252</v>
      </c>
      <c r="P23" s="9">
        <f t="shared" si="11"/>
        <v>2876.4903169012991</v>
      </c>
      <c r="Q23" s="9">
        <f t="shared" si="11"/>
        <v>2961.7344207272727</v>
      </c>
      <c r="R23" s="9">
        <f t="shared" si="11"/>
        <v>3046.9785245532476</v>
      </c>
      <c r="S23" s="9">
        <f t="shared" si="11"/>
        <v>3132.2226283792211</v>
      </c>
    </row>
    <row r="24" spans="1:19">
      <c r="A24" s="4" t="s">
        <v>5</v>
      </c>
      <c r="B24" s="16">
        <f>((((B20*0.00314)*0.5)*'Технический лист'!$I$4)+310+(((B21*0.00314)*0.5)*'Технический лист'!$I$5))*1.95</f>
        <v>2218.6555975324677</v>
      </c>
      <c r="C24" s="16">
        <f>((((C20*0.00314)*0.5)*'Технический лист'!$I$4)+310+(((C21*0.00314)*0.5)*'Технический лист'!$I$5))*1.95</f>
        <v>2341.7962842857146</v>
      </c>
      <c r="D24" s="16">
        <f>((((D20*0.00314)*0.5)*'Технический лист'!$I$4)+310+(((D21*0.00314)*0.5)*'Технический лист'!$I$5))*1.95</f>
        <v>2403.3666276623376</v>
      </c>
      <c r="E24" s="16">
        <f>((((E20*0.00314)*0.5)*'Технический лист'!$I$4)+310+(((E21*0.00314)*0.5)*'Технический лист'!$I$5))*1.95</f>
        <v>2464.9369710389615</v>
      </c>
      <c r="F24" s="16">
        <f>((((F20*0.00314)*0.5)*'Технический лист'!$I$4)+310+(((F21*0.00314)*0.5)*'Технический лист'!$I$5))*1.95</f>
        <v>2526.5073144155849</v>
      </c>
      <c r="G24" s="16">
        <f>((((G20*0.00314)*0.5)*'Технический лист'!$I$4)+310+(((G21*0.00314)*0.5)*'Технический лист'!$I$5))*1.95</f>
        <v>2588.0776577922079</v>
      </c>
      <c r="H24" s="16">
        <f>((((H20*0.00314)*0.5)*'Технический лист'!$I$4)+310+(((H21*0.00314)*0.5)*'Технический лист'!$I$5))*1.95</f>
        <v>2711.2183445454548</v>
      </c>
      <c r="I24" s="16">
        <f>((((I20*0.00314)*0.5)*'Технический лист'!$I$4)+310+(((I21*0.00314)*0.5)*'Технический лист'!$I$5))*1.95</f>
        <v>2834.3590312987012</v>
      </c>
      <c r="J24" s="16">
        <f>((((J20*0.00314)*0.5)*'Технический лист'!$I$4)+310+(((J21*0.00314)*0.5)*'Технический лист'!$I$5))*1.95</f>
        <v>2957.4997180519476</v>
      </c>
      <c r="K24" s="16">
        <f>((((K20*0.00314)*0.5)*'Технический лист'!$I$4)+310+(((K21*0.00314)*0.5)*'Технический лист'!$I$5))*1.95</f>
        <v>3203.7810915584419</v>
      </c>
      <c r="L24" s="16">
        <f>((((L20*0.00314)*0.5)*'Технический лист'!$I$4)+310+(((L21*0.00314)*0.5)*'Технический лист'!$I$5))*1.95</f>
        <v>3450.0624650649352</v>
      </c>
      <c r="M24" s="16">
        <f>((((M20*0.00314)*0.5)*'Технический лист'!$I$4)+310+(((M21*0.00314)*0.5)*'Технический лист'!$I$5))*1.95</f>
        <v>3696.3438385714285</v>
      </c>
      <c r="N24" s="16">
        <f>((((N20*0.00314)*0.5)*'Технический лист'!$I$4)+310+(((N21*0.00314)*0.5)*'Технический лист'!$I$5))*1.95</f>
        <v>4065.7658988311691</v>
      </c>
      <c r="O24" s="16">
        <f>((((O20*0.00314)*0.5)*'Технический лист'!$I$4)+310+(((O21*0.00314)*0.5)*'Технический лист'!$I$5))*1.95</f>
        <v>4188.9065855844156</v>
      </c>
      <c r="P24" s="16">
        <f>((((P20*0.00314)*0.5)*'Технический лист'!$I$4)+310+(((P21*0.00314)*0.5)*'Технический лист'!$I$5))*1.95</f>
        <v>4312.0472723376624</v>
      </c>
      <c r="Q24" s="16">
        <f>((((Q20*0.00314)*0.5)*'Технический лист'!$I$4)+310+(((Q21*0.00314)*0.5)*'Технический лист'!$I$5))*1.95</f>
        <v>4435.1879590909084</v>
      </c>
      <c r="R24" s="16">
        <f>((((R20*0.00314)*0.5)*'Технический лист'!$I$4)+310+(((R21*0.00314)*0.5)*'Технический лист'!$I$5))*1.95</f>
        <v>4558.3286458441562</v>
      </c>
      <c r="S24" s="16">
        <f>((((S20*0.00314)*0.5)*'Технический лист'!$I$4)+310+(((S21*0.00314)*0.5)*'Технический лист'!$I$5))*1.95</f>
        <v>4681.4693325974031</v>
      </c>
    </row>
    <row r="25" spans="1:19">
      <c r="A25" s="4" t="s">
        <v>96</v>
      </c>
      <c r="B25" s="9">
        <f>((B24*2)/3)-7</f>
        <v>1472.1037316883119</v>
      </c>
      <c r="C25" s="9">
        <f t="shared" ref="C25:N25" si="12">((C24*2)/3)-7</f>
        <v>1554.197522857143</v>
      </c>
      <c r="D25" s="9">
        <f t="shared" si="12"/>
        <v>1595.2444184415583</v>
      </c>
      <c r="E25" s="9">
        <f t="shared" si="12"/>
        <v>1636.2913140259743</v>
      </c>
      <c r="F25" s="9">
        <f t="shared" si="12"/>
        <v>1677.3382096103899</v>
      </c>
      <c r="G25" s="9">
        <f t="shared" si="12"/>
        <v>1718.3851051948052</v>
      </c>
      <c r="H25" s="9">
        <f t="shared" si="12"/>
        <v>1800.4788963636365</v>
      </c>
      <c r="I25" s="9">
        <f t="shared" si="12"/>
        <v>1882.5726875324674</v>
      </c>
      <c r="J25" s="9">
        <f t="shared" si="12"/>
        <v>1964.6664787012985</v>
      </c>
      <c r="K25" s="9">
        <f t="shared" si="12"/>
        <v>2128.8540610389614</v>
      </c>
      <c r="L25" s="9">
        <f t="shared" si="12"/>
        <v>2293.0416433766236</v>
      </c>
      <c r="M25" s="9">
        <f t="shared" si="12"/>
        <v>2457.2292257142858</v>
      </c>
      <c r="N25" s="9">
        <f t="shared" si="12"/>
        <v>2703.5105992207796</v>
      </c>
      <c r="O25" s="9">
        <f t="shared" ref="O25:S25" si="13">((O24*2)/3)-7</f>
        <v>2785.6043903896102</v>
      </c>
      <c r="P25" s="9">
        <f t="shared" si="13"/>
        <v>2867.6981815584418</v>
      </c>
      <c r="Q25" s="9">
        <f t="shared" si="13"/>
        <v>2949.7919727272724</v>
      </c>
      <c r="R25" s="9">
        <f t="shared" si="13"/>
        <v>3031.885763896104</v>
      </c>
      <c r="S25" s="9">
        <f t="shared" si="13"/>
        <v>3113.9795550649355</v>
      </c>
    </row>
    <row r="26" spans="1:19">
      <c r="A26" s="4" t="s">
        <v>6</v>
      </c>
      <c r="B26" s="16">
        <f>((((B20*0.00314)*0.22)*'Технический лист'!$M$4)+100+(((B21*0.00314)*0.21)*'Технический лист'!$O$5)+(((B20+30)*(B20+30)/1000000)*'Технический лист'!$E$18))*1.96</f>
        <v>1099.16603328</v>
      </c>
      <c r="C26" s="16">
        <f>((((C20*0.00314)*0.22)*'Технический лист'!$M$4)+100+(((C21*0.00314)*0.21)*'Технический лист'!$O$5)+(((C20+30)*(C20+30)/1000000)*'Технический лист'!$E$18))*1.96</f>
        <v>1177.5786691199999</v>
      </c>
      <c r="D26" s="16">
        <f>((((D20*0.00314)*0.22)*'Технический лист'!$M$4)+100+(((D21*0.00314)*0.21)*'Технический лист'!$O$5)+(((D20+30)*(D20+30)/1000000)*'Технический лист'!$E$18))*1.96</f>
        <v>1217.2553870399997</v>
      </c>
      <c r="E26" s="16">
        <f>((((E20*0.00314)*0.22)*'Технический лист'!$M$4)+100+(((E21*0.00314)*0.21)*'Технический лист'!$O$5)+(((E20+30)*(E20+30)/1000000)*'Технический лист'!$E$18))*1.96</f>
        <v>1257.2457049600002</v>
      </c>
      <c r="F26" s="16">
        <f>((((F20*0.00314)*0.22)*'Технический лист'!$M$4)+100+(((F21*0.00314)*0.21)*'Технический лист'!$O$5)+(((F20+30)*(F20+30)/1000000)*'Технический лист'!$E$18))*1.96</f>
        <v>1297.54962288</v>
      </c>
      <c r="G26" s="16">
        <f>((((G20*0.00314)*0.22)*'Технический лист'!$M$4)+100+(((G21*0.00314)*0.21)*'Технический лист'!$O$5)+(((G20+30)*(G20+30)/1000000)*'Технический лист'!$E$18))*1.96</f>
        <v>1338.1671408</v>
      </c>
      <c r="H26" s="16">
        <f>((((H20*0.00314)*0.22)*'Технический лист'!$M$4)+100+(((H21*0.00314)*0.21)*'Технический лист'!$O$5)+(((H20+30)*(H20+30)/1000000)*'Технический лист'!$E$18))*1.96</f>
        <v>1420.3429766400002</v>
      </c>
      <c r="I26" s="16">
        <f>((((I20*0.00314)*0.22)*'Технический лист'!$M$4)+100+(((I21*0.00314)*0.21)*'Технический лист'!$O$5)+(((I20+30)*(I20+30)/1000000)*'Технический лист'!$E$18))*1.96</f>
        <v>1503.77321248</v>
      </c>
      <c r="J26" s="16">
        <f>((((J20*0.00314)*0.22)*'Технический лист'!$M$4)+100+(((J21*0.00314)*0.21)*'Технический лист'!$O$5)+(((J20+30)*(J20+30)/1000000)*'Технический лист'!$E$18))*1.96</f>
        <v>1588.4578483199998</v>
      </c>
      <c r="K26" s="16">
        <f>((((K20*0.00314)*0.22)*'Технический лист'!$M$4)+100+(((K21*0.00314)*0.21)*'Технический лист'!$O$5)+(((K20+30)*(K20+30)/1000000)*'Технический лист'!$E$18))*1.96</f>
        <v>1761.5903200000002</v>
      </c>
      <c r="L26" s="16">
        <f>((((L20*0.00314)*0.22)*'Технический лист'!$M$4)+100+(((L21*0.00314)*0.21)*'Технический лист'!$O$5)+(((L20+30)*(L20+30)/1000000)*'Технический лист'!$E$18))*1.96</f>
        <v>1939.7403916799999</v>
      </c>
      <c r="M26" s="16">
        <f>((((M20*0.00314)*0.22)*'Технический лист'!$M$4)+100+(((M21*0.00314)*0.21)*'Технический лист'!$O$5)+(((M20+30)*(M20+30)/1000000)*'Технический лист'!$E$18))*1.96</f>
        <v>2122.9080633599997</v>
      </c>
      <c r="N26" s="16">
        <f>((((N20*0.00314)*0.22)*'Технический лист'!$M$4)+100+(((N21*0.00314)*0.21)*'Технический лист'!$O$5)+(((N20+30)*(N20+30)/1000000)*'Технический лист'!$E$18))*1.96</f>
        <v>2407.0675708800004</v>
      </c>
      <c r="O26" s="16">
        <f>((((O20*0.00314)*0.22)*'Технический лист'!$M$4)+100+(((O21*0.00314)*0.21)*'Технический лист'!$O$5)+(((O20+30)*(O20+30)/1000000)*'Технический лист'!$E$18))*1.96</f>
        <v>2504.2962067199996</v>
      </c>
      <c r="P26" s="16">
        <f>((((P20*0.00314)*0.22)*'Технический лист'!$M$4)+100+(((P21*0.00314)*0.21)*'Технический лист'!$O$5)+(((P20+30)*(P20+30)/1000000)*'Технический лист'!$E$18))*1.96</f>
        <v>2602.7792425600001</v>
      </c>
      <c r="Q26" s="16">
        <f>((((Q20*0.00314)*0.22)*'Технический лист'!$M$4)+100+(((Q21*0.00314)*0.21)*'Технический лист'!$O$5)+(((Q20+30)*(Q20+30)/1000000)*'Технический лист'!$E$18))*1.96</f>
        <v>2702.5166783999998</v>
      </c>
      <c r="R26" s="16">
        <f>((((R20*0.00314)*0.22)*'Технический лист'!$M$4)+100+(((R21*0.00314)*0.21)*'Технический лист'!$O$5)+(((R20+30)*(R20+30)/1000000)*'Технический лист'!$E$18))*1.96</f>
        <v>2803.5085142399998</v>
      </c>
      <c r="S26" s="16">
        <f>((((S20*0.00314)*0.22)*'Технический лист'!$M$4)+100+(((S21*0.00314)*0.21)*'Технический лист'!$O$5)+(((S20+30)*(S20+30)/1000000)*'Технический лист'!$E$18))*1.96</f>
        <v>2905.7547500799997</v>
      </c>
    </row>
    <row r="27" spans="1:19">
      <c r="A27" s="4" t="s">
        <v>7</v>
      </c>
      <c r="B27" s="9">
        <f>(B26*2.2)+24</f>
        <v>2442.1652732160001</v>
      </c>
      <c r="C27" s="9">
        <f t="shared" ref="C27:N27" si="14">(C26*2.2)+24</f>
        <v>2614.6730720639998</v>
      </c>
      <c r="D27" s="9">
        <f t="shared" si="14"/>
        <v>2701.9618514879994</v>
      </c>
      <c r="E27" s="9">
        <f t="shared" si="14"/>
        <v>2789.9405509120006</v>
      </c>
      <c r="F27" s="9">
        <f t="shared" si="14"/>
        <v>2878.6091703360003</v>
      </c>
      <c r="G27" s="9">
        <f t="shared" si="14"/>
        <v>2967.9677097600002</v>
      </c>
      <c r="H27" s="9">
        <f t="shared" si="14"/>
        <v>3148.7545486080007</v>
      </c>
      <c r="I27" s="9">
        <f t="shared" si="14"/>
        <v>3332.3010674560001</v>
      </c>
      <c r="J27" s="9">
        <f t="shared" si="14"/>
        <v>3518.6072663039999</v>
      </c>
      <c r="K27" s="9">
        <f t="shared" si="14"/>
        <v>3899.498704000001</v>
      </c>
      <c r="L27" s="9">
        <f t="shared" si="14"/>
        <v>4291.4288616960002</v>
      </c>
      <c r="M27" s="9">
        <f t="shared" si="14"/>
        <v>4694.3977393919995</v>
      </c>
      <c r="N27" s="9">
        <f t="shared" si="14"/>
        <v>5319.5486559360015</v>
      </c>
      <c r="O27" s="9">
        <f t="shared" ref="O27:S27" si="15">(O26*2.2)+24</f>
        <v>5533.4516547839994</v>
      </c>
      <c r="P27" s="9">
        <f t="shared" si="15"/>
        <v>5750.114333632001</v>
      </c>
      <c r="Q27" s="9">
        <f t="shared" si="15"/>
        <v>5969.5366924800001</v>
      </c>
      <c r="R27" s="9">
        <f t="shared" si="15"/>
        <v>6191.7187313280001</v>
      </c>
      <c r="S27" s="9">
        <f t="shared" si="15"/>
        <v>6416.6604501759994</v>
      </c>
    </row>
    <row r="28" spans="1:19">
      <c r="A28" s="4" t="s">
        <v>8</v>
      </c>
      <c r="B28" s="16">
        <f>((((B20*0.00314)*0.2)*'Технический лист'!$M$4)+50+(((B21*0.00314)*0.22)*'Технический лист'!$O$5))*1.96</f>
        <v>884.05889477818187</v>
      </c>
      <c r="C28" s="16">
        <f>((((C20*0.00314)*0.2)*'Технический лист'!$M$4)+50+(((C21*0.00314)*0.22)*'Технический лист'!$O$5))*1.96</f>
        <v>943.55758784000011</v>
      </c>
      <c r="D28" s="16">
        <f>((((D20*0.00314)*0.2)*'Технический лист'!$M$4)+50+(((D21*0.00314)*0.22)*'Технический лист'!$O$5))*1.96</f>
        <v>973.30693437090906</v>
      </c>
      <c r="E28" s="16">
        <f>((((E20*0.00314)*0.2)*'Технический лист'!$M$4)+50+(((E21*0.00314)*0.22)*'Технический лист'!$O$5))*1.96</f>
        <v>1003.0562809018182</v>
      </c>
      <c r="F28" s="16">
        <f>((((F20*0.00314)*0.2)*'Технический лист'!$M$4)+50+(((F21*0.00314)*0.22)*'Технический лист'!$O$5))*1.96</f>
        <v>1032.8056274327273</v>
      </c>
      <c r="G28" s="16">
        <f>((((G20*0.00314)*0.2)*'Технический лист'!$M$4)+50+(((G21*0.00314)*0.22)*'Технический лист'!$O$5))*1.96</f>
        <v>1062.5549739636365</v>
      </c>
      <c r="H28" s="16">
        <f>((((H20*0.00314)*0.2)*'Технический лист'!$M$4)+50+(((H21*0.00314)*0.22)*'Технический лист'!$O$5))*1.96</f>
        <v>1122.0536670254546</v>
      </c>
      <c r="I28" s="16">
        <f>((((I20*0.00314)*0.2)*'Технический лист'!$M$4)+50+(((I21*0.00314)*0.22)*'Технический лист'!$O$5))*1.96</f>
        <v>1181.5523600872727</v>
      </c>
      <c r="J28" s="16">
        <f>((((J20*0.00314)*0.2)*'Технический лист'!$M$4)+50+(((J21*0.00314)*0.22)*'Технический лист'!$O$5))*1.96</f>
        <v>1241.0510531490906</v>
      </c>
      <c r="K28" s="16">
        <f>((((K20*0.00314)*0.2)*'Технический лист'!$M$4)+50+(((K21*0.00314)*0.22)*'Технический лист'!$O$5))*1.96</f>
        <v>1360.0484392727274</v>
      </c>
      <c r="L28" s="16">
        <f>((((L20*0.00314)*0.2)*'Технический лист'!$M$4)+50+(((L21*0.00314)*0.22)*'Технический лист'!$O$5))*1.96</f>
        <v>1479.0458253963636</v>
      </c>
      <c r="M28" s="16">
        <f>((((M20*0.00314)*0.2)*'Технический лист'!$M$4)+50+(((M21*0.00314)*0.22)*'Технический лист'!$O$5))*1.96</f>
        <v>1598.0432115200001</v>
      </c>
      <c r="N28" s="16">
        <f>((((N20*0.00314)*0.2)*'Технический лист'!$M$4)+50+(((N21*0.00314)*0.22)*'Технический лист'!$O$5))*1.96</f>
        <v>1776.5392907054547</v>
      </c>
      <c r="O28" s="16">
        <f>((((O20*0.00314)*0.2)*'Технический лист'!$M$4)+50+(((O21*0.00314)*0.22)*'Технический лист'!$O$5))*1.96</f>
        <v>1836.0379837672726</v>
      </c>
      <c r="P28" s="16">
        <f>((((P20*0.00314)*0.2)*'Технический лист'!$M$4)+50+(((P21*0.00314)*0.22)*'Технический лист'!$O$5))*1.96</f>
        <v>1895.5366768290912</v>
      </c>
      <c r="Q28" s="16">
        <f>((((Q20*0.00314)*0.2)*'Технический лист'!$M$4)+50+(((Q21*0.00314)*0.22)*'Технический лист'!$O$5))*1.96</f>
        <v>1955.0353698909089</v>
      </c>
      <c r="R28" s="16">
        <f>((((R20*0.00314)*0.2)*'Технический лист'!$M$4)+50+(((R21*0.00314)*0.22)*'Технический лист'!$O$5))*1.96</f>
        <v>2014.5340629527275</v>
      </c>
      <c r="S28" s="16">
        <f>((((S20*0.00314)*0.2)*'Технический лист'!$M$4)+50+(((S21*0.00314)*0.22)*'Технический лист'!$O$5))*1.96</f>
        <v>2074.0327560145456</v>
      </c>
    </row>
    <row r="29" spans="1:19" ht="13.5" customHeight="1">
      <c r="A29" s="4" t="s">
        <v>9</v>
      </c>
      <c r="B29" s="9">
        <f>((((B20*0.00314)*((B20+545)/1000))*'Технический лист'!$K$4)+370+((B21*0.00314)*((B21+450)/1000))*'Технический лист'!$K$5)*1.96</f>
        <v>2927.8811645236369</v>
      </c>
      <c r="C29" s="9">
        <f>((((C20*0.00314)*((C20+545)/1000))*'Технический лист'!$K$4)+370+((C21*0.00314)*((C21+450)/1000))*'Технический лист'!$K$5)*1.96</f>
        <v>3133.2323517599998</v>
      </c>
      <c r="D29" s="9">
        <f>((((D20*0.00314)*((D20+545)/1000))*'Технический лист'!$K$4)+370+((D21*0.00314)*((D21+450)/1000))*'Технический лист'!$K$5)*1.96</f>
        <v>3237.8937704399996</v>
      </c>
      <c r="E29" s="9">
        <f>((((E20*0.00314)*((E20+545)/1000))*'Технический лист'!$K$4)+370+((E21*0.00314)*((E21+450)/1000))*'Технический лист'!$K$5)*1.96</f>
        <v>3343.8790724945457</v>
      </c>
      <c r="F29" s="9">
        <f>((((F20*0.00314)*((F20+545)/1000))*'Технический лист'!$K$4)+370+((F21*0.00314)*((F21+450)/1000))*'Технический лист'!$K$5)*1.96</f>
        <v>3451.1882579236362</v>
      </c>
      <c r="G29" s="9">
        <f>((((G20*0.00314)*((G20+545)/1000))*'Технический лист'!$K$4)+370+((G21*0.00314)*((G21+450)/1000))*'Технический лист'!$K$5)*1.96</f>
        <v>3559.8213267272727</v>
      </c>
      <c r="H29" s="9">
        <f>((((H20*0.00314)*((H20+545)/1000))*'Технический лист'!$K$4)+370+((H21*0.00314)*((H21+450)/1000))*'Технический лист'!$K$5)*1.96</f>
        <v>3781.0591144581817</v>
      </c>
      <c r="I29" s="9">
        <f>((((I20*0.00314)*((I20+545)/1000))*'Технический лист'!$K$4)+370+((I21*0.00314)*((I21+450)/1000))*'Технический лист'!$K$5)*1.96</f>
        <v>4007.5924356872729</v>
      </c>
      <c r="J29" s="9">
        <f>((((J20*0.00314)*((J20+545)/1000))*'Технический лист'!$K$4)+370+((J21*0.00314)*((J21+450)/1000))*'Технический лист'!$K$5)*1.96</f>
        <v>4239.4212904145461</v>
      </c>
      <c r="K29" s="9">
        <f>((((K20*0.00314)*((K20+545)/1000))*'Технический лист'!$K$4)+370+((K21*0.00314)*((K21+450)/1000))*'Технический лист'!$K$5)*1.96</f>
        <v>4718.9656003636364</v>
      </c>
      <c r="L29" s="9">
        <f>((((L20*0.00314)*((L20+545)/1000))*'Технический лист'!$K$4)+370+((L21*0.00314)*((L21+450)/1000))*'Технический лист'!$K$5)*1.96</f>
        <v>5219.6920443054551</v>
      </c>
      <c r="M29" s="9">
        <f>((((M20*0.00314)*((M20+545)/1000))*'Технический лист'!$K$4)+370+((M21*0.00314)*((M21+450)/1000))*'Технический лист'!$K$5)*1.96</f>
        <v>5741.6006222400001</v>
      </c>
      <c r="N29" s="9">
        <f>((((N20*0.00314)*((N20+545)/1000))*'Технический лист'!$K$4)+370+((N21*0.00314)*((N21+450)/1000))*'Технический лист'!$K$5)*1.96</f>
        <v>6564.1799903781821</v>
      </c>
      <c r="O29" s="9">
        <f>((((O20*0.00314)*((O20+545)/1000))*'Технический лист'!$K$4)+370+((O21*0.00314)*((O21+450)/1000))*'Технический лист'!$K$5)*1.96</f>
        <v>6848.9641800872732</v>
      </c>
      <c r="P29" s="9">
        <f>((((P20*0.00314)*((P20+545)/1000))*'Технический лист'!$K$4)+370+((P21*0.00314)*((P21+450)/1000))*'Технический лист'!$K$5)*1.96</f>
        <v>7139.043903294546</v>
      </c>
      <c r="Q29" s="9">
        <f>((((Q20*0.00314)*((Q20+545)/1000))*'Технический лист'!$K$4)+370+((Q21*0.00314)*((Q21+450)/1000))*'Технический лист'!$K$5)*1.96</f>
        <v>7434.4191599999995</v>
      </c>
      <c r="R29" s="9">
        <f>((((R20*0.00314)*((R20+545)/1000))*'Технический лист'!$K$4)+370+((R21*0.00314)*((R21+450)/1000))*'Технический лист'!$K$5)*1.96</f>
        <v>7735.0899502036364</v>
      </c>
      <c r="S29" s="9">
        <f>((((S20*0.00314)*((S20+545)/1000))*'Технический лист'!$K$4)+370+((S21*0.00314)*((S21+450)/1000))*'Технический лист'!$K$5)*1.96</f>
        <v>8041.0562739054549</v>
      </c>
    </row>
    <row r="30" spans="1:19" ht="3.75" hidden="1" customHeight="1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>
      <c r="A31" s="4" t="s">
        <v>119</v>
      </c>
      <c r="B31" s="16">
        <v>2100</v>
      </c>
      <c r="C31" s="16">
        <v>2100</v>
      </c>
      <c r="D31" s="16">
        <v>2100</v>
      </c>
      <c r="E31" s="16">
        <v>2100</v>
      </c>
      <c r="F31" s="16">
        <v>2100</v>
      </c>
      <c r="G31" s="16">
        <v>2100</v>
      </c>
      <c r="H31" s="16">
        <v>2100</v>
      </c>
      <c r="I31" s="16">
        <v>2100</v>
      </c>
      <c r="J31" s="16">
        <v>2100</v>
      </c>
      <c r="K31" s="16">
        <v>2100</v>
      </c>
      <c r="L31" s="16">
        <v>2100</v>
      </c>
      <c r="M31" s="16">
        <v>2100</v>
      </c>
      <c r="N31" s="16">
        <v>2100</v>
      </c>
      <c r="O31" s="16">
        <v>2100</v>
      </c>
      <c r="P31" s="16">
        <v>2100</v>
      </c>
      <c r="Q31" s="16">
        <v>2100</v>
      </c>
      <c r="R31" s="16">
        <v>2100</v>
      </c>
      <c r="S31" s="16">
        <v>2100</v>
      </c>
    </row>
  </sheetData>
  <mergeCells count="6">
    <mergeCell ref="A19:N19"/>
    <mergeCell ref="A1:C1"/>
    <mergeCell ref="D1:O1"/>
    <mergeCell ref="D2:O2"/>
    <mergeCell ref="D3:O3"/>
    <mergeCell ref="A5:O5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18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31"/>
  <sheetViews>
    <sheetView zoomScale="80" zoomScaleNormal="80" workbookViewId="0">
      <selection activeCell="R28" sqref="R28"/>
    </sheetView>
  </sheetViews>
  <sheetFormatPr defaultRowHeight="14.4"/>
  <cols>
    <col min="1" max="1" width="26.6640625" customWidth="1"/>
    <col min="2" max="19" width="6.33203125" customWidth="1"/>
  </cols>
  <sheetData>
    <row r="1" spans="1:19" ht="45" customHeight="1">
      <c r="A1" s="32"/>
      <c r="B1" s="32"/>
      <c r="C1" s="32"/>
      <c r="D1" s="40" t="s">
        <v>94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1"/>
      <c r="Q1" s="1"/>
    </row>
    <row r="2" spans="1:19" ht="15" customHeight="1">
      <c r="D2" s="34" t="s">
        <v>95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1"/>
    </row>
    <row r="3" spans="1:19" ht="15" customHeight="1">
      <c r="D3" s="34" t="s">
        <v>112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9" ht="2.25" customHeight="1"/>
    <row r="5" spans="1:19">
      <c r="A5" s="41" t="s">
        <v>43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1:19">
      <c r="A6" s="3" t="s">
        <v>0</v>
      </c>
      <c r="B6" s="10">
        <v>100</v>
      </c>
      <c r="C6" s="10">
        <v>110</v>
      </c>
      <c r="D6" s="10">
        <v>115</v>
      </c>
      <c r="E6" s="10">
        <v>120</v>
      </c>
      <c r="F6" s="10">
        <v>125</v>
      </c>
      <c r="G6" s="10">
        <v>130</v>
      </c>
      <c r="H6" s="10">
        <v>140</v>
      </c>
      <c r="I6" s="10">
        <v>150</v>
      </c>
      <c r="J6" s="10">
        <v>160</v>
      </c>
      <c r="K6" s="10">
        <v>180</v>
      </c>
      <c r="L6" s="10">
        <v>200</v>
      </c>
      <c r="M6" s="10">
        <v>220</v>
      </c>
      <c r="N6" s="10">
        <v>250</v>
      </c>
      <c r="O6" s="10">
        <v>260</v>
      </c>
      <c r="P6" s="10">
        <v>270</v>
      </c>
      <c r="Q6" s="10">
        <v>280</v>
      </c>
      <c r="R6" s="10">
        <v>290</v>
      </c>
      <c r="S6" s="10">
        <v>300</v>
      </c>
    </row>
    <row r="7" spans="1:19">
      <c r="A7" s="3" t="s">
        <v>1</v>
      </c>
      <c r="B7" s="10">
        <f>B6+70</f>
        <v>170</v>
      </c>
      <c r="C7" s="10">
        <f t="shared" ref="C7:N7" si="0">C6+70</f>
        <v>180</v>
      </c>
      <c r="D7" s="10">
        <f t="shared" si="0"/>
        <v>185</v>
      </c>
      <c r="E7" s="10">
        <f t="shared" si="0"/>
        <v>190</v>
      </c>
      <c r="F7" s="10">
        <f t="shared" si="0"/>
        <v>195</v>
      </c>
      <c r="G7" s="10">
        <f t="shared" si="0"/>
        <v>200</v>
      </c>
      <c r="H7" s="10">
        <f t="shared" si="0"/>
        <v>210</v>
      </c>
      <c r="I7" s="10">
        <f t="shared" si="0"/>
        <v>220</v>
      </c>
      <c r="J7" s="10">
        <f t="shared" si="0"/>
        <v>230</v>
      </c>
      <c r="K7" s="10">
        <f t="shared" si="0"/>
        <v>250</v>
      </c>
      <c r="L7" s="10">
        <f t="shared" si="0"/>
        <v>270</v>
      </c>
      <c r="M7" s="10">
        <f t="shared" si="0"/>
        <v>290</v>
      </c>
      <c r="N7" s="10">
        <f t="shared" si="0"/>
        <v>320</v>
      </c>
      <c r="O7" s="10">
        <f t="shared" ref="O7:S7" si="1">O6+70</f>
        <v>330</v>
      </c>
      <c r="P7" s="10">
        <f t="shared" si="1"/>
        <v>340</v>
      </c>
      <c r="Q7" s="10">
        <f t="shared" si="1"/>
        <v>350</v>
      </c>
      <c r="R7" s="10">
        <f t="shared" si="1"/>
        <v>360</v>
      </c>
      <c r="S7" s="10">
        <f t="shared" si="1"/>
        <v>370</v>
      </c>
    </row>
    <row r="8" spans="1:19">
      <c r="A8" s="4" t="s">
        <v>4</v>
      </c>
      <c r="B8" s="16">
        <f>(((B6*0.00314)*'Технический лист'!$G$7)+310+((B7*0.00314)*'Технический лист'!$G$11))*1.95</f>
        <v>1820.79313</v>
      </c>
      <c r="C8" s="16">
        <f>(((C6*0.00314)*'Технический лист'!$G$7)+310+((C7*0.00314)*'Технический лист'!$G$11))*1.95</f>
        <v>1927.2639359999998</v>
      </c>
      <c r="D8" s="16">
        <f>(((D6*0.00314)*'Технический лист'!$G$7)+310+((D7*0.00314)*'Технический лист'!$G$11))*1.95</f>
        <v>1980.499339</v>
      </c>
      <c r="E8" s="16">
        <f>(((E6*0.00314)*'Технический лист'!$G$7)+310+((E7*0.00314)*'Технический лист'!$G$11))*1.95</f>
        <v>2033.7347420000001</v>
      </c>
      <c r="F8" s="16">
        <f>(((F6*0.00314)*'Технический лист'!$G$7)+310+((F7*0.00314)*'Технический лист'!$G$11))*1.95</f>
        <v>2086.9701449999998</v>
      </c>
      <c r="G8" s="16">
        <f>(((G6*0.00314)*'Технический лист'!$G$7)+310+((G7*0.00314)*'Технический лист'!$G$11))*1.95</f>
        <v>2140.2055479999999</v>
      </c>
      <c r="H8" s="16">
        <f>(((H6*0.00314)*'Технический лист'!$G$7)+310+((H7*0.00314)*'Технический лист'!$G$11))*1.95</f>
        <v>2246.6763540000002</v>
      </c>
      <c r="I8" s="16">
        <f>(((I6*0.00314)*'Технический лист'!$G$7)+310+((I7*0.00314)*'Технический лист'!$G$11))*1.95</f>
        <v>2353.14716</v>
      </c>
      <c r="J8" s="16">
        <f>(((J6*0.00314)*'Технический лист'!$G$7)+310+((J7*0.00314)*'Технический лист'!$G$11))*1.95</f>
        <v>2459.6179660000003</v>
      </c>
      <c r="K8" s="16">
        <f>(((K6*0.00314)*'Технический лист'!$G$7)+310+((K7*0.00314)*'Технический лист'!$G$11))*1.95</f>
        <v>2672.5595780000003</v>
      </c>
      <c r="L8" s="16">
        <f>(((L6*0.00314)*'Технический лист'!$G$7)+310+((L7*0.00314)*'Технический лист'!$G$11))*1.95</f>
        <v>2885.50119</v>
      </c>
      <c r="M8" s="16">
        <f>(((M6*0.00314)*'Технический лист'!$G$7)+310+((M7*0.00314)*'Технический лист'!$G$11))*1.95</f>
        <v>3098.442802</v>
      </c>
      <c r="N8" s="16">
        <f>(((N6*0.00314)*'Технический лист'!$G$7)+310+((N7*0.00314)*'Технический лист'!$G$11))*1.95</f>
        <v>3417.8552199999995</v>
      </c>
      <c r="O8" s="16">
        <f>(((O6*0.00314)*'Технический лист'!$G$7)+310+((O7*0.00314)*'Технический лист'!$G$11))*1.95</f>
        <v>3524.3260260000002</v>
      </c>
      <c r="P8" s="16">
        <f>(((P6*0.00314)*'Технический лист'!$G$7)+310+((P7*0.00314)*'Технический лист'!$G$11))*1.95</f>
        <v>3630.7968319999995</v>
      </c>
      <c r="Q8" s="16">
        <f>(((Q6*0.00314)*'Технический лист'!$G$7)+310+((Q7*0.00314)*'Технический лист'!$G$11))*1.95</f>
        <v>3737.2676380000003</v>
      </c>
      <c r="R8" s="16">
        <f>(((R6*0.00314)*'Технический лист'!$G$7)+310+((R7*0.00314)*'Технический лист'!$G$11))*1.95</f>
        <v>3843.7384439999996</v>
      </c>
      <c r="S8" s="16">
        <f>(((S6*0.00314)*'Технический лист'!$G$7)+310+((S7*0.00314)*'Технический лист'!$G$11))*1.95</f>
        <v>3950.2092500000003</v>
      </c>
    </row>
    <row r="9" spans="1:19">
      <c r="A9" s="4" t="s">
        <v>3</v>
      </c>
      <c r="B9" s="9">
        <f>((B8/2)*1.07)-10</f>
        <v>964.1243245500001</v>
      </c>
      <c r="C9" s="9">
        <f t="shared" ref="C9:N9" si="2">((C8/2)*1.07)-10</f>
        <v>1021.08620576</v>
      </c>
      <c r="D9" s="9">
        <f t="shared" si="2"/>
        <v>1049.5671463650001</v>
      </c>
      <c r="E9" s="9">
        <f t="shared" si="2"/>
        <v>1078.0480869700002</v>
      </c>
      <c r="F9" s="9">
        <f t="shared" si="2"/>
        <v>1106.5290275749999</v>
      </c>
      <c r="G9" s="9">
        <f t="shared" si="2"/>
        <v>1135.00996818</v>
      </c>
      <c r="H9" s="9">
        <f t="shared" si="2"/>
        <v>1191.9718493900002</v>
      </c>
      <c r="I9" s="9">
        <f t="shared" si="2"/>
        <v>1248.9337306</v>
      </c>
      <c r="J9" s="9">
        <f t="shared" si="2"/>
        <v>1305.8956118100002</v>
      </c>
      <c r="K9" s="9">
        <f t="shared" si="2"/>
        <v>1419.8193742300002</v>
      </c>
      <c r="L9" s="9">
        <f t="shared" si="2"/>
        <v>1533.74313665</v>
      </c>
      <c r="M9" s="9">
        <f t="shared" si="2"/>
        <v>1647.66689907</v>
      </c>
      <c r="N9" s="9">
        <f t="shared" si="2"/>
        <v>1818.5525426999998</v>
      </c>
      <c r="O9" s="9">
        <f t="shared" ref="O9:S9" si="3">((O8/2)*1.07)-10</f>
        <v>1875.5144239100002</v>
      </c>
      <c r="P9" s="9">
        <f t="shared" si="3"/>
        <v>1932.4763051199998</v>
      </c>
      <c r="Q9" s="9">
        <f t="shared" si="3"/>
        <v>1989.4381863300002</v>
      </c>
      <c r="R9" s="9">
        <f t="shared" si="3"/>
        <v>2046.4000675399998</v>
      </c>
      <c r="S9" s="9">
        <f t="shared" si="3"/>
        <v>2103.3619487500005</v>
      </c>
    </row>
    <row r="10" spans="1:19">
      <c r="A10" s="4" t="s">
        <v>5</v>
      </c>
      <c r="B10" s="16">
        <f>((((B6*0.00314)*0.5)*'Технический лист'!$I$7)+310+(((B7*0.00314)*0.5)*'Технический лист'!$I$11))*1.95</f>
        <v>1586.9149399999999</v>
      </c>
      <c r="C10" s="16">
        <f>((((C6*0.00314)*0.5)*'Технический лист'!$I$7)+310+(((C7*0.00314)*0.5)*'Технический лист'!$I$11))*1.95</f>
        <v>1670.6122679999999</v>
      </c>
      <c r="D10" s="16">
        <f>((((D6*0.00314)*0.5)*'Технический лист'!$I$7)+310+(((D7*0.00314)*0.5)*'Технический лист'!$I$11))*1.95</f>
        <v>1712.4609319999997</v>
      </c>
      <c r="E10" s="16">
        <f>((((E6*0.00314)*0.5)*'Технический лист'!$I$7)+310+(((E7*0.00314)*0.5)*'Технический лист'!$I$11))*1.95</f>
        <v>1754.3095959999998</v>
      </c>
      <c r="F10" s="16">
        <f>((((F6*0.00314)*0.5)*'Технический лист'!$I$7)+310+(((F7*0.00314)*0.5)*'Технический лист'!$I$11))*1.95</f>
        <v>1796.1582599999997</v>
      </c>
      <c r="G10" s="16">
        <f>((((G6*0.00314)*0.5)*'Технический лист'!$I$7)+310+(((G7*0.00314)*0.5)*'Технический лист'!$I$11))*1.95</f>
        <v>1838.0069239999998</v>
      </c>
      <c r="H10" s="16">
        <f>((((H6*0.00314)*0.5)*'Технический лист'!$I$7)+310+(((H7*0.00314)*0.5)*'Технический лист'!$I$11))*1.95</f>
        <v>1921.7042519999998</v>
      </c>
      <c r="I10" s="16">
        <f>((((I6*0.00314)*0.5)*'Технический лист'!$I$7)+310+(((I7*0.00314)*0.5)*'Технический лист'!$I$11))*1.95</f>
        <v>2005.4015799999997</v>
      </c>
      <c r="J10" s="16">
        <f>((((J6*0.00314)*0.5)*'Технический лист'!$I$7)+310+(((J7*0.00314)*0.5)*'Технический лист'!$I$11))*1.95</f>
        <v>2089.0989079999999</v>
      </c>
      <c r="K10" s="16">
        <f>((((K6*0.00314)*0.5)*'Технический лист'!$I$7)+310+(((K7*0.00314)*0.5)*'Технический лист'!$I$11))*1.95</f>
        <v>2256.4935639999999</v>
      </c>
      <c r="L10" s="16">
        <f>((((L6*0.00314)*0.5)*'Технический лист'!$I$7)+310+(((L7*0.00314)*0.5)*'Технический лист'!$I$11))*1.95</f>
        <v>2423.8882199999998</v>
      </c>
      <c r="M10" s="16">
        <f>((((M6*0.00314)*0.5)*'Технический лист'!$I$7)+310+(((M7*0.00314)*0.5)*'Технический лист'!$I$11))*1.95</f>
        <v>2591.2828759999998</v>
      </c>
      <c r="N10" s="16">
        <f>((((N6*0.00314)*0.5)*'Технический лист'!$I$7)+310+(((N7*0.00314)*0.5)*'Технический лист'!$I$11))*1.95</f>
        <v>2842.3748599999994</v>
      </c>
      <c r="O10" s="16">
        <f>((((O6*0.00314)*0.5)*'Технический лист'!$I$7)+310+(((O7*0.00314)*0.5)*'Технический лист'!$I$11))*1.95</f>
        <v>2926.0721879999996</v>
      </c>
      <c r="P10" s="16">
        <f>((((P6*0.00314)*0.5)*'Технический лист'!$I$7)+310+(((P7*0.00314)*0.5)*'Технический лист'!$I$11))*1.95</f>
        <v>3009.7695159999994</v>
      </c>
      <c r="Q10" s="16">
        <f>((((Q6*0.00314)*0.5)*'Технический лист'!$I$7)+310+(((Q7*0.00314)*0.5)*'Технический лист'!$I$11))*1.95</f>
        <v>3093.4668439999996</v>
      </c>
      <c r="R10" s="16">
        <f>((((R6*0.00314)*0.5)*'Технический лист'!$I$7)+310+(((R7*0.00314)*0.5)*'Технический лист'!$I$11))*1.95</f>
        <v>3177.1641719999998</v>
      </c>
      <c r="S10" s="16">
        <f>((((S6*0.00314)*0.5)*'Технический лист'!$I$7)+310+(((S7*0.00314)*0.5)*'Технический лист'!$I$11))*1.95</f>
        <v>3260.8614999999995</v>
      </c>
    </row>
    <row r="11" spans="1:19">
      <c r="A11" s="4" t="s">
        <v>96</v>
      </c>
      <c r="B11" s="9">
        <f>((B10*2)/3)-6</f>
        <v>1051.9432933333333</v>
      </c>
      <c r="C11" s="9">
        <f t="shared" ref="C11:N11" si="4">((C10*2)/3)-6</f>
        <v>1107.7415119999998</v>
      </c>
      <c r="D11" s="9">
        <f t="shared" si="4"/>
        <v>1135.6406213333332</v>
      </c>
      <c r="E11" s="9">
        <f t="shared" si="4"/>
        <v>1163.5397306666666</v>
      </c>
      <c r="F11" s="9">
        <f t="shared" si="4"/>
        <v>1191.4388399999998</v>
      </c>
      <c r="G11" s="9">
        <f t="shared" si="4"/>
        <v>1219.3379493333332</v>
      </c>
      <c r="H11" s="9">
        <f t="shared" si="4"/>
        <v>1275.1361679999998</v>
      </c>
      <c r="I11" s="9">
        <f t="shared" si="4"/>
        <v>1330.9343866666666</v>
      </c>
      <c r="J11" s="9">
        <f t="shared" si="4"/>
        <v>1386.7326053333334</v>
      </c>
      <c r="K11" s="9">
        <f t="shared" si="4"/>
        <v>1498.3290426666665</v>
      </c>
      <c r="L11" s="9">
        <f t="shared" si="4"/>
        <v>1609.9254799999999</v>
      </c>
      <c r="M11" s="9">
        <f t="shared" si="4"/>
        <v>1721.5219173333332</v>
      </c>
      <c r="N11" s="9">
        <f t="shared" si="4"/>
        <v>1888.916573333333</v>
      </c>
      <c r="O11" s="9">
        <f t="shared" ref="O11:S11" si="5">((O10*2)/3)-6</f>
        <v>1944.7147919999998</v>
      </c>
      <c r="P11" s="9">
        <f t="shared" si="5"/>
        <v>2000.5130106666663</v>
      </c>
      <c r="Q11" s="9">
        <f t="shared" si="5"/>
        <v>2056.3112293333329</v>
      </c>
      <c r="R11" s="9">
        <f t="shared" si="5"/>
        <v>2112.1094479999997</v>
      </c>
      <c r="S11" s="9">
        <f t="shared" si="5"/>
        <v>2167.9076666666665</v>
      </c>
    </row>
    <row r="12" spans="1:19">
      <c r="A12" s="4" t="s">
        <v>6</v>
      </c>
      <c r="B12" s="16">
        <f>((((B6*0.00314)*0.22)*'Технический лист'!$M$7)+100+(((B7*0.00314)*0.21)*'Технический лист'!$O$11)+(((B6+30)*(B6+30)/1000000)*'Технический лист'!$E$20))*1.96</f>
        <v>901.98022431999993</v>
      </c>
      <c r="C12" s="16">
        <f>((((C6*0.00314)*0.22)*'Технический лист'!$M$7)+100+(((C7*0.00314)*0.21)*'Технический лист'!$O$11)+(((C6+30)*(C6+30)/1000000)*'Технический лист'!$E$20))*1.96</f>
        <v>970.73798393599998</v>
      </c>
      <c r="D12" s="16">
        <f>((((D6*0.00314)*0.22)*'Технический лист'!$M$7)+100+(((D7*0.00314)*0.21)*'Технический лист'!$O$11)+(((D6+30)*(D6+30)/1000000)*'Технический лист'!$E$20))*1.96</f>
        <v>1005.704863744</v>
      </c>
      <c r="E12" s="16">
        <f>((((E6*0.00314)*0.22)*'Технический лист'!$M$7)+100+(((E7*0.00314)*0.21)*'Технический лист'!$O$11)+(((E6+30)*(E6+30)/1000000)*'Технический лист'!$E$20))*1.96</f>
        <v>1041.0637435520002</v>
      </c>
      <c r="F12" s="16">
        <f>((((F6*0.00314)*0.22)*'Технический лист'!$M$7)+100+(((F7*0.00314)*0.21)*'Технический лист'!$O$11)+(((F6+30)*(F6+30)/1000000)*'Технический лист'!$E$20))*1.96</f>
        <v>1076.81462336</v>
      </c>
      <c r="G12" s="16">
        <f>((((G6*0.00314)*0.22)*'Технический лист'!$M$7)+100+(((G7*0.00314)*0.21)*'Технический лист'!$O$11)+(((G6+30)*(G6+30)/1000000)*'Технический лист'!$E$20))*1.96</f>
        <v>1112.9575031679999</v>
      </c>
      <c r="H12" s="16">
        <f>((((H6*0.00314)*0.22)*'Технический лист'!$M$7)+100+(((H7*0.00314)*0.21)*'Технический лист'!$O$11)+(((H6+30)*(H6+30)/1000000)*'Технический лист'!$E$20))*1.96</f>
        <v>1186.419262784</v>
      </c>
      <c r="I12" s="16">
        <f>((((I6*0.00314)*0.22)*'Технический лист'!$M$7)+100+(((I7*0.00314)*0.21)*'Технический лист'!$O$11)+(((I6+30)*(I6+30)/1000000)*'Технический лист'!$E$20))*1.96</f>
        <v>1261.4490223999999</v>
      </c>
      <c r="J12" s="16">
        <f>((((J6*0.00314)*0.22)*'Технический лист'!$M$7)+100+(((J7*0.00314)*0.21)*'Технический лист'!$O$11)+(((J6+30)*(J6+30)/1000000)*'Технический лист'!$E$20))*1.96</f>
        <v>1338.0467820159997</v>
      </c>
      <c r="K12" s="16">
        <f>((((K6*0.00314)*0.22)*'Технический лист'!$M$7)+100+(((K7*0.00314)*0.21)*'Технический лист'!$O$11)+(((K6+30)*(K6+30)/1000000)*'Технический лист'!$E$20))*1.96</f>
        <v>1495.9463012480001</v>
      </c>
      <c r="L12" s="16">
        <f>((((L6*0.00314)*0.22)*'Технический лист'!$M$7)+100+(((L7*0.00314)*0.21)*'Технический лист'!$O$11)+(((L6+30)*(L6+30)/1000000)*'Технический лист'!$E$20))*1.96</f>
        <v>1660.1178204800001</v>
      </c>
      <c r="M12" s="16">
        <f>((((M6*0.00314)*0.22)*'Технический лист'!$M$7)+100+(((M7*0.00314)*0.21)*'Технический лист'!$O$11)+(((M6+30)*(M6+30)/1000000)*'Технический лист'!$E$20))*1.96</f>
        <v>1830.5613397119998</v>
      </c>
      <c r="N12" s="16">
        <f>((((N6*0.00314)*0.22)*'Технический лист'!$M$7)+100+(((N7*0.00314)*0.21)*'Технический лист'!$O$11)+(((N6+30)*(N6+30)/1000000)*'Технический лист'!$E$20))*1.96</f>
        <v>2097.9866185600004</v>
      </c>
      <c r="O12" s="16">
        <f>((((O6*0.00314)*0.22)*'Технический лист'!$M$7)+100+(((O7*0.00314)*0.21)*'Технический лист'!$O$11)+(((O6+30)*(O6+30)/1000000)*'Технический лист'!$E$20))*1.96</f>
        <v>2190.2643781759998</v>
      </c>
      <c r="P12" s="16">
        <f>((((P6*0.00314)*0.22)*'Технический лист'!$M$7)+100+(((P7*0.00314)*0.21)*'Технический лист'!$O$11)+(((P6+30)*(P6+30)/1000000)*'Технический лист'!$E$20))*1.96</f>
        <v>2284.1101377919999</v>
      </c>
      <c r="Q12" s="16">
        <f>((((Q6*0.00314)*0.22)*'Технический лист'!$M$7)+100+(((Q7*0.00314)*0.21)*'Технический лист'!$O$11)+(((Q6+30)*(Q6+30)/1000000)*'Технический лист'!$E$20))*1.96</f>
        <v>2379.5238974079998</v>
      </c>
      <c r="R12" s="16">
        <f>((((R6*0.00314)*0.22)*'Технический лист'!$M$7)+100+(((R7*0.00314)*0.21)*'Технический лист'!$O$11)+(((R6+30)*(R6+30)/1000000)*'Технический лист'!$E$20))*1.96</f>
        <v>2476.5056570239999</v>
      </c>
      <c r="S12" s="16">
        <f>((((S6*0.00314)*0.22)*'Технический лист'!$M$7)+100+(((S7*0.00314)*0.21)*'Технический лист'!$O$11)+(((S6+30)*(S6+30)/1000000)*'Технический лист'!$E$20))*1.96</f>
        <v>2575.0554166399997</v>
      </c>
    </row>
    <row r="13" spans="1:19">
      <c r="A13" s="4" t="s">
        <v>7</v>
      </c>
      <c r="B13" s="9">
        <f>(B12*2.2)+24</f>
        <v>2008.3564935040001</v>
      </c>
      <c r="C13" s="9">
        <f t="shared" ref="C13:N13" si="6">(C12*2.2)+24</f>
        <v>2159.6235646591999</v>
      </c>
      <c r="D13" s="9">
        <f t="shared" si="6"/>
        <v>2236.5507002368004</v>
      </c>
      <c r="E13" s="9">
        <f t="shared" si="6"/>
        <v>2314.3402358144008</v>
      </c>
      <c r="F13" s="9">
        <f t="shared" si="6"/>
        <v>2392.9921713920003</v>
      </c>
      <c r="G13" s="9">
        <f t="shared" si="6"/>
        <v>2472.5065069696002</v>
      </c>
      <c r="H13" s="9">
        <f t="shared" si="6"/>
        <v>2634.1223781248004</v>
      </c>
      <c r="I13" s="9">
        <f t="shared" si="6"/>
        <v>2799.1878492800001</v>
      </c>
      <c r="J13" s="9">
        <f t="shared" si="6"/>
        <v>2967.7029204351998</v>
      </c>
      <c r="K13" s="9">
        <f t="shared" si="6"/>
        <v>3315.0818627456006</v>
      </c>
      <c r="L13" s="9">
        <f t="shared" si="6"/>
        <v>3676.2592050560006</v>
      </c>
      <c r="M13" s="9">
        <f t="shared" si="6"/>
        <v>4051.2349473663999</v>
      </c>
      <c r="N13" s="9">
        <f t="shared" si="6"/>
        <v>4639.5705608320013</v>
      </c>
      <c r="O13" s="9">
        <f t="shared" ref="O13:S13" si="7">(O12*2.2)+24</f>
        <v>4842.5816319872001</v>
      </c>
      <c r="P13" s="9">
        <f t="shared" si="7"/>
        <v>5049.0423031424007</v>
      </c>
      <c r="Q13" s="9">
        <f t="shared" si="7"/>
        <v>5258.9525742976002</v>
      </c>
      <c r="R13" s="9">
        <f t="shared" si="7"/>
        <v>5472.3124454528006</v>
      </c>
      <c r="S13" s="9">
        <f t="shared" si="7"/>
        <v>5689.121916608</v>
      </c>
    </row>
    <row r="14" spans="1:19">
      <c r="A14" s="4" t="s">
        <v>8</v>
      </c>
      <c r="B14" s="16">
        <f>((((B6*0.00314)*0.2)*'Технический лист'!$M$7)+50+(((B7*0.00314)*0.22)*'Технический лист'!$O$11))*1.96</f>
        <v>652.17992298666672</v>
      </c>
      <c r="C14" s="16">
        <f>((((C6*0.00314)*0.2)*'Технический лист'!$M$7)+50+(((C7*0.00314)*0.22)*'Технический лист'!$O$11))*1.96</f>
        <v>697.37455424000007</v>
      </c>
      <c r="D14" s="16">
        <f>((((D6*0.00314)*0.2)*'Технический лист'!$M$7)+50+(((D7*0.00314)*0.22)*'Технический лист'!$O$11))*1.96</f>
        <v>719.97186986666668</v>
      </c>
      <c r="E14" s="16">
        <f>((((E6*0.00314)*0.2)*'Технический лист'!$M$7)+50+(((E7*0.00314)*0.22)*'Технический лист'!$O$11))*1.96</f>
        <v>742.56918549333341</v>
      </c>
      <c r="F14" s="16">
        <f>((((F6*0.00314)*0.2)*'Технический лист'!$M$7)+50+(((F7*0.00314)*0.22)*'Технический лист'!$O$11))*1.96</f>
        <v>765.16650112000002</v>
      </c>
      <c r="G14" s="16">
        <f>((((G6*0.00314)*0.2)*'Технический лист'!$M$7)+50+(((G7*0.00314)*0.22)*'Технический лист'!$O$11))*1.96</f>
        <v>787.76381674666663</v>
      </c>
      <c r="H14" s="16">
        <f>((((H6*0.00314)*0.2)*'Технический лист'!$M$7)+50+(((H7*0.00314)*0.22)*'Технический лист'!$O$11))*1.96</f>
        <v>832.95844799999998</v>
      </c>
      <c r="I14" s="16">
        <f>((((I6*0.00314)*0.2)*'Технический лист'!$M$7)+50+(((I7*0.00314)*0.22)*'Технический лист'!$O$11))*1.96</f>
        <v>878.15307925333332</v>
      </c>
      <c r="J14" s="16">
        <f>((((J6*0.00314)*0.2)*'Технический лист'!$M$7)+50+(((J7*0.00314)*0.22)*'Технический лист'!$O$11))*1.96</f>
        <v>923.34771050666666</v>
      </c>
      <c r="K14" s="16">
        <f>((((K6*0.00314)*0.2)*'Технический лист'!$M$7)+50+(((K7*0.00314)*0.22)*'Технический лист'!$O$11))*1.96</f>
        <v>1013.7369730133335</v>
      </c>
      <c r="L14" s="16">
        <f>((((L6*0.00314)*0.2)*'Технический лист'!$M$7)+50+(((L7*0.00314)*0.22)*'Технический лист'!$O$11))*1.96</f>
        <v>1104.1262355199999</v>
      </c>
      <c r="M14" s="16">
        <f>((((M6*0.00314)*0.2)*'Технический лист'!$M$7)+50+(((M7*0.00314)*0.22)*'Технический лист'!$O$11))*1.96</f>
        <v>1194.5154980266666</v>
      </c>
      <c r="N14" s="16">
        <f>((((N6*0.00314)*0.2)*'Технический лист'!$M$7)+50+(((N7*0.00314)*0.22)*'Технический лист'!$O$11))*1.96</f>
        <v>1330.0993917866667</v>
      </c>
      <c r="O14" s="16">
        <f>((((O6*0.00314)*0.2)*'Технический лист'!$M$7)+50+(((O7*0.00314)*0.22)*'Технический лист'!$O$11))*1.96</f>
        <v>1375.2940230400002</v>
      </c>
      <c r="P14" s="16">
        <f>((((P6*0.00314)*0.2)*'Технический лист'!$M$7)+50+(((P7*0.00314)*0.22)*'Технический лист'!$O$11))*1.96</f>
        <v>1420.4886542933332</v>
      </c>
      <c r="Q14" s="16">
        <f>((((Q6*0.00314)*0.2)*'Технический лист'!$M$7)+50+(((Q7*0.00314)*0.22)*'Технический лист'!$O$11))*1.96</f>
        <v>1465.6832855466664</v>
      </c>
      <c r="R14" s="16">
        <f>((((R6*0.00314)*0.2)*'Технический лист'!$M$7)+50+(((R7*0.00314)*0.22)*'Технический лист'!$O$11))*1.96</f>
        <v>1510.8779168000001</v>
      </c>
      <c r="S14" s="16">
        <f>((((S6*0.00314)*0.2)*'Технический лист'!$M$7)+50+(((S7*0.00314)*0.22)*'Технический лист'!$O$11))*1.96</f>
        <v>1556.0725480533333</v>
      </c>
    </row>
    <row r="15" spans="1:19">
      <c r="A15" s="4" t="s">
        <v>9</v>
      </c>
      <c r="B15" s="9">
        <f>((((B6*0.00314)*((B6+545)/1000))*'Технический лист'!$K$7)+370+((B7*0.00314)*((B7+450)/1000))*'Технический лист'!$K$11)*1.96</f>
        <v>2052.7155682133334</v>
      </c>
      <c r="C15" s="9">
        <f>((((C6*0.00314)*((C6+545)/1000))*'Технический лист'!$K$7)+370+((C7*0.00314)*((C7+450)/1000))*'Технический лист'!$K$11)*1.96</f>
        <v>2189.9900346239997</v>
      </c>
      <c r="D15" s="9">
        <f>((((D6*0.00314)*((D6+545)/1000))*'Технический лист'!$K$7)+370+((D7*0.00314)*((D7+450)/1000))*'Технический лист'!$K$11)*1.96</f>
        <v>2259.9722504053329</v>
      </c>
      <c r="E15" s="9">
        <f>((((E6*0.00314)*((E6+545)/1000))*'Технический лист'!$K$7)+370+((E7*0.00314)*((E7+450)/1000))*'Технический лист'!$K$11)*1.96</f>
        <v>2330.8511212373328</v>
      </c>
      <c r="F15" s="9">
        <f>((((F6*0.00314)*((F6+545)/1000))*'Технический лист'!$K$7)+370+((F7*0.00314)*((F7+450)/1000))*'Технический лист'!$K$11)*1.96</f>
        <v>2402.6266471199997</v>
      </c>
      <c r="G15" s="9">
        <f>((((G6*0.00314)*((G6+545)/1000))*'Технический лист'!$K$7)+370+((G7*0.00314)*((G7+450)/1000))*'Технический лист'!$K$11)*1.96</f>
        <v>2475.2988280533336</v>
      </c>
      <c r="H15" s="9">
        <f>((((H6*0.00314)*((H6+545)/1000))*'Технический лист'!$K$7)+370+((H7*0.00314)*((H7+450)/1000))*'Технический лист'!$K$11)*1.96</f>
        <v>2623.333155072</v>
      </c>
      <c r="I15" s="9">
        <f>((((I6*0.00314)*((I6+545)/1000))*'Технический лист'!$K$7)+370+((I7*0.00314)*((I7+450)/1000))*'Технический лист'!$K$11)*1.96</f>
        <v>2774.9541022933331</v>
      </c>
      <c r="J15" s="9">
        <f>((((J6*0.00314)*((J6+545)/1000))*'Технический лист'!$K$7)+370+((J7*0.00314)*((J7+450)/1000))*'Технический лист'!$K$11)*1.96</f>
        <v>2930.1616697173331</v>
      </c>
      <c r="K15" s="9">
        <f>((((K6*0.00314)*((K6+545)/1000))*'Технический лист'!$K$7)+370+((K7*0.00314)*((K7+450)/1000))*'Технический лист'!$K$11)*1.96</f>
        <v>3251.3366651733331</v>
      </c>
      <c r="L15" s="9">
        <f>((((L6*0.00314)*((L6+545)/1000))*'Технический лист'!$K$7)+370+((L7*0.00314)*((L7+450)/1000))*'Технический лист'!$K$11)*1.96</f>
        <v>3586.8581414399996</v>
      </c>
      <c r="M15" s="9">
        <f>((((M6*0.00314)*((M6+545)/1000))*'Технический лист'!$K$7)+370+((M7*0.00314)*((M7+450)/1000))*'Технический лист'!$K$11)*1.96</f>
        <v>3936.7260985173334</v>
      </c>
      <c r="N15" s="9">
        <f>((((N6*0.00314)*((N6+545)/1000))*'Технический лист'!$K$7)+370+((N7*0.00314)*((N7+450)/1000))*'Технический лист'!$K$11)*1.96</f>
        <v>4488.4276856533324</v>
      </c>
      <c r="O15" s="9">
        <f>((((O6*0.00314)*((O6+545)/1000))*'Технический лист'!$K$7)+370+((O7*0.00314)*((O7+450)/1000))*'Технический лист'!$K$11)*1.96</f>
        <v>4679.5014551040003</v>
      </c>
      <c r="P15" s="9">
        <f>((((P6*0.00314)*((P6+545)/1000))*'Технический лист'!$K$7)+370+((P7*0.00314)*((P7+450)/1000))*'Технический лист'!$K$11)*1.96</f>
        <v>4874.1618447573328</v>
      </c>
      <c r="Q15" s="9">
        <f>((((Q6*0.00314)*((Q6+545)/1000))*'Технический лист'!$K$7)+370+((Q7*0.00314)*((Q7+450)/1000))*'Технический лист'!$K$11)*1.96</f>
        <v>5072.4088546133326</v>
      </c>
      <c r="R15" s="9">
        <f>((((R6*0.00314)*((R6+545)/1000))*'Технический лист'!$K$7)+370+((R7*0.00314)*((R7+450)/1000))*'Технический лист'!$K$11)*1.96</f>
        <v>5274.2424846719987</v>
      </c>
      <c r="S15" s="9">
        <f>((((S6*0.00314)*((S6+545)/1000))*'Технический лист'!$K$7)+370+((S7*0.00314)*((S7+450)/1000))*'Технический лист'!$K$11)*1.96</f>
        <v>5479.6627349333321</v>
      </c>
    </row>
    <row r="16" spans="1:19" ht="0.75" hidden="1" customHeight="1">
      <c r="A16" s="4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>
      <c r="A17" s="4" t="s">
        <v>118</v>
      </c>
      <c r="B17" s="16">
        <v>1800</v>
      </c>
      <c r="C17" s="16">
        <v>1800</v>
      </c>
      <c r="D17" s="16">
        <v>1800</v>
      </c>
      <c r="E17" s="16">
        <v>1800</v>
      </c>
      <c r="F17" s="16">
        <v>1800</v>
      </c>
      <c r="G17" s="16">
        <v>1800</v>
      </c>
      <c r="H17" s="16">
        <v>1800</v>
      </c>
      <c r="I17" s="16">
        <v>1800</v>
      </c>
      <c r="J17" s="16">
        <v>1800</v>
      </c>
      <c r="K17" s="16">
        <v>1800</v>
      </c>
      <c r="L17" s="16">
        <v>1800</v>
      </c>
      <c r="M17" s="16">
        <v>1800</v>
      </c>
      <c r="N17" s="16">
        <v>1800</v>
      </c>
      <c r="O17" s="16">
        <v>1800</v>
      </c>
      <c r="P17" s="16">
        <v>1800</v>
      </c>
      <c r="Q17" s="16">
        <v>1800</v>
      </c>
      <c r="R17" s="16">
        <v>1800</v>
      </c>
      <c r="S17" s="16">
        <v>1800</v>
      </c>
    </row>
    <row r="19" spans="1:19">
      <c r="A19" s="41" t="s">
        <v>44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19">
      <c r="A20" s="3" t="s">
        <v>0</v>
      </c>
      <c r="B20" s="10">
        <v>100</v>
      </c>
      <c r="C20" s="10">
        <v>110</v>
      </c>
      <c r="D20" s="10">
        <v>115</v>
      </c>
      <c r="E20" s="10">
        <v>120</v>
      </c>
      <c r="F20" s="10">
        <v>125</v>
      </c>
      <c r="G20" s="10">
        <v>130</v>
      </c>
      <c r="H20" s="10">
        <v>140</v>
      </c>
      <c r="I20" s="10">
        <v>150</v>
      </c>
      <c r="J20" s="10">
        <v>160</v>
      </c>
      <c r="K20" s="10">
        <v>180</v>
      </c>
      <c r="L20" s="10">
        <v>200</v>
      </c>
      <c r="M20" s="10">
        <v>220</v>
      </c>
      <c r="N20" s="10">
        <v>250</v>
      </c>
      <c r="O20" s="10">
        <v>260</v>
      </c>
      <c r="P20" s="10">
        <v>270</v>
      </c>
      <c r="Q20" s="10">
        <v>280</v>
      </c>
      <c r="R20" s="10">
        <v>290</v>
      </c>
      <c r="S20" s="10">
        <v>300</v>
      </c>
    </row>
    <row r="21" spans="1:19">
      <c r="A21" s="3" t="s">
        <v>1</v>
      </c>
      <c r="B21" s="10">
        <f>B20+70</f>
        <v>170</v>
      </c>
      <c r="C21" s="10">
        <f t="shared" ref="C21:N21" si="8">C20+70</f>
        <v>180</v>
      </c>
      <c r="D21" s="10">
        <f t="shared" si="8"/>
        <v>185</v>
      </c>
      <c r="E21" s="10">
        <f t="shared" si="8"/>
        <v>190</v>
      </c>
      <c r="F21" s="10">
        <f t="shared" si="8"/>
        <v>195</v>
      </c>
      <c r="G21" s="10">
        <f t="shared" si="8"/>
        <v>200</v>
      </c>
      <c r="H21" s="10">
        <f t="shared" si="8"/>
        <v>210</v>
      </c>
      <c r="I21" s="10">
        <f t="shared" si="8"/>
        <v>220</v>
      </c>
      <c r="J21" s="10">
        <f t="shared" si="8"/>
        <v>230</v>
      </c>
      <c r="K21" s="10">
        <f t="shared" si="8"/>
        <v>250</v>
      </c>
      <c r="L21" s="10">
        <f t="shared" si="8"/>
        <v>270</v>
      </c>
      <c r="M21" s="10">
        <f t="shared" si="8"/>
        <v>290</v>
      </c>
      <c r="N21" s="10">
        <f t="shared" si="8"/>
        <v>320</v>
      </c>
      <c r="O21" s="10">
        <f t="shared" ref="O21:S21" si="9">O20+70</f>
        <v>330</v>
      </c>
      <c r="P21" s="10">
        <f t="shared" si="9"/>
        <v>340</v>
      </c>
      <c r="Q21" s="10">
        <f t="shared" si="9"/>
        <v>350</v>
      </c>
      <c r="R21" s="10">
        <f t="shared" si="9"/>
        <v>360</v>
      </c>
      <c r="S21" s="10">
        <f t="shared" si="9"/>
        <v>370</v>
      </c>
    </row>
    <row r="22" spans="1:19">
      <c r="A22" s="4" t="s">
        <v>4</v>
      </c>
      <c r="B22" s="16">
        <f>(((B20*0.00314)*'Технический лист'!$G$7)+310+((B21*0.00314)*'Технический лист'!$G$5))*1.95</f>
        <v>2635.1317199999999</v>
      </c>
      <c r="C22" s="16">
        <f>(((C20*0.00314)*'Технический лист'!$G$7)+310+((C21*0.00314)*'Технический лист'!$G$5))*1.95</f>
        <v>2789.5047960000002</v>
      </c>
      <c r="D22" s="16">
        <f>(((D20*0.00314)*'Технический лист'!$G$7)+310+((D21*0.00314)*'Технический лист'!$G$5))*1.95</f>
        <v>2866.6913339999996</v>
      </c>
      <c r="E22" s="16">
        <f>(((E20*0.00314)*'Технический лист'!$G$7)+310+((E21*0.00314)*'Технический лист'!$G$5))*1.95</f>
        <v>2943.877872</v>
      </c>
      <c r="F22" s="16">
        <f>(((F20*0.00314)*'Технический лист'!$G$7)+310+((F21*0.00314)*'Технический лист'!$G$5))*1.95</f>
        <v>3021.06441</v>
      </c>
      <c r="G22" s="16">
        <f>(((G20*0.00314)*'Технический лист'!$G$7)+310+((G21*0.00314)*'Технический лист'!$G$5))*1.95</f>
        <v>3098.2509480000003</v>
      </c>
      <c r="H22" s="16">
        <f>(((H20*0.00314)*'Технический лист'!$G$7)+310+((H21*0.00314)*'Технический лист'!$G$5))*1.95</f>
        <v>3252.6240240000002</v>
      </c>
      <c r="I22" s="16">
        <f>(((I20*0.00314)*'Технический лист'!$G$7)+310+((I21*0.00314)*'Технический лист'!$G$5))*1.95</f>
        <v>3406.9970999999996</v>
      </c>
      <c r="J22" s="16">
        <f>(((J20*0.00314)*'Технический лист'!$G$7)+310+((J21*0.00314)*'Технический лист'!$G$5))*1.95</f>
        <v>3561.3701759999999</v>
      </c>
      <c r="K22" s="16">
        <f>(((K20*0.00314)*'Технический лист'!$G$7)+310+((K21*0.00314)*'Технический лист'!$G$5))*1.95</f>
        <v>3870.1163280000001</v>
      </c>
      <c r="L22" s="16">
        <f>(((L20*0.00314)*'Технический лист'!$G$7)+310+((L21*0.00314)*'Технический лист'!$G$5))*1.95</f>
        <v>4178.8624800000007</v>
      </c>
      <c r="M22" s="16">
        <f>(((M20*0.00314)*'Технический лист'!$G$7)+310+((M21*0.00314)*'Технический лист'!$G$5))*1.95</f>
        <v>4487.6086319999995</v>
      </c>
      <c r="N22" s="16">
        <f>(((N20*0.00314)*'Технический лист'!$G$7)+310+((N21*0.00314)*'Технический лист'!$G$5))*1.95</f>
        <v>4950.7278599999991</v>
      </c>
      <c r="O22" s="16">
        <f>(((O20*0.00314)*'Технический лист'!$G$7)+310+((O21*0.00314)*'Технический лист'!$G$5))*1.95</f>
        <v>5105.1009359999998</v>
      </c>
      <c r="P22" s="16">
        <f>(((P20*0.00314)*'Технический лист'!$G$7)+310+((P21*0.00314)*'Технический лист'!$G$5))*1.95</f>
        <v>5259.4740120000006</v>
      </c>
      <c r="Q22" s="16">
        <f>(((Q20*0.00314)*'Технический лист'!$G$7)+310+((Q21*0.00314)*'Технический лист'!$G$5))*1.95</f>
        <v>5413.8470879999995</v>
      </c>
      <c r="R22" s="16">
        <f>(((R20*0.00314)*'Технический лист'!$G$7)+310+((R21*0.00314)*'Технический лист'!$G$5))*1.95</f>
        <v>5568.2201639999994</v>
      </c>
      <c r="S22" s="16">
        <f>(((S20*0.00314)*'Технический лист'!$G$7)+310+((S21*0.00314)*'Технический лист'!$G$5))*1.95</f>
        <v>5722.5932400000002</v>
      </c>
    </row>
    <row r="23" spans="1:19">
      <c r="A23" s="4" t="s">
        <v>3</v>
      </c>
      <c r="B23" s="9">
        <f>((B22/2)*1.07)-10</f>
        <v>1399.7954702</v>
      </c>
      <c r="C23" s="9">
        <f t="shared" ref="C23:N23" si="10">((C22/2)*1.07)-10</f>
        <v>1482.3850658600002</v>
      </c>
      <c r="D23" s="9">
        <f t="shared" si="10"/>
        <v>1523.6798636899998</v>
      </c>
      <c r="E23" s="9">
        <f t="shared" si="10"/>
        <v>1564.9746615200002</v>
      </c>
      <c r="F23" s="9">
        <f t="shared" si="10"/>
        <v>1606.26945935</v>
      </c>
      <c r="G23" s="9">
        <f t="shared" si="10"/>
        <v>1647.5642571800004</v>
      </c>
      <c r="H23" s="9">
        <f t="shared" si="10"/>
        <v>1730.1538528400001</v>
      </c>
      <c r="I23" s="9">
        <f t="shared" si="10"/>
        <v>1812.7434484999999</v>
      </c>
      <c r="J23" s="9">
        <f t="shared" si="10"/>
        <v>1895.3330441600001</v>
      </c>
      <c r="K23" s="9">
        <f t="shared" si="10"/>
        <v>2060.5122354800001</v>
      </c>
      <c r="L23" s="9">
        <f t="shared" si="10"/>
        <v>2225.6914268000005</v>
      </c>
      <c r="M23" s="9">
        <f t="shared" si="10"/>
        <v>2390.87061812</v>
      </c>
      <c r="N23" s="9">
        <f t="shared" si="10"/>
        <v>2638.6394050999997</v>
      </c>
      <c r="O23" s="9">
        <f t="shared" ref="O23:S23" si="11">((O22/2)*1.07)-10</f>
        <v>2721.22900076</v>
      </c>
      <c r="P23" s="9">
        <f t="shared" si="11"/>
        <v>2803.8185964200006</v>
      </c>
      <c r="Q23" s="9">
        <f t="shared" si="11"/>
        <v>2886.4081920799999</v>
      </c>
      <c r="R23" s="9">
        <f t="shared" si="11"/>
        <v>2968.9977877399997</v>
      </c>
      <c r="S23" s="9">
        <f t="shared" si="11"/>
        <v>3051.5873834000004</v>
      </c>
    </row>
    <row r="24" spans="1:19">
      <c r="A24" s="4" t="s">
        <v>5</v>
      </c>
      <c r="B24" s="16">
        <f>((((B20*0.00314)*0.5)*'Технический лист'!$I$7)+310+(((B21*0.00314)*0.5)*'Технический лист'!$I$5))*1.95</f>
        <v>2163.2321099999999</v>
      </c>
      <c r="C24" s="16">
        <f>((((C20*0.00314)*0.5)*'Технический лист'!$I$7)+310+(((C21*0.00314)*0.5)*'Технический лист'!$I$5))*1.95</f>
        <v>2280.8304479999997</v>
      </c>
      <c r="D24" s="16">
        <f>((((D20*0.00314)*0.5)*'Технический лист'!$I$7)+310+(((D21*0.00314)*0.5)*'Технический лист'!$I$5))*1.95</f>
        <v>2339.6296169999996</v>
      </c>
      <c r="E24" s="16">
        <f>((((E20*0.00314)*0.5)*'Технический лист'!$I$7)+310+(((E21*0.00314)*0.5)*'Технический лист'!$I$5))*1.95</f>
        <v>2398.4287859999999</v>
      </c>
      <c r="F24" s="16">
        <f>((((F20*0.00314)*0.5)*'Технический лист'!$I$7)+310+(((F21*0.00314)*0.5)*'Технический лист'!$I$5))*1.95</f>
        <v>2457.2279549999998</v>
      </c>
      <c r="G24" s="16">
        <f>((((G20*0.00314)*0.5)*'Технический лист'!$I$7)+310+(((G21*0.00314)*0.5)*'Технический лист'!$I$5))*1.95</f>
        <v>2516.0271240000002</v>
      </c>
      <c r="H24" s="16">
        <f>((((H20*0.00314)*0.5)*'Технический лист'!$I$7)+310+(((H21*0.00314)*0.5)*'Технический лист'!$I$5))*1.95</f>
        <v>2633.6254619999995</v>
      </c>
      <c r="I24" s="16">
        <f>((((I20*0.00314)*0.5)*'Технический лист'!$I$7)+310+(((I21*0.00314)*0.5)*'Технический лист'!$I$5))*1.95</f>
        <v>2751.2237999999998</v>
      </c>
      <c r="J24" s="16">
        <f>((((J20*0.00314)*0.5)*'Технический лист'!$I$7)+310+(((J21*0.00314)*0.5)*'Технический лист'!$I$5))*1.95</f>
        <v>2868.8221379999995</v>
      </c>
      <c r="K24" s="16">
        <f>((((K20*0.00314)*0.5)*'Технический лист'!$I$7)+310+(((K21*0.00314)*0.5)*'Технический лист'!$I$5))*1.95</f>
        <v>3104.018814</v>
      </c>
      <c r="L24" s="16">
        <f>((((L20*0.00314)*0.5)*'Технический лист'!$I$7)+310+(((L21*0.00314)*0.5)*'Технический лист'!$I$5))*1.95</f>
        <v>3339.21549</v>
      </c>
      <c r="M24" s="16">
        <f>((((M20*0.00314)*0.5)*'Технический лист'!$I$7)+310+(((M21*0.00314)*0.5)*'Технический лист'!$I$5))*1.95</f>
        <v>3574.4121660000001</v>
      </c>
      <c r="N24" s="16">
        <f>((((N20*0.00314)*0.5)*'Технический лист'!$I$7)+310+(((N21*0.00314)*0.5)*'Технический лист'!$I$5))*1.95</f>
        <v>3927.2071799999999</v>
      </c>
      <c r="O24" s="16">
        <f>((((O20*0.00314)*0.5)*'Технический лист'!$I$7)+310+(((O21*0.00314)*0.5)*'Технический лист'!$I$5))*1.95</f>
        <v>4044.8055179999997</v>
      </c>
      <c r="P24" s="16">
        <f>((((P20*0.00314)*0.5)*'Технический лист'!$I$7)+310+(((P21*0.00314)*0.5)*'Технический лист'!$I$5))*1.95</f>
        <v>4162.4038559999999</v>
      </c>
      <c r="Q24" s="16">
        <f>((((Q20*0.00314)*0.5)*'Технический лист'!$I$7)+310+(((Q21*0.00314)*0.5)*'Технический лист'!$I$5))*1.95</f>
        <v>4280.0021939999997</v>
      </c>
      <c r="R24" s="16">
        <f>((((R20*0.00314)*0.5)*'Технический лист'!$I$7)+310+(((R21*0.00314)*0.5)*'Технический лист'!$I$5))*1.95</f>
        <v>4397.6005319999995</v>
      </c>
      <c r="S24" s="16">
        <f>((((S20*0.00314)*0.5)*'Технический лист'!$I$7)+310+(((S21*0.00314)*0.5)*'Технический лист'!$I$5))*1.95</f>
        <v>4515.1988699999993</v>
      </c>
    </row>
    <row r="25" spans="1:19">
      <c r="A25" s="4" t="s">
        <v>96</v>
      </c>
      <c r="B25" s="9">
        <f>((B24*2)/3)-6</f>
        <v>1436.1547399999999</v>
      </c>
      <c r="C25" s="9">
        <f t="shared" ref="C25:N25" si="12">((C24*2)/3)-6</f>
        <v>1514.5536319999999</v>
      </c>
      <c r="D25" s="9">
        <f t="shared" si="12"/>
        <v>1553.7530779999997</v>
      </c>
      <c r="E25" s="9">
        <f t="shared" si="12"/>
        <v>1592.952524</v>
      </c>
      <c r="F25" s="9">
        <f t="shared" si="12"/>
        <v>1632.1519699999999</v>
      </c>
      <c r="G25" s="9">
        <f t="shared" si="12"/>
        <v>1671.3514160000002</v>
      </c>
      <c r="H25" s="9">
        <f t="shared" si="12"/>
        <v>1749.7503079999997</v>
      </c>
      <c r="I25" s="9">
        <f t="shared" si="12"/>
        <v>1828.1491999999998</v>
      </c>
      <c r="J25" s="9">
        <f t="shared" si="12"/>
        <v>1906.5480919999998</v>
      </c>
      <c r="K25" s="9">
        <f t="shared" si="12"/>
        <v>2063.3458759999999</v>
      </c>
      <c r="L25" s="9">
        <f t="shared" si="12"/>
        <v>2220.1436600000002</v>
      </c>
      <c r="M25" s="9">
        <f t="shared" si="12"/>
        <v>2376.941444</v>
      </c>
      <c r="N25" s="9">
        <f t="shared" si="12"/>
        <v>2612.1381200000001</v>
      </c>
      <c r="O25" s="9">
        <f t="shared" ref="O25:S25" si="13">((O24*2)/3)-6</f>
        <v>2690.5370119999998</v>
      </c>
      <c r="P25" s="9">
        <f t="shared" si="13"/>
        <v>2768.9359039999999</v>
      </c>
      <c r="Q25" s="9">
        <f t="shared" si="13"/>
        <v>2847.3347959999996</v>
      </c>
      <c r="R25" s="9">
        <f t="shared" si="13"/>
        <v>2925.7336879999998</v>
      </c>
      <c r="S25" s="9">
        <f t="shared" si="13"/>
        <v>3004.1325799999995</v>
      </c>
    </row>
    <row r="26" spans="1:19">
      <c r="A26" s="4" t="s">
        <v>6</v>
      </c>
      <c r="B26" s="16">
        <f>((((B20*0.00314)*0.22)*'Технический лист'!$M$7)+100+(((B21*0.00314)*0.21)*'Технический лист'!$O$5)+(((B20+30)*(B20+30)/1000000)*'Технический лист'!$E$20))*1.96</f>
        <v>1107.9236806400002</v>
      </c>
      <c r="C26" s="16">
        <f>((((C20*0.00314)*0.22)*'Технический лист'!$M$7)+100+(((C21*0.00314)*0.21)*'Технический лист'!$O$5)+(((C20+30)*(C20+30)/1000000)*'Технический лист'!$E$20))*1.96</f>
        <v>1188.7957612160001</v>
      </c>
      <c r="D26" s="16">
        <f>((((D20*0.00314)*0.22)*'Технический лист'!$M$7)+100+(((D21*0.00314)*0.21)*'Технический лист'!$O$5)+(((D20+30)*(D20+30)/1000000)*'Технический лист'!$E$20))*1.96</f>
        <v>1229.8198015039998</v>
      </c>
      <c r="E26" s="16">
        <f>((((E20*0.00314)*0.22)*'Технический лист'!$M$7)+100+(((E21*0.00314)*0.21)*'Технический лист'!$O$5)+(((E20+30)*(E20+30)/1000000)*'Технический лист'!$E$20))*1.96</f>
        <v>1271.235841792</v>
      </c>
      <c r="F26" s="16">
        <f>((((F20*0.00314)*0.22)*'Технический лист'!$M$7)+100+(((F21*0.00314)*0.21)*'Технический лист'!$O$5)+(((F20+30)*(F20+30)/1000000)*'Технический лист'!$E$20))*1.96</f>
        <v>1313.04388208</v>
      </c>
      <c r="G26" s="16">
        <f>((((G20*0.00314)*0.22)*'Технический лист'!$M$7)+100+(((G21*0.00314)*0.21)*'Технический лист'!$O$5)+(((G20+30)*(G20+30)/1000000)*'Технический лист'!$E$20))*1.96</f>
        <v>1355.2439223679999</v>
      </c>
      <c r="H26" s="16">
        <f>((((H20*0.00314)*0.22)*'Технический лист'!$M$7)+100+(((H21*0.00314)*0.21)*'Технический лист'!$O$5)+(((H20+30)*(H20+30)/1000000)*'Технический лист'!$E$20))*1.96</f>
        <v>1440.8200029439997</v>
      </c>
      <c r="I26" s="16">
        <f>((((I20*0.00314)*0.22)*'Технический лист'!$M$7)+100+(((I21*0.00314)*0.21)*'Технический лист'!$O$5)+(((I20+30)*(I20+30)/1000000)*'Технический лист'!$E$20))*1.96</f>
        <v>1527.9640835199998</v>
      </c>
      <c r="J26" s="16">
        <f>((((J20*0.00314)*0.22)*'Технический лист'!$M$7)+100+(((J21*0.00314)*0.21)*'Технический лист'!$O$5)+(((J20+30)*(J20+30)/1000000)*'Технический лист'!$E$20))*1.96</f>
        <v>1616.6761640959999</v>
      </c>
      <c r="K26" s="16">
        <f>((((K20*0.00314)*0.22)*'Технический лист'!$M$7)+100+(((K21*0.00314)*0.21)*'Технический лист'!$O$5)+(((K20+30)*(K20+30)/1000000)*'Технический лист'!$E$20))*1.96</f>
        <v>1798.8043252479999</v>
      </c>
      <c r="L26" s="16">
        <f>((((L20*0.00314)*0.22)*'Технический лист'!$M$7)+100+(((L21*0.00314)*0.21)*'Технический лист'!$O$5)+(((L20+30)*(L20+30)/1000000)*'Технический лист'!$E$20))*1.96</f>
        <v>1987.2044864</v>
      </c>
      <c r="M26" s="16">
        <f>((((M20*0.00314)*0.22)*'Технический лист'!$M$7)+100+(((M21*0.00314)*0.21)*'Технический лист'!$O$5)+(((M20+30)*(M20+30)/1000000)*'Технический лист'!$E$20))*1.96</f>
        <v>2181.8766475520001</v>
      </c>
      <c r="N26" s="16">
        <f>((((N20*0.00314)*0.22)*'Технический лист'!$M$7)+100+(((N21*0.00314)*0.21)*'Технический лист'!$O$5)+(((N20+30)*(N20+30)/1000000)*'Технический лист'!$E$20))*1.96</f>
        <v>2485.6448892799999</v>
      </c>
      <c r="O26" s="16">
        <f>((((O20*0.00314)*0.22)*'Технический лист'!$M$7)+100+(((O21*0.00314)*0.21)*'Технический лист'!$O$5)+(((O20+30)*(O20+30)/1000000)*'Технический лист'!$E$20))*1.96</f>
        <v>2590.0369698559998</v>
      </c>
      <c r="P26" s="16">
        <f>((((P20*0.00314)*0.22)*'Технический лист'!$M$7)+100+(((P21*0.00314)*0.21)*'Технический лист'!$O$5)+(((P20+30)*(P20+30)/1000000)*'Технический лист'!$E$20))*1.96</f>
        <v>2695.9970504320004</v>
      </c>
      <c r="Q26" s="16">
        <f>((((Q20*0.00314)*0.22)*'Технический лист'!$M$7)+100+(((Q21*0.00314)*0.21)*'Технический лист'!$O$5)+(((Q20+30)*(Q20+30)/1000000)*'Технический лист'!$E$20))*1.96</f>
        <v>2803.5251310079998</v>
      </c>
      <c r="R26" s="16">
        <f>((((R20*0.00314)*0.22)*'Технический лист'!$M$7)+100+(((R21*0.00314)*0.21)*'Технический лист'!$O$5)+(((R20+30)*(R20+30)/1000000)*'Технический лист'!$E$20))*1.96</f>
        <v>2912.6212115839999</v>
      </c>
      <c r="S26" s="16">
        <f>((((S20*0.00314)*0.22)*'Технический лист'!$M$7)+100+(((S21*0.00314)*0.21)*'Технический лист'!$O$5)+(((S20+30)*(S20+30)/1000000)*'Технический лист'!$E$20))*1.96</f>
        <v>3023.2852921599997</v>
      </c>
    </row>
    <row r="27" spans="1:19">
      <c r="A27" s="4" t="s">
        <v>7</v>
      </c>
      <c r="B27" s="9">
        <f>(B26*2.2)+24</f>
        <v>2461.4320974080006</v>
      </c>
      <c r="C27" s="9">
        <f t="shared" ref="C27:N27" si="14">(C26*2.2)+24</f>
        <v>2639.3506746752005</v>
      </c>
      <c r="D27" s="9">
        <f t="shared" si="14"/>
        <v>2729.6035633087995</v>
      </c>
      <c r="E27" s="9">
        <f t="shared" si="14"/>
        <v>2820.7188519424003</v>
      </c>
      <c r="F27" s="9">
        <f t="shared" si="14"/>
        <v>2912.6965405760002</v>
      </c>
      <c r="G27" s="9">
        <f t="shared" si="14"/>
        <v>3005.5366292096001</v>
      </c>
      <c r="H27" s="9">
        <f t="shared" si="14"/>
        <v>3193.8040064767997</v>
      </c>
      <c r="I27" s="9">
        <f t="shared" si="14"/>
        <v>3385.5209837439998</v>
      </c>
      <c r="J27" s="9">
        <f t="shared" si="14"/>
        <v>3580.6875610112002</v>
      </c>
      <c r="K27" s="9">
        <f t="shared" si="14"/>
        <v>3981.3695155456003</v>
      </c>
      <c r="L27" s="9">
        <f t="shared" si="14"/>
        <v>4395.8498700800001</v>
      </c>
      <c r="M27" s="9">
        <f t="shared" si="14"/>
        <v>4824.1286246144009</v>
      </c>
      <c r="N27" s="9">
        <f t="shared" si="14"/>
        <v>5492.4187564160002</v>
      </c>
      <c r="O27" s="9">
        <f t="shared" ref="O27:S27" si="15">(O26*2.2)+24</f>
        <v>5722.0813336831998</v>
      </c>
      <c r="P27" s="9">
        <f t="shared" si="15"/>
        <v>5955.1935109504011</v>
      </c>
      <c r="Q27" s="9">
        <f t="shared" si="15"/>
        <v>6191.7552882175996</v>
      </c>
      <c r="R27" s="9">
        <f t="shared" si="15"/>
        <v>6431.7666654847999</v>
      </c>
      <c r="S27" s="9">
        <f t="shared" si="15"/>
        <v>6675.2276427520001</v>
      </c>
    </row>
    <row r="28" spans="1:19">
      <c r="A28" s="4" t="s">
        <v>8</v>
      </c>
      <c r="B28" s="16">
        <f>((((B20*0.00314)*0.2)*'Технический лист'!$M$7)+50+(((B21*0.00314)*0.22)*'Технический лист'!$O$5))*1.96</f>
        <v>867.93021056000009</v>
      </c>
      <c r="C28" s="16">
        <f>((((C20*0.00314)*0.2)*'Технический лист'!$M$7)+50+(((C21*0.00314)*0.22)*'Технический лист'!$O$5))*1.96</f>
        <v>925.8160352000001</v>
      </c>
      <c r="D28" s="16">
        <f>((((D20*0.00314)*0.2)*'Технический лист'!$M$7)+50+(((D21*0.00314)*0.22)*'Технический лист'!$O$5))*1.96</f>
        <v>954.75894751999988</v>
      </c>
      <c r="E28" s="16">
        <f>((((E20*0.00314)*0.2)*'Технический лист'!$M$7)+50+(((E21*0.00314)*0.22)*'Технический лист'!$O$5))*1.96</f>
        <v>983.70185984</v>
      </c>
      <c r="F28" s="16">
        <f>((((F20*0.00314)*0.2)*'Технический лист'!$M$7)+50+(((F21*0.00314)*0.22)*'Технический лист'!$O$5))*1.96</f>
        <v>1012.6447721600001</v>
      </c>
      <c r="G28" s="16">
        <f>((((G20*0.00314)*0.2)*'Технический лист'!$M$7)+50+(((G21*0.00314)*0.22)*'Технический лист'!$O$5))*1.96</f>
        <v>1041.58768448</v>
      </c>
      <c r="H28" s="16">
        <f>((((H20*0.00314)*0.2)*'Технический лист'!$M$7)+50+(((H21*0.00314)*0.22)*'Технический лист'!$O$5))*1.96</f>
        <v>1099.47350912</v>
      </c>
      <c r="I28" s="16">
        <f>((((I20*0.00314)*0.2)*'Технический лист'!$M$7)+50+(((I21*0.00314)*0.22)*'Технический лист'!$O$5))*1.96</f>
        <v>1157.35933376</v>
      </c>
      <c r="J28" s="16">
        <f>((((J20*0.00314)*0.2)*'Технический лист'!$M$7)+50+(((J21*0.00314)*0.22)*'Технический лист'!$O$5))*1.96</f>
        <v>1215.2451584</v>
      </c>
      <c r="K28" s="16">
        <f>((((K20*0.00314)*0.2)*'Технический лист'!$M$7)+50+(((K21*0.00314)*0.22)*'Технический лист'!$O$5))*1.96</f>
        <v>1331.0168076800001</v>
      </c>
      <c r="L28" s="16">
        <f>((((L20*0.00314)*0.2)*'Технический лист'!$M$7)+50+(((L21*0.00314)*0.22)*'Технический лист'!$O$5))*1.96</f>
        <v>1446.7884569600001</v>
      </c>
      <c r="M28" s="16">
        <f>((((M20*0.00314)*0.2)*'Технический лист'!$M$7)+50+(((M21*0.00314)*0.22)*'Технический лист'!$O$5))*1.96</f>
        <v>1562.5601062399999</v>
      </c>
      <c r="N28" s="16">
        <f>((((N20*0.00314)*0.2)*'Технический лист'!$M$7)+50+(((N21*0.00314)*0.22)*'Технический лист'!$O$5))*1.96</f>
        <v>1736.2175801599999</v>
      </c>
      <c r="O28" s="16">
        <f>((((O20*0.00314)*0.2)*'Технический лист'!$M$7)+50+(((O21*0.00314)*0.22)*'Технический лист'!$O$5))*1.96</f>
        <v>1794.1034047999999</v>
      </c>
      <c r="P28" s="16">
        <f>((((P20*0.00314)*0.2)*'Технический лист'!$M$7)+50+(((P21*0.00314)*0.22)*'Технический лист'!$O$5))*1.96</f>
        <v>1851.9892294399999</v>
      </c>
      <c r="Q28" s="16">
        <f>((((Q20*0.00314)*0.2)*'Технический лист'!$M$7)+50+(((Q21*0.00314)*0.22)*'Технический лист'!$O$5))*1.96</f>
        <v>1909.8750540799999</v>
      </c>
      <c r="R28" s="16">
        <f>((((R20*0.00314)*0.2)*'Технический лист'!$M$7)+50+(((R21*0.00314)*0.22)*'Технический лист'!$O$5))*1.96</f>
        <v>1967.7608787200002</v>
      </c>
      <c r="S28" s="16">
        <f>((((S20*0.00314)*0.2)*'Технический лист'!$M$7)+50+(((S21*0.00314)*0.22)*'Технический лист'!$O$5))*1.96</f>
        <v>2025.6467033599997</v>
      </c>
    </row>
    <row r="29" spans="1:19" ht="15.75" customHeight="1">
      <c r="A29" s="4" t="s">
        <v>9</v>
      </c>
      <c r="B29" s="9">
        <f>((((B20*0.00314)*((B20+545)/1000))*'Технический лист'!$K$7)+370+((B21*0.00314)*((B21+450)/1000))*'Технический лист'!$K$5)*1.96</f>
        <v>2887.7749219200005</v>
      </c>
      <c r="C29" s="9">
        <f>((((C20*0.00314)*((C20+545)/1000))*'Технический лист'!$K$7)+370+((C21*0.00314)*((C21+450)/1000))*'Технический лист'!$K$5)*1.96</f>
        <v>3088.431502464</v>
      </c>
      <c r="D29" s="9">
        <f>((((D20*0.00314)*((D20+545)/1000))*'Технический лист'!$K$7)+370+((D21*0.00314)*((D21+450)/1000))*'Технический лист'!$K$5)*1.96</f>
        <v>3190.6989826319996</v>
      </c>
      <c r="E29" s="9">
        <f>((((E20*0.00314)*((E20+545)/1000))*'Технический лист'!$K$7)+370+((E21*0.00314)*((E21+450)/1000))*'Технический лист'!$K$5)*1.96</f>
        <v>3294.2592560639996</v>
      </c>
      <c r="F29" s="9">
        <f>((((F20*0.00314)*((F20+545)/1000))*'Технический лист'!$K$7)+370+((F21*0.00314)*((F21+450)/1000))*'Технический лист'!$K$5)*1.96</f>
        <v>3399.1123227599996</v>
      </c>
      <c r="G29" s="9">
        <f>((((G20*0.00314)*((G20+545)/1000))*'Технический лист'!$K$7)+370+((G21*0.00314)*((G21+450)/1000))*'Технический лист'!$K$5)*1.96</f>
        <v>3505.2581827200001</v>
      </c>
      <c r="H29" s="9">
        <f>((((H20*0.00314)*((H20+545)/1000))*'Технический лист'!$K$7)+370+((H21*0.00314)*((H21+450)/1000))*'Технический лист'!$K$5)*1.96</f>
        <v>3721.4282824320003</v>
      </c>
      <c r="I29" s="9">
        <f>((((I20*0.00314)*((I20+545)/1000))*'Технический лист'!$K$7)+370+((I21*0.00314)*((I21+450)/1000))*'Технический лист'!$K$5)*1.96</f>
        <v>3942.7695551999996</v>
      </c>
      <c r="J29" s="9">
        <f>((((J20*0.00314)*((J20+545)/1000))*'Технический лист'!$K$7)+370+((J21*0.00314)*((J21+450)/1000))*'Технический лист'!$K$5)*1.96</f>
        <v>4169.2820010239993</v>
      </c>
      <c r="K29" s="9">
        <f>((((K20*0.00314)*((K20+545)/1000))*'Технический лист'!$K$7)+370+((K21*0.00314)*((K21+450)/1000))*'Технический лист'!$K$5)*1.96</f>
        <v>4637.8204118399999</v>
      </c>
      <c r="L29" s="9">
        <f>((((L20*0.00314)*((L20+545)/1000))*'Технический лист'!$K$7)+370+((L21*0.00314)*((L21+450)/1000))*'Технический лист'!$K$5)*1.96</f>
        <v>5127.0435148799997</v>
      </c>
      <c r="M29" s="9">
        <f>((((M20*0.00314)*((M20+545)/1000))*'Технический лист'!$K$7)+370+((M21*0.00314)*((M21+450)/1000))*'Технический лист'!$K$5)*1.96</f>
        <v>5636.9513101439998</v>
      </c>
      <c r="N29" s="9">
        <f>((((N20*0.00314)*((N20+545)/1000))*'Технический лист'!$K$7)+370+((N21*0.00314)*((N21+450)/1000))*'Технический лист'!$K$5)*1.96</f>
        <v>6440.5968009600001</v>
      </c>
      <c r="O29" s="9">
        <f>((((O20*0.00314)*((O20+545)/1000))*'Технический лист'!$K$7)+370+((O21*0.00314)*((O21+450)/1000))*'Технический лист'!$K$5)*1.96</f>
        <v>6718.8209773440003</v>
      </c>
      <c r="P29" s="9">
        <f>((((P20*0.00314)*((P20+545)/1000))*'Технический лист'!$K$7)+370+((P21*0.00314)*((P21+450)/1000))*'Технический лист'!$K$5)*1.96</f>
        <v>7002.2163267839996</v>
      </c>
      <c r="Q29" s="9">
        <f>((((Q20*0.00314)*((Q20+545)/1000))*'Технический лист'!$K$7)+370+((Q21*0.00314)*((Q21+450)/1000))*'Технический лист'!$K$5)*1.96</f>
        <v>7290.7828492799999</v>
      </c>
      <c r="R29" s="9">
        <f>((((R20*0.00314)*((R20+545)/1000))*'Технический лист'!$K$7)+370+((R21*0.00314)*((R21+450)/1000))*'Технический лист'!$K$5)*1.96</f>
        <v>7584.5205448319994</v>
      </c>
      <c r="S29" s="9">
        <f>((((S20*0.00314)*((S20+545)/1000))*'Технический лист'!$K$7)+370+((S21*0.00314)*((S21+450)/1000))*'Технический лист'!$K$5)*1.96</f>
        <v>7883.4294134399988</v>
      </c>
    </row>
    <row r="30" spans="1:19" ht="0.75" hidden="1" customHeight="1">
      <c r="A30" s="4" t="s">
        <v>8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>
      <c r="A31" s="4" t="s">
        <v>119</v>
      </c>
      <c r="B31" s="16">
        <v>2100</v>
      </c>
      <c r="C31" s="16">
        <v>2100</v>
      </c>
      <c r="D31" s="16">
        <v>2100</v>
      </c>
      <c r="E31" s="16">
        <v>2100</v>
      </c>
      <c r="F31" s="16">
        <v>2100</v>
      </c>
      <c r="G31" s="16">
        <v>2100</v>
      </c>
      <c r="H31" s="16">
        <v>2100</v>
      </c>
      <c r="I31" s="16">
        <v>2100</v>
      </c>
      <c r="J31" s="16">
        <v>2100</v>
      </c>
      <c r="K31" s="16">
        <v>2100</v>
      </c>
      <c r="L31" s="16">
        <v>2100</v>
      </c>
      <c r="M31" s="16">
        <v>2100</v>
      </c>
      <c r="N31" s="16">
        <v>2100</v>
      </c>
      <c r="O31" s="16">
        <v>2100</v>
      </c>
      <c r="P31" s="16">
        <v>2100</v>
      </c>
      <c r="Q31" s="16">
        <v>2100</v>
      </c>
      <c r="R31" s="16">
        <v>2100</v>
      </c>
      <c r="S31" s="16">
        <v>2100</v>
      </c>
    </row>
  </sheetData>
  <mergeCells count="6">
    <mergeCell ref="A19:N19"/>
    <mergeCell ref="A1:C1"/>
    <mergeCell ref="D1:O1"/>
    <mergeCell ref="D2:O2"/>
    <mergeCell ref="D3:O3"/>
    <mergeCell ref="A5:O5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31"/>
  <sheetViews>
    <sheetView zoomScale="80" zoomScaleNormal="80" workbookViewId="0">
      <selection activeCell="B31" sqref="B31:S31"/>
    </sheetView>
  </sheetViews>
  <sheetFormatPr defaultRowHeight="14.4"/>
  <cols>
    <col min="1" max="1" width="26.6640625" customWidth="1"/>
    <col min="2" max="19" width="6.33203125" customWidth="1"/>
  </cols>
  <sheetData>
    <row r="1" spans="1:19" ht="45" customHeight="1">
      <c r="A1" s="32"/>
      <c r="B1" s="32"/>
      <c r="C1" s="32"/>
      <c r="D1" s="40" t="s">
        <v>94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1"/>
      <c r="Q1" s="1"/>
    </row>
    <row r="2" spans="1:19" ht="15" customHeight="1">
      <c r="D2" s="34" t="s">
        <v>95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1"/>
    </row>
    <row r="3" spans="1:19" ht="15" customHeight="1">
      <c r="D3" s="34" t="s">
        <v>112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9" ht="2.25" customHeight="1"/>
    <row r="5" spans="1:19">
      <c r="A5" s="41" t="s">
        <v>45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1:19">
      <c r="A6" s="3" t="s">
        <v>0</v>
      </c>
      <c r="B6" s="10">
        <v>100</v>
      </c>
      <c r="C6" s="10">
        <v>110</v>
      </c>
      <c r="D6" s="10">
        <v>115</v>
      </c>
      <c r="E6" s="10">
        <v>120</v>
      </c>
      <c r="F6" s="10">
        <v>125</v>
      </c>
      <c r="G6" s="10">
        <v>130</v>
      </c>
      <c r="H6" s="10">
        <v>140</v>
      </c>
      <c r="I6" s="10">
        <v>150</v>
      </c>
      <c r="J6" s="10">
        <v>160</v>
      </c>
      <c r="K6" s="10">
        <v>180</v>
      </c>
      <c r="L6" s="10">
        <v>200</v>
      </c>
      <c r="M6" s="10">
        <v>220</v>
      </c>
      <c r="N6" s="10">
        <v>250</v>
      </c>
      <c r="O6" s="10">
        <v>260</v>
      </c>
      <c r="P6" s="10">
        <v>270</v>
      </c>
      <c r="Q6" s="10">
        <v>280</v>
      </c>
      <c r="R6" s="10">
        <v>290</v>
      </c>
      <c r="S6" s="10">
        <v>300</v>
      </c>
    </row>
    <row r="7" spans="1:19">
      <c r="A7" s="3" t="s">
        <v>1</v>
      </c>
      <c r="B7" s="10">
        <f>B6+70</f>
        <v>170</v>
      </c>
      <c r="C7" s="10">
        <f t="shared" ref="C7:N7" si="0">C6+70</f>
        <v>180</v>
      </c>
      <c r="D7" s="10">
        <f t="shared" si="0"/>
        <v>185</v>
      </c>
      <c r="E7" s="10">
        <f t="shared" si="0"/>
        <v>190</v>
      </c>
      <c r="F7" s="10">
        <f t="shared" si="0"/>
        <v>195</v>
      </c>
      <c r="G7" s="10">
        <f t="shared" si="0"/>
        <v>200</v>
      </c>
      <c r="H7" s="10">
        <f t="shared" si="0"/>
        <v>210</v>
      </c>
      <c r="I7" s="10">
        <f t="shared" si="0"/>
        <v>220</v>
      </c>
      <c r="J7" s="10">
        <f t="shared" si="0"/>
        <v>230</v>
      </c>
      <c r="K7" s="10">
        <f t="shared" si="0"/>
        <v>250</v>
      </c>
      <c r="L7" s="10">
        <f t="shared" si="0"/>
        <v>270</v>
      </c>
      <c r="M7" s="10">
        <f t="shared" si="0"/>
        <v>290</v>
      </c>
      <c r="N7" s="10">
        <f t="shared" si="0"/>
        <v>320</v>
      </c>
      <c r="O7" s="10">
        <f t="shared" ref="O7:S7" si="1">O6+70</f>
        <v>330</v>
      </c>
      <c r="P7" s="10">
        <f t="shared" si="1"/>
        <v>340</v>
      </c>
      <c r="Q7" s="10">
        <f t="shared" si="1"/>
        <v>350</v>
      </c>
      <c r="R7" s="10">
        <f t="shared" si="1"/>
        <v>360</v>
      </c>
      <c r="S7" s="10">
        <f t="shared" si="1"/>
        <v>370</v>
      </c>
    </row>
    <row r="8" spans="1:19">
      <c r="A8" s="4" t="s">
        <v>4</v>
      </c>
      <c r="B8" s="16">
        <f>(((B6*0.00314)*'Технический лист'!$G$8)+310+((B7*0.00314)*'Технический лист'!$G$11))*1.95</f>
        <v>2233.018936233766</v>
      </c>
      <c r="C8" s="16">
        <f>(((C6*0.00314)*'Технический лист'!$G$8)+310+((C7*0.00314)*'Технический лист'!$G$11))*1.95</f>
        <v>2380.7123228571427</v>
      </c>
      <c r="D8" s="16">
        <f>(((D6*0.00314)*'Технический лист'!$G$8)+310+((D7*0.00314)*'Технический лист'!$G$11))*1.95</f>
        <v>2454.559016168831</v>
      </c>
      <c r="E8" s="16">
        <f>(((E6*0.00314)*'Технический лист'!$G$8)+310+((E7*0.00314)*'Технический лист'!$G$11))*1.95</f>
        <v>2528.4057094805194</v>
      </c>
      <c r="F8" s="16">
        <f>(((F6*0.00314)*'Технический лист'!$G$8)+310+((F7*0.00314)*'Технический лист'!$G$11))*1.95</f>
        <v>2602.2524027922072</v>
      </c>
      <c r="G8" s="16">
        <f>(((G6*0.00314)*'Технический лист'!$G$8)+310+((G7*0.00314)*'Технический лист'!$G$11))*1.95</f>
        <v>2676.0990961038956</v>
      </c>
      <c r="H8" s="16">
        <f>(((H6*0.00314)*'Технический лист'!$G$8)+310+((H7*0.00314)*'Технический лист'!$G$11))*1.95</f>
        <v>2823.7924827272723</v>
      </c>
      <c r="I8" s="16">
        <f>(((I6*0.00314)*'Технический лист'!$G$8)+310+((I7*0.00314)*'Технический лист'!$G$11))*1.95</f>
        <v>2971.4858693506494</v>
      </c>
      <c r="J8" s="16">
        <f>(((J6*0.00314)*'Технический лист'!$G$8)+310+((J7*0.00314)*'Технический лист'!$G$11))*1.95</f>
        <v>3119.1792559740256</v>
      </c>
      <c r="K8" s="16">
        <f>(((K6*0.00314)*'Технический лист'!$G$8)+310+((K7*0.00314)*'Технический лист'!$G$11))*1.95</f>
        <v>3414.566029220779</v>
      </c>
      <c r="L8" s="16">
        <f>(((L6*0.00314)*'Технический лист'!$G$8)+310+((L7*0.00314)*'Технический лист'!$G$11))*1.95</f>
        <v>3709.9528024675324</v>
      </c>
      <c r="M8" s="16">
        <f>(((M6*0.00314)*'Технический лист'!$G$8)+310+((M7*0.00314)*'Технический лист'!$G$11))*1.95</f>
        <v>4005.3395757142853</v>
      </c>
      <c r="N8" s="16">
        <f>(((N6*0.00314)*'Технический лист'!$G$8)+310+((N7*0.00314)*'Технический лист'!$G$11))*1.95</f>
        <v>4448.4197355844144</v>
      </c>
      <c r="O8" s="16">
        <f>(((O6*0.00314)*'Технический лист'!$G$8)+310+((O7*0.00314)*'Технический лист'!$G$11))*1.95</f>
        <v>4596.1131222077911</v>
      </c>
      <c r="P8" s="16">
        <f>(((P6*0.00314)*'Технический лист'!$G$8)+310+((P7*0.00314)*'Технический лист'!$G$11))*1.95</f>
        <v>4743.8065088311687</v>
      </c>
      <c r="Q8" s="16">
        <f>(((Q6*0.00314)*'Технический лист'!$G$8)+310+((Q7*0.00314)*'Технический лист'!$G$11))*1.95</f>
        <v>4891.4998954545445</v>
      </c>
      <c r="R8" s="16">
        <f>(((R6*0.00314)*'Технический лист'!$G$8)+310+((R7*0.00314)*'Технический лист'!$G$11))*1.95</f>
        <v>5039.1932820779211</v>
      </c>
      <c r="S8" s="16">
        <f>(((S6*0.00314)*'Технический лист'!$G$8)+310+((S7*0.00314)*'Технический лист'!$G$11))*1.95</f>
        <v>5186.8866687012987</v>
      </c>
    </row>
    <row r="9" spans="1:19">
      <c r="A9" s="4" t="s">
        <v>3</v>
      </c>
      <c r="B9" s="9">
        <f>((B8/2)*1.07)-10</f>
        <v>1184.6651308850649</v>
      </c>
      <c r="C9" s="9">
        <f t="shared" ref="C9:N9" si="2">((C8/2)*1.07)-10</f>
        <v>1263.6810927285715</v>
      </c>
      <c r="D9" s="9">
        <f t="shared" si="2"/>
        <v>1303.1890736503246</v>
      </c>
      <c r="E9" s="9">
        <f t="shared" si="2"/>
        <v>1342.6970545720778</v>
      </c>
      <c r="F9" s="9">
        <f t="shared" si="2"/>
        <v>1382.205035493831</v>
      </c>
      <c r="G9" s="9">
        <f t="shared" si="2"/>
        <v>1421.7130164155842</v>
      </c>
      <c r="H9" s="9">
        <f t="shared" si="2"/>
        <v>1500.7289782590908</v>
      </c>
      <c r="I9" s="9">
        <f t="shared" si="2"/>
        <v>1579.7449401025976</v>
      </c>
      <c r="J9" s="9">
        <f t="shared" si="2"/>
        <v>1658.7609019461038</v>
      </c>
      <c r="K9" s="9">
        <f t="shared" si="2"/>
        <v>1816.7928256331168</v>
      </c>
      <c r="L9" s="9">
        <f t="shared" si="2"/>
        <v>1974.82474932013</v>
      </c>
      <c r="M9" s="9">
        <f t="shared" si="2"/>
        <v>2132.8566730071429</v>
      </c>
      <c r="N9" s="9">
        <f t="shared" si="2"/>
        <v>2369.9045585376621</v>
      </c>
      <c r="O9" s="9">
        <f t="shared" ref="O9:S9" si="3">((O8/2)*1.07)-10</f>
        <v>2448.9205203811684</v>
      </c>
      <c r="P9" s="9">
        <f t="shared" si="3"/>
        <v>2527.9364822246753</v>
      </c>
      <c r="Q9" s="9">
        <f t="shared" si="3"/>
        <v>2606.9524440681816</v>
      </c>
      <c r="R9" s="9">
        <f t="shared" si="3"/>
        <v>2685.968405911688</v>
      </c>
      <c r="S9" s="9">
        <f t="shared" si="3"/>
        <v>2764.9843677551949</v>
      </c>
    </row>
    <row r="10" spans="1:19">
      <c r="A10" s="4" t="s">
        <v>5</v>
      </c>
      <c r="B10" s="16">
        <f>((((B6*0.00314)*0.5)*'Технический лист'!$I$8)+310+(((B7*0.00314)*0.5)*'Технический лист'!$I$11))*1.95</f>
        <v>1854.2578431168831</v>
      </c>
      <c r="C10" s="16">
        <f>((((C6*0.00314)*0.5)*'Технический лист'!$I$8)+310+(((C7*0.00314)*0.5)*'Технический лист'!$I$11))*1.95</f>
        <v>1964.6894614285711</v>
      </c>
      <c r="D10" s="16">
        <f>((((D6*0.00314)*0.5)*'Технический лист'!$I$8)+310+(((D7*0.00314)*0.5)*'Технический лист'!$I$11))*1.95</f>
        <v>2019.9052705844153</v>
      </c>
      <c r="E10" s="16">
        <f>((((E6*0.00314)*0.5)*'Технический лист'!$I$8)+310+(((E7*0.00314)*0.5)*'Технический лист'!$I$11))*1.95</f>
        <v>2075.12107974026</v>
      </c>
      <c r="F10" s="16">
        <f>((((F6*0.00314)*0.5)*'Технический лист'!$I$8)+310+(((F7*0.00314)*0.5)*'Технический лист'!$I$11))*1.95</f>
        <v>2130.3368888961036</v>
      </c>
      <c r="G10" s="16">
        <f>((((G6*0.00314)*0.5)*'Технический лист'!$I$8)+310+(((G7*0.00314)*0.5)*'Технический лист'!$I$11))*1.95</f>
        <v>2185.552698051948</v>
      </c>
      <c r="H10" s="16">
        <f>((((H6*0.00314)*0.5)*'Технический лист'!$I$8)+310+(((H7*0.00314)*0.5)*'Технический лист'!$I$11))*1.95</f>
        <v>2295.984316363636</v>
      </c>
      <c r="I10" s="16">
        <f>((((I6*0.00314)*0.5)*'Технический лист'!$I$8)+310+(((I7*0.00314)*0.5)*'Технический лист'!$I$11))*1.95</f>
        <v>2406.4159346753245</v>
      </c>
      <c r="J10" s="16">
        <f>((((J6*0.00314)*0.5)*'Технический лист'!$I$8)+310+(((J7*0.00314)*0.5)*'Технический лист'!$I$11))*1.95</f>
        <v>2516.8475529870129</v>
      </c>
      <c r="K10" s="16">
        <f>((((K6*0.00314)*0.5)*'Технический лист'!$I$8)+310+(((K7*0.00314)*0.5)*'Технический лист'!$I$11))*1.95</f>
        <v>2737.7107896103898</v>
      </c>
      <c r="L10" s="16">
        <f>((((L6*0.00314)*0.5)*'Технический лист'!$I$8)+310+(((L7*0.00314)*0.5)*'Технический лист'!$I$11))*1.95</f>
        <v>2958.5740262337663</v>
      </c>
      <c r="M10" s="16">
        <f>((((M6*0.00314)*0.5)*'Технический лист'!$I$8)+310+(((M7*0.00314)*0.5)*'Технический лист'!$I$11))*1.95</f>
        <v>3179.4372628571423</v>
      </c>
      <c r="N10" s="16">
        <f>((((N6*0.00314)*0.5)*'Технический лист'!$I$8)+310+(((N7*0.00314)*0.5)*'Технический лист'!$I$11))*1.95</f>
        <v>3510.7321177922076</v>
      </c>
      <c r="O10" s="16">
        <f>((((O6*0.00314)*0.5)*'Технический лист'!$I$8)+310+(((O7*0.00314)*0.5)*'Технический лист'!$I$11))*1.95</f>
        <v>3621.1637361038961</v>
      </c>
      <c r="P10" s="16">
        <f>((((P6*0.00314)*0.5)*'Технический лист'!$I$8)+310+(((P7*0.00314)*0.5)*'Технический лист'!$I$11))*1.95</f>
        <v>3731.5953544155841</v>
      </c>
      <c r="Q10" s="16">
        <f>((((Q6*0.00314)*0.5)*'Технический лист'!$I$8)+310+(((Q7*0.00314)*0.5)*'Технический лист'!$I$11))*1.95</f>
        <v>3842.0269727272726</v>
      </c>
      <c r="R10" s="16">
        <f>((((R6*0.00314)*0.5)*'Технический лист'!$I$8)+310+(((R7*0.00314)*0.5)*'Технический лист'!$I$11))*1.95</f>
        <v>3952.4585910389605</v>
      </c>
      <c r="S10" s="16">
        <f>((((S6*0.00314)*0.5)*'Технический лист'!$I$8)+310+(((S7*0.00314)*0.5)*'Технический лист'!$I$11))*1.95</f>
        <v>4062.8902093506485</v>
      </c>
    </row>
    <row r="11" spans="1:19">
      <c r="A11" s="4" t="s">
        <v>96</v>
      </c>
      <c r="B11" s="9">
        <f>((B10*2)/3)-6</f>
        <v>1230.1718954112555</v>
      </c>
      <c r="C11" s="9">
        <f t="shared" ref="C11:N11" si="4">((C10*2)/3)-6</f>
        <v>1303.7929742857141</v>
      </c>
      <c r="D11" s="9">
        <f t="shared" si="4"/>
        <v>1340.6035137229435</v>
      </c>
      <c r="E11" s="9">
        <f t="shared" si="4"/>
        <v>1377.4140531601734</v>
      </c>
      <c r="F11" s="9">
        <f t="shared" si="4"/>
        <v>1414.2245925974023</v>
      </c>
      <c r="G11" s="9">
        <f t="shared" si="4"/>
        <v>1451.0351320346319</v>
      </c>
      <c r="H11" s="9">
        <f t="shared" si="4"/>
        <v>1524.6562109090908</v>
      </c>
      <c r="I11" s="9">
        <f t="shared" si="4"/>
        <v>1598.2772897835496</v>
      </c>
      <c r="J11" s="9">
        <f t="shared" si="4"/>
        <v>1671.8983686580086</v>
      </c>
      <c r="K11" s="9">
        <f t="shared" si="4"/>
        <v>1819.1405264069265</v>
      </c>
      <c r="L11" s="9">
        <f t="shared" si="4"/>
        <v>1966.3826841558441</v>
      </c>
      <c r="M11" s="9">
        <f t="shared" si="4"/>
        <v>2113.6248419047615</v>
      </c>
      <c r="N11" s="9">
        <f t="shared" si="4"/>
        <v>2334.4880785281384</v>
      </c>
      <c r="O11" s="9">
        <f t="shared" ref="O11:S11" si="5">((O10*2)/3)-6</f>
        <v>2408.1091574025972</v>
      </c>
      <c r="P11" s="9">
        <f t="shared" si="5"/>
        <v>2481.7302362770561</v>
      </c>
      <c r="Q11" s="9">
        <f t="shared" si="5"/>
        <v>2555.3513151515149</v>
      </c>
      <c r="R11" s="9">
        <f t="shared" si="5"/>
        <v>2628.9723940259737</v>
      </c>
      <c r="S11" s="9">
        <f t="shared" si="5"/>
        <v>2702.5934729004325</v>
      </c>
    </row>
    <row r="12" spans="1:19">
      <c r="A12" s="4" t="s">
        <v>6</v>
      </c>
      <c r="B12" s="16">
        <f>((((B6*0.00314)*0.22)*'Технический лист'!$M$8)+100+(((B7*0.00314)*0.21)*'Технический лист'!$O$11)+(((B6+30)*(B6+30)/1000000)*'Технический лист'!$E$20))*1.96</f>
        <v>999.90481695999995</v>
      </c>
      <c r="C12" s="16">
        <f>((((C6*0.00314)*0.22)*'Технический лист'!$M$8)+100+(((C7*0.00314)*0.21)*'Технический лист'!$O$11)+(((C6+30)*(C6+30)/1000000)*'Технический лист'!$E$20))*1.96</f>
        <v>1078.4550358400002</v>
      </c>
      <c r="D12" s="16">
        <f>((((D6*0.00314)*0.22)*'Технический лист'!$M$8)+100+(((D7*0.00314)*0.21)*'Технический лист'!$O$11)+(((D6+30)*(D6+30)/1000000)*'Технический лист'!$E$20))*1.96</f>
        <v>1118.31814528</v>
      </c>
      <c r="E12" s="16">
        <f>((((E6*0.00314)*0.22)*'Технический лист'!$M$8)+100+(((E7*0.00314)*0.21)*'Технический лист'!$O$11)+(((E6+30)*(E6+30)/1000000)*'Технический лист'!$E$20))*1.96</f>
        <v>1158.57325472</v>
      </c>
      <c r="F12" s="16">
        <f>((((F6*0.00314)*0.22)*'Технический лист'!$M$8)+100+(((F7*0.00314)*0.21)*'Технический лист'!$O$11)+(((F6+30)*(F6+30)/1000000)*'Технический лист'!$E$20))*1.96</f>
        <v>1199.2203641599999</v>
      </c>
      <c r="G12" s="16">
        <f>((((G6*0.00314)*0.22)*'Технический лист'!$M$8)+100+(((G7*0.00314)*0.21)*'Технический лист'!$O$11)+(((G6+30)*(G6+30)/1000000)*'Технический лист'!$E$20))*1.96</f>
        <v>1240.2594736000001</v>
      </c>
      <c r="H12" s="16">
        <f>((((H6*0.00314)*0.22)*'Технический лист'!$M$8)+100+(((H7*0.00314)*0.21)*'Технический лист'!$O$11)+(((H6+30)*(H6+30)/1000000)*'Технический лист'!$E$20))*1.96</f>
        <v>1323.5136924799999</v>
      </c>
      <c r="I12" s="16">
        <f>((((I6*0.00314)*0.22)*'Технический лист'!$M$8)+100+(((I7*0.00314)*0.21)*'Технический лист'!$O$11)+(((I6+30)*(I6+30)/1000000)*'Технический лист'!$E$20))*1.96</f>
        <v>1408.33591136</v>
      </c>
      <c r="J12" s="16">
        <f>((((J6*0.00314)*0.22)*'Технический лист'!$M$8)+100+(((J7*0.00314)*0.21)*'Технический лист'!$O$11)+(((J6+30)*(J6+30)/1000000)*'Технический лист'!$E$20))*1.96</f>
        <v>1494.7261302399997</v>
      </c>
      <c r="K12" s="16">
        <f>((((K6*0.00314)*0.22)*'Технический лист'!$M$8)+100+(((K7*0.00314)*0.21)*'Технический лист'!$O$11)+(((K6+30)*(K6+30)/1000000)*'Технический лист'!$E$20))*1.96</f>
        <v>1672.210568</v>
      </c>
      <c r="L12" s="16">
        <f>((((L6*0.00314)*0.22)*'Технический лист'!$M$8)+100+(((L7*0.00314)*0.21)*'Технический лист'!$O$11)+(((L6+30)*(L6+30)/1000000)*'Технический лист'!$E$20))*1.96</f>
        <v>1855.9670057599999</v>
      </c>
      <c r="M12" s="16">
        <f>((((M6*0.00314)*0.22)*'Технический лист'!$M$8)+100+(((M7*0.00314)*0.21)*'Технический лист'!$O$11)+(((M6+30)*(M6+30)/1000000)*'Технический лист'!$E$20))*1.96</f>
        <v>2045.9954435199998</v>
      </c>
      <c r="N12" s="16">
        <f>((((N6*0.00314)*0.22)*'Технический лист'!$M$8)+100+(((N7*0.00314)*0.21)*'Технический лист'!$O$11)+(((N6+30)*(N6+30)/1000000)*'Технический лист'!$E$20))*1.96</f>
        <v>2342.7981001599996</v>
      </c>
      <c r="O12" s="16">
        <f>((((O6*0.00314)*0.22)*'Технический лист'!$M$8)+100+(((O7*0.00314)*0.21)*'Технический лист'!$O$11)+(((O6+30)*(O6+30)/1000000)*'Технический лист'!$E$20))*1.96</f>
        <v>2444.8683190399997</v>
      </c>
      <c r="P12" s="16">
        <f>((((P6*0.00314)*0.22)*'Технический лист'!$M$8)+100+(((P7*0.00314)*0.21)*'Технический лист'!$O$11)+(((P6+30)*(P6+30)/1000000)*'Технический лист'!$E$20))*1.96</f>
        <v>2548.50653792</v>
      </c>
      <c r="Q12" s="16">
        <f>((((Q6*0.00314)*0.22)*'Технический лист'!$M$8)+100+(((Q7*0.00314)*0.21)*'Технический лист'!$O$11)+(((Q6+30)*(Q6+30)/1000000)*'Технический лист'!$E$20))*1.96</f>
        <v>2653.7127568000001</v>
      </c>
      <c r="R12" s="16">
        <f>((((R6*0.00314)*0.22)*'Технический лист'!$M$8)+100+(((R7*0.00314)*0.21)*'Технический лист'!$O$11)+(((R6+30)*(R6+30)/1000000)*'Технический лист'!$E$20))*1.96</f>
        <v>2760.4869756800003</v>
      </c>
      <c r="S12" s="16">
        <f>((((S6*0.00314)*0.22)*'Технический лист'!$M$8)+100+(((S7*0.00314)*0.21)*'Технический лист'!$O$11)+(((S6+30)*(S6+30)/1000000)*'Технический лист'!$E$20))*1.96</f>
        <v>2868.8291945599995</v>
      </c>
    </row>
    <row r="13" spans="1:19">
      <c r="A13" s="4" t="s">
        <v>7</v>
      </c>
      <c r="B13" s="9">
        <f>(B12*2.2)+24</f>
        <v>2223.790597312</v>
      </c>
      <c r="C13" s="9">
        <f t="shared" ref="C13:N13" si="6">(C12*2.2)+24</f>
        <v>2396.6010788480007</v>
      </c>
      <c r="D13" s="9">
        <f t="shared" si="6"/>
        <v>2484.2999196159999</v>
      </c>
      <c r="E13" s="9">
        <f t="shared" si="6"/>
        <v>2572.8611603840004</v>
      </c>
      <c r="F13" s="9">
        <f t="shared" si="6"/>
        <v>2662.284801152</v>
      </c>
      <c r="G13" s="9">
        <f t="shared" si="6"/>
        <v>2752.5708419200005</v>
      </c>
      <c r="H13" s="9">
        <f t="shared" si="6"/>
        <v>2935.730123456</v>
      </c>
      <c r="I13" s="9">
        <f t="shared" si="6"/>
        <v>3122.3390049920004</v>
      </c>
      <c r="J13" s="9">
        <f t="shared" si="6"/>
        <v>3312.3974865279997</v>
      </c>
      <c r="K13" s="9">
        <f t="shared" si="6"/>
        <v>3702.8632496</v>
      </c>
      <c r="L13" s="9">
        <f t="shared" si="6"/>
        <v>4107.127412672</v>
      </c>
      <c r="M13" s="9">
        <f t="shared" si="6"/>
        <v>4525.1899757439996</v>
      </c>
      <c r="N13" s="9">
        <f t="shared" si="6"/>
        <v>5178.1558203519999</v>
      </c>
      <c r="O13" s="9">
        <f t="shared" ref="O13:S13" si="7">(O12*2.2)+24</f>
        <v>5402.7103018879998</v>
      </c>
      <c r="P13" s="9">
        <f t="shared" si="7"/>
        <v>5630.7143834240005</v>
      </c>
      <c r="Q13" s="9">
        <f t="shared" si="7"/>
        <v>5862.1680649600003</v>
      </c>
      <c r="R13" s="9">
        <f t="shared" si="7"/>
        <v>6097.0713464960008</v>
      </c>
      <c r="S13" s="9">
        <f t="shared" si="7"/>
        <v>6335.4242280319995</v>
      </c>
    </row>
    <row r="14" spans="1:19">
      <c r="A14" s="4" t="s">
        <v>8</v>
      </c>
      <c r="B14" s="16">
        <f>((((B6*0.00314)*0.2)*'Технический лист'!$M$8)+50+(((B7*0.00314)*0.22)*'Технический лист'!$O$11))*1.96</f>
        <v>741.2022799321212</v>
      </c>
      <c r="C14" s="16">
        <f>((((C6*0.00314)*0.2)*'Технический лист'!$M$8)+50+(((C7*0.00314)*0.22)*'Технический лист'!$O$11))*1.96</f>
        <v>795.29914687999985</v>
      </c>
      <c r="D14" s="16">
        <f>((((D6*0.00314)*0.2)*'Технический лист'!$M$8)+50+(((D7*0.00314)*0.22)*'Технический лист'!$O$11))*1.96</f>
        <v>822.34758035393941</v>
      </c>
      <c r="E14" s="16">
        <f>((((E6*0.00314)*0.2)*'Технический лист'!$M$8)+50+(((E7*0.00314)*0.22)*'Технический лист'!$O$11))*1.96</f>
        <v>849.39601382787896</v>
      </c>
      <c r="F14" s="16">
        <f>((((F6*0.00314)*0.2)*'Технический лист'!$M$8)+50+(((F7*0.00314)*0.22)*'Технический лист'!$O$11))*1.96</f>
        <v>876.44444730181829</v>
      </c>
      <c r="G14" s="16">
        <f>((((G6*0.00314)*0.2)*'Технический лист'!$M$8)+50+(((G7*0.00314)*0.22)*'Технический лист'!$O$11))*1.96</f>
        <v>903.49288077575761</v>
      </c>
      <c r="H14" s="16">
        <f>((((H6*0.00314)*0.2)*'Технический лист'!$M$8)+50+(((H7*0.00314)*0.22)*'Технический лист'!$O$11))*1.96</f>
        <v>957.58974772363626</v>
      </c>
      <c r="I14" s="16">
        <f>((((I6*0.00314)*0.2)*'Технический лист'!$M$8)+50+(((I7*0.00314)*0.22)*'Технический лист'!$O$11))*1.96</f>
        <v>1011.6866146715151</v>
      </c>
      <c r="J14" s="16">
        <f>((((J6*0.00314)*0.2)*'Технический лист'!$M$8)+50+(((J7*0.00314)*0.22)*'Технический лист'!$O$11))*1.96</f>
        <v>1065.783481619394</v>
      </c>
      <c r="K14" s="16">
        <f>((((K6*0.00314)*0.2)*'Технический лист'!$M$8)+50+(((K7*0.00314)*0.22)*'Технический лист'!$O$11))*1.96</f>
        <v>1173.9772155151518</v>
      </c>
      <c r="L14" s="16">
        <f>((((L6*0.00314)*0.2)*'Технический лист'!$M$8)+50+(((L7*0.00314)*0.22)*'Технический лист'!$O$11))*1.96</f>
        <v>1282.1709494109093</v>
      </c>
      <c r="M14" s="16">
        <f>((((M6*0.00314)*0.2)*'Технический лист'!$M$8)+50+(((M7*0.00314)*0.22)*'Технический лист'!$O$11))*1.96</f>
        <v>1390.3646833066666</v>
      </c>
      <c r="N14" s="16">
        <f>((((N6*0.00314)*0.2)*'Технический лист'!$M$8)+50+(((N7*0.00314)*0.22)*'Технический лист'!$O$11))*1.96</f>
        <v>1552.6552841503033</v>
      </c>
      <c r="O14" s="16">
        <f>((((O6*0.00314)*0.2)*'Технический лист'!$M$8)+50+(((O7*0.00314)*0.22)*'Технический лист'!$O$11))*1.96</f>
        <v>1606.7521510981817</v>
      </c>
      <c r="P14" s="16">
        <f>((((P6*0.00314)*0.2)*'Технический лист'!$M$8)+50+(((P7*0.00314)*0.22)*'Технический лист'!$O$11))*1.96</f>
        <v>1660.8490180460608</v>
      </c>
      <c r="Q14" s="16">
        <f>((((Q6*0.00314)*0.2)*'Технический лист'!$M$8)+50+(((Q7*0.00314)*0.22)*'Технический лист'!$O$11))*1.96</f>
        <v>1714.9458849939392</v>
      </c>
      <c r="R14" s="16">
        <f>((((R6*0.00314)*0.2)*'Технический лист'!$M$8)+50+(((R7*0.00314)*0.22)*'Технический лист'!$O$11))*1.96</f>
        <v>1769.0427519418181</v>
      </c>
      <c r="S14" s="16">
        <f>((((S6*0.00314)*0.2)*'Технический лист'!$M$8)+50+(((S7*0.00314)*0.22)*'Технический лист'!$O$11))*1.96</f>
        <v>1823.139618889697</v>
      </c>
    </row>
    <row r="15" spans="1:19">
      <c r="A15" s="4" t="s">
        <v>9</v>
      </c>
      <c r="B15" s="9">
        <f>((((B6*0.00314)*((B6+545)/1000))*'Технический лист'!$K$8)+370+((B7*0.00314)*((B7+450)/1000))*'Технический лист'!$K$11)*1.95</f>
        <v>2327.8748496207791</v>
      </c>
      <c r="C15" s="9">
        <f>((((C6*0.00314)*((C6+545)/1000))*'Технический лист'!$K$8)+370+((C7*0.00314)*((C7+450)/1000))*'Технический лист'!$K$11)*1.95</f>
        <v>2497.8834169714287</v>
      </c>
      <c r="D15" s="9">
        <f>((((D6*0.00314)*((D6+545)/1000))*'Технический лист'!$K$8)+370+((D7*0.00314)*((D7+450)/1000))*'Технический лист'!$K$11)*1.95</f>
        <v>2584.5579516714283</v>
      </c>
      <c r="E15" s="9">
        <f>((((E6*0.00314)*((E6+545)/1000))*'Технический лист'!$K$8)+370+((E7*0.00314)*((E7+450)/1000))*'Технический лист'!$K$11)*1.95</f>
        <v>2672.3459870545453</v>
      </c>
      <c r="F15" s="9">
        <f>((((F6*0.00314)*((F6+545)/1000))*'Технический лист'!$K$8)+370+((F7*0.00314)*((F7+450)/1000))*'Технический лист'!$K$11)*1.95</f>
        <v>2761.2475231207786</v>
      </c>
      <c r="G15" s="9">
        <f>((((G6*0.00314)*((G6+545)/1000))*'Технический лист'!$K$8)+370+((G7*0.00314)*((G7+450)/1000))*'Технический лист'!$K$11)*1.95</f>
        <v>2851.2625598701297</v>
      </c>
      <c r="H15" s="9">
        <f>((((H6*0.00314)*((H6+545)/1000))*'Технический лист'!$K$8)+370+((H7*0.00314)*((H7+450)/1000))*'Технический лист'!$K$11)*1.95</f>
        <v>3034.6331354181821</v>
      </c>
      <c r="I15" s="9">
        <f>((((I6*0.00314)*((I6+545)/1000))*'Технический лист'!$K$8)+370+((I7*0.00314)*((I7+450)/1000))*'Технический лист'!$K$11)*1.95</f>
        <v>3222.4577136987009</v>
      </c>
      <c r="J15" s="9">
        <f>((((J6*0.00314)*((J6+545)/1000))*'Технический лист'!$K$8)+370+((J7*0.00314)*((J7+450)/1000))*'Технический лист'!$K$11)*1.95</f>
        <v>3414.7362947116876</v>
      </c>
      <c r="K15" s="9">
        <f>((((K6*0.00314)*((K6+545)/1000))*'Технический лист'!$K$8)+370+((K7*0.00314)*((K7+450)/1000))*'Технический лист'!$K$11)*1.95</f>
        <v>3812.6554649350646</v>
      </c>
      <c r="L15" s="9">
        <f>((((L6*0.00314)*((L6+545)/1000))*'Технический лист'!$K$8)+370+((L7*0.00314)*((L7+450)/1000))*'Технический лист'!$K$11)*1.95</f>
        <v>4228.3906460883109</v>
      </c>
      <c r="M15" s="9">
        <f>((((M6*0.00314)*((M6+545)/1000))*'Технический лист'!$K$8)+370+((M7*0.00314)*((M7+450)/1000))*'Технический лист'!$K$11)*1.95</f>
        <v>4661.9418381714277</v>
      </c>
      <c r="N15" s="9">
        <f>((((N6*0.00314)*((N6+545)/1000))*'Технический лист'!$K$8)+370+((N7*0.00314)*((N7+450)/1000))*'Технический лист'!$K$11)*1.95</f>
        <v>5345.6736467896098</v>
      </c>
      <c r="O15" s="9">
        <f>((((O6*0.00314)*((O6+545)/1000))*'Технический лист'!$K$8)+370+((O7*0.00314)*((O7+450)/1000))*'Технический лист'!$K$11)*1.95</f>
        <v>5582.492255127273</v>
      </c>
      <c r="P15" s="9">
        <f>((((P6*0.00314)*((P6+545)/1000))*'Технический лист'!$K$8)+370+((P7*0.00314)*((P7+450)/1000))*'Технический лист'!$K$11)*1.95</f>
        <v>5823.7648661974026</v>
      </c>
      <c r="Q15" s="9">
        <f>((((Q6*0.00314)*((Q6+545)/1000))*'Технический лист'!$K$8)+370+((Q7*0.00314)*((Q7+450)/1000))*'Технический лист'!$K$11)*1.95</f>
        <v>6069.4914799999997</v>
      </c>
      <c r="R15" s="9">
        <f>((((R6*0.00314)*((R6+545)/1000))*'Технический лист'!$K$8)+370+((R7*0.00314)*((R7+450)/1000))*'Технический лист'!$K$11)*1.95</f>
        <v>6319.6720965350642</v>
      </c>
      <c r="S15" s="9">
        <f>((((S6*0.00314)*((S6+545)/1000))*'Технический лист'!$K$8)+370+((S7*0.00314)*((S7+450)/1000))*'Технический лист'!$K$11)*1.95</f>
        <v>6574.306715802596</v>
      </c>
    </row>
    <row r="16" spans="1:19" ht="0.75" hidden="1" customHeight="1">
      <c r="A16" s="4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>
      <c r="A17" s="4" t="s">
        <v>118</v>
      </c>
      <c r="B17" s="16">
        <v>1800</v>
      </c>
      <c r="C17" s="16">
        <v>1800</v>
      </c>
      <c r="D17" s="16">
        <v>1800</v>
      </c>
      <c r="E17" s="16">
        <v>1800</v>
      </c>
      <c r="F17" s="16">
        <v>1800</v>
      </c>
      <c r="G17" s="16">
        <v>1800</v>
      </c>
      <c r="H17" s="16">
        <v>1800</v>
      </c>
      <c r="I17" s="16">
        <v>1800</v>
      </c>
      <c r="J17" s="16">
        <v>1800</v>
      </c>
      <c r="K17" s="16">
        <v>1800</v>
      </c>
      <c r="L17" s="16">
        <v>1800</v>
      </c>
      <c r="M17" s="16">
        <v>1800</v>
      </c>
      <c r="N17" s="16">
        <v>1800</v>
      </c>
      <c r="O17" s="16">
        <v>1800</v>
      </c>
      <c r="P17" s="16">
        <v>1800</v>
      </c>
      <c r="Q17" s="16">
        <v>1800</v>
      </c>
      <c r="R17" s="16">
        <v>1800</v>
      </c>
      <c r="S17" s="16">
        <v>1800</v>
      </c>
    </row>
    <row r="19" spans="1:19">
      <c r="A19" s="41" t="s">
        <v>46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19">
      <c r="A20" s="3" t="s">
        <v>0</v>
      </c>
      <c r="B20" s="10">
        <v>100</v>
      </c>
      <c r="C20" s="10">
        <v>110</v>
      </c>
      <c r="D20" s="10">
        <v>115</v>
      </c>
      <c r="E20" s="10">
        <v>120</v>
      </c>
      <c r="F20" s="10">
        <v>125</v>
      </c>
      <c r="G20" s="10">
        <v>130</v>
      </c>
      <c r="H20" s="10">
        <v>140</v>
      </c>
      <c r="I20" s="10">
        <v>150</v>
      </c>
      <c r="J20" s="10">
        <v>160</v>
      </c>
      <c r="K20" s="10">
        <v>180</v>
      </c>
      <c r="L20" s="10">
        <v>200</v>
      </c>
      <c r="M20" s="10">
        <v>220</v>
      </c>
      <c r="N20" s="10">
        <v>250</v>
      </c>
      <c r="O20" s="10">
        <v>260</v>
      </c>
      <c r="P20" s="10">
        <v>270</v>
      </c>
      <c r="Q20" s="10">
        <v>280</v>
      </c>
      <c r="R20" s="10">
        <v>290</v>
      </c>
      <c r="S20" s="10">
        <v>300</v>
      </c>
    </row>
    <row r="21" spans="1:19">
      <c r="A21" s="3" t="s">
        <v>1</v>
      </c>
      <c r="B21" s="10">
        <f>B20+70</f>
        <v>170</v>
      </c>
      <c r="C21" s="10">
        <f t="shared" ref="C21:N21" si="8">C20+70</f>
        <v>180</v>
      </c>
      <c r="D21" s="10">
        <f t="shared" si="8"/>
        <v>185</v>
      </c>
      <c r="E21" s="10">
        <f t="shared" si="8"/>
        <v>190</v>
      </c>
      <c r="F21" s="10">
        <f t="shared" si="8"/>
        <v>195</v>
      </c>
      <c r="G21" s="10">
        <f t="shared" si="8"/>
        <v>200</v>
      </c>
      <c r="H21" s="10">
        <f t="shared" si="8"/>
        <v>210</v>
      </c>
      <c r="I21" s="10">
        <f t="shared" si="8"/>
        <v>220</v>
      </c>
      <c r="J21" s="10">
        <f t="shared" si="8"/>
        <v>230</v>
      </c>
      <c r="K21" s="10">
        <f t="shared" si="8"/>
        <v>250</v>
      </c>
      <c r="L21" s="10">
        <f t="shared" si="8"/>
        <v>270</v>
      </c>
      <c r="M21" s="10">
        <f t="shared" si="8"/>
        <v>290</v>
      </c>
      <c r="N21" s="10">
        <f t="shared" si="8"/>
        <v>320</v>
      </c>
      <c r="O21" s="10">
        <f t="shared" ref="O21:S21" si="9">O20+70</f>
        <v>330</v>
      </c>
      <c r="P21" s="10">
        <f t="shared" si="9"/>
        <v>340</v>
      </c>
      <c r="Q21" s="10">
        <f t="shared" si="9"/>
        <v>350</v>
      </c>
      <c r="R21" s="10">
        <f t="shared" si="9"/>
        <v>360</v>
      </c>
      <c r="S21" s="10">
        <f t="shared" si="9"/>
        <v>370</v>
      </c>
    </row>
    <row r="22" spans="1:19">
      <c r="A22" s="4" t="s">
        <v>4</v>
      </c>
      <c r="B22" s="16">
        <f>(((B20*0.00314)*'Технический лист'!$G$8)+310+((B21*0.00314)*'Технический лист'!$G$5))*1.95</f>
        <v>3047.3575262337658</v>
      </c>
      <c r="C22" s="16">
        <f>(((C20*0.00314)*'Технический лист'!$G$8)+310+((C21*0.00314)*'Технический лист'!$G$5))*1.95</f>
        <v>3242.9531828571426</v>
      </c>
      <c r="D22" s="16">
        <f>(((D20*0.00314)*'Технический лист'!$G$8)+310+((D21*0.00314)*'Технический лист'!$G$5))*1.95</f>
        <v>3340.7510111688307</v>
      </c>
      <c r="E22" s="16">
        <f>(((E20*0.00314)*'Технический лист'!$G$8)+310+((E21*0.00314)*'Технический лист'!$G$5))*1.95</f>
        <v>3438.5488394805193</v>
      </c>
      <c r="F22" s="16">
        <f>(((F20*0.00314)*'Технический лист'!$G$8)+310+((F21*0.00314)*'Технический лист'!$G$5))*1.95</f>
        <v>3536.3466677922074</v>
      </c>
      <c r="G22" s="16">
        <f>(((G20*0.00314)*'Технический лист'!$G$8)+310+((G21*0.00314)*'Технический лист'!$G$5))*1.95</f>
        <v>3634.1444961038956</v>
      </c>
      <c r="H22" s="16">
        <f>(((H20*0.00314)*'Технический лист'!$G$8)+310+((H21*0.00314)*'Технический лист'!$G$5))*1.95</f>
        <v>3829.7401527272727</v>
      </c>
      <c r="I22" s="16">
        <f>(((I20*0.00314)*'Технический лист'!$G$8)+310+((I21*0.00314)*'Технический лист'!$G$5))*1.95</f>
        <v>4025.3358093506486</v>
      </c>
      <c r="J22" s="16">
        <f>(((J20*0.00314)*'Технический лист'!$G$8)+310+((J21*0.00314)*'Технический лист'!$G$5))*1.95</f>
        <v>4220.9314659740257</v>
      </c>
      <c r="K22" s="16">
        <f>(((K20*0.00314)*'Технический лист'!$G$8)+310+((K21*0.00314)*'Технический лист'!$G$5))*1.95</f>
        <v>4612.1227792207792</v>
      </c>
      <c r="L22" s="16">
        <f>(((L20*0.00314)*'Технический лист'!$G$8)+310+((L21*0.00314)*'Технический лист'!$G$5))*1.95</f>
        <v>5003.3140924675326</v>
      </c>
      <c r="M22" s="16">
        <f>(((M20*0.00314)*'Технический лист'!$G$8)+310+((M21*0.00314)*'Технический лист'!$G$5))*1.95</f>
        <v>5394.5054057142852</v>
      </c>
      <c r="N22" s="16">
        <f>(((N20*0.00314)*'Технический лист'!$G$8)+310+((N21*0.00314)*'Технический лист'!$G$5))*1.95</f>
        <v>5981.292375584414</v>
      </c>
      <c r="O22" s="16">
        <f>(((O20*0.00314)*'Технический лист'!$G$8)+310+((O21*0.00314)*'Технический лист'!$G$5))*1.95</f>
        <v>6176.8880322077912</v>
      </c>
      <c r="P22" s="16">
        <f>(((P20*0.00314)*'Технический лист'!$G$8)+310+((P21*0.00314)*'Технический лист'!$G$5))*1.95</f>
        <v>6372.4836888311684</v>
      </c>
      <c r="Q22" s="16">
        <f>(((Q20*0.00314)*'Технический лист'!$G$8)+310+((Q21*0.00314)*'Технический лист'!$G$5))*1.95</f>
        <v>6568.0793454545446</v>
      </c>
      <c r="R22" s="16">
        <f>(((R20*0.00314)*'Технический лист'!$G$8)+310+((R21*0.00314)*'Технический лист'!$G$5))*1.95</f>
        <v>6763.6750020779209</v>
      </c>
      <c r="S22" s="16">
        <f>(((S20*0.00314)*'Технический лист'!$G$8)+310+((S21*0.00314)*'Технический лист'!$G$5))*1.95</f>
        <v>6959.2706587012981</v>
      </c>
    </row>
    <row r="23" spans="1:19">
      <c r="A23" s="4" t="s">
        <v>3</v>
      </c>
      <c r="B23" s="9">
        <f>((B22/2)*1.07)-10</f>
        <v>1620.3362765350648</v>
      </c>
      <c r="C23" s="9">
        <f t="shared" ref="C23:N23" si="10">((C22/2)*1.07)-10</f>
        <v>1724.9799528285714</v>
      </c>
      <c r="D23" s="9">
        <f t="shared" si="10"/>
        <v>1777.3017909753246</v>
      </c>
      <c r="E23" s="9">
        <f t="shared" si="10"/>
        <v>1829.623629122078</v>
      </c>
      <c r="F23" s="9">
        <f t="shared" si="10"/>
        <v>1881.9454672688312</v>
      </c>
      <c r="G23" s="9">
        <f t="shared" si="10"/>
        <v>1934.2673054155841</v>
      </c>
      <c r="H23" s="9">
        <f t="shared" si="10"/>
        <v>2038.9109817090912</v>
      </c>
      <c r="I23" s="9">
        <f t="shared" si="10"/>
        <v>2143.5546580025971</v>
      </c>
      <c r="J23" s="9">
        <f t="shared" si="10"/>
        <v>2248.1983342961039</v>
      </c>
      <c r="K23" s="9">
        <f t="shared" si="10"/>
        <v>2457.4856868831171</v>
      </c>
      <c r="L23" s="9">
        <f t="shared" si="10"/>
        <v>2666.7730394701302</v>
      </c>
      <c r="M23" s="9">
        <f t="shared" si="10"/>
        <v>2876.060392057143</v>
      </c>
      <c r="N23" s="9">
        <f t="shared" si="10"/>
        <v>3189.9914209376616</v>
      </c>
      <c r="O23" s="9">
        <f t="shared" ref="O23:S23" si="11">((O22/2)*1.07)-10</f>
        <v>3294.6350972311684</v>
      </c>
      <c r="P23" s="9">
        <f t="shared" si="11"/>
        <v>3399.2787735246752</v>
      </c>
      <c r="Q23" s="9">
        <f t="shared" si="11"/>
        <v>3503.9224498181816</v>
      </c>
      <c r="R23" s="9">
        <f t="shared" si="11"/>
        <v>3608.5661261116879</v>
      </c>
      <c r="S23" s="9">
        <f t="shared" si="11"/>
        <v>3713.2098024051948</v>
      </c>
    </row>
    <row r="24" spans="1:19">
      <c r="A24" s="4" t="s">
        <v>5</v>
      </c>
      <c r="B24" s="16">
        <f>((((B20*0.00314)*0.5)*'Технический лист'!$I$8)+310+(((B21*0.00314)*0.5)*'Технический лист'!$I$5))*1.95</f>
        <v>2430.5750131168829</v>
      </c>
      <c r="C24" s="16">
        <f>((((C20*0.00314)*0.5)*'Технический лист'!$I$8)+310+(((C21*0.00314)*0.5)*'Технический лист'!$I$5))*1.95</f>
        <v>2574.9076414285714</v>
      </c>
      <c r="D24" s="16">
        <f>((((D20*0.00314)*0.5)*'Технический лист'!$I$8)+310+(((D21*0.00314)*0.5)*'Технический лист'!$I$5))*1.95</f>
        <v>2647.0739555844157</v>
      </c>
      <c r="E24" s="16">
        <f>((((E20*0.00314)*0.5)*'Технический лист'!$I$8)+310+(((E21*0.00314)*0.5)*'Технический лист'!$I$5))*1.95</f>
        <v>2719.2402697402599</v>
      </c>
      <c r="F24" s="16">
        <f>((((F20*0.00314)*0.5)*'Технический лист'!$I$8)+310+(((F21*0.00314)*0.5)*'Технический лист'!$I$5))*1.95</f>
        <v>2791.4065838961042</v>
      </c>
      <c r="G24" s="16">
        <f>((((G20*0.00314)*0.5)*'Технический лист'!$I$8)+310+(((G21*0.00314)*0.5)*'Технический лист'!$I$5))*1.95</f>
        <v>2863.572898051948</v>
      </c>
      <c r="H24" s="16">
        <f>((((H20*0.00314)*0.5)*'Технический лист'!$I$8)+310+(((H21*0.00314)*0.5)*'Технический лист'!$I$5))*1.95</f>
        <v>3007.905526363636</v>
      </c>
      <c r="I24" s="16">
        <f>((((I20*0.00314)*0.5)*'Технический лист'!$I$8)+310+(((I21*0.00314)*0.5)*'Технический лист'!$I$5))*1.95</f>
        <v>3152.2381546753245</v>
      </c>
      <c r="J24" s="16">
        <f>((((J20*0.00314)*0.5)*'Технический лист'!$I$8)+310+(((J21*0.00314)*0.5)*'Технический лист'!$I$5))*1.95</f>
        <v>3296.570782987013</v>
      </c>
      <c r="K24" s="16">
        <f>((((K20*0.00314)*0.5)*'Технический лист'!$I$8)+310+(((K21*0.00314)*0.5)*'Технический лист'!$I$5))*1.95</f>
        <v>3585.2360396103891</v>
      </c>
      <c r="L24" s="16">
        <f>((((L20*0.00314)*0.5)*'Технический лист'!$I$8)+310+(((L21*0.00314)*0.5)*'Технический лист'!$I$5))*1.95</f>
        <v>3873.9012962337665</v>
      </c>
      <c r="M24" s="16">
        <f>((((M20*0.00314)*0.5)*'Технический лист'!$I$8)+310+(((M21*0.00314)*0.5)*'Технический лист'!$I$5))*1.95</f>
        <v>4162.5665528571417</v>
      </c>
      <c r="N24" s="16">
        <f>((((N20*0.00314)*0.5)*'Технический лист'!$I$8)+310+(((N21*0.00314)*0.5)*'Технический лист'!$I$5))*1.95</f>
        <v>4595.5644377922081</v>
      </c>
      <c r="O24" s="16">
        <f>((((O20*0.00314)*0.5)*'Технический лист'!$I$8)+310+(((O21*0.00314)*0.5)*'Технический лист'!$I$5))*1.95</f>
        <v>4739.8970661038966</v>
      </c>
      <c r="P24" s="16">
        <f>((((P20*0.00314)*0.5)*'Технический лист'!$I$8)+310+(((P21*0.00314)*0.5)*'Технический лист'!$I$5))*1.95</f>
        <v>4884.2296944155842</v>
      </c>
      <c r="Q24" s="16">
        <f>((((Q20*0.00314)*0.5)*'Технический лист'!$I$8)+310+(((Q21*0.00314)*0.5)*'Технический лист'!$I$5))*1.95</f>
        <v>5028.5623227272717</v>
      </c>
      <c r="R24" s="16">
        <f>((((R20*0.00314)*0.5)*'Технический лист'!$I$8)+310+(((R21*0.00314)*0.5)*'Технический лист'!$I$5))*1.95</f>
        <v>5172.8949510389612</v>
      </c>
      <c r="S24" s="16">
        <f>((((S20*0.00314)*0.5)*'Технический лист'!$I$8)+310+(((S21*0.00314)*0.5)*'Технический лист'!$I$5))*1.95</f>
        <v>5317.2275793506487</v>
      </c>
    </row>
    <row r="25" spans="1:19">
      <c r="A25" s="4" t="s">
        <v>96</v>
      </c>
      <c r="B25" s="9">
        <f>((B24*2)/3)-6</f>
        <v>1614.383342077922</v>
      </c>
      <c r="C25" s="9">
        <f t="shared" ref="C25:N25" si="12">((C24*2)/3)-6</f>
        <v>1710.6050942857144</v>
      </c>
      <c r="D25" s="9">
        <f t="shared" si="12"/>
        <v>1758.7159703896104</v>
      </c>
      <c r="E25" s="9">
        <f t="shared" si="12"/>
        <v>1806.8268464935065</v>
      </c>
      <c r="F25" s="9">
        <f t="shared" si="12"/>
        <v>1854.9377225974029</v>
      </c>
      <c r="G25" s="9">
        <f t="shared" si="12"/>
        <v>1903.0485987012987</v>
      </c>
      <c r="H25" s="9">
        <f t="shared" si="12"/>
        <v>1999.2703509090907</v>
      </c>
      <c r="I25" s="9">
        <f t="shared" si="12"/>
        <v>2095.4921031168828</v>
      </c>
      <c r="J25" s="9">
        <f t="shared" si="12"/>
        <v>2191.7138553246755</v>
      </c>
      <c r="K25" s="9">
        <f t="shared" si="12"/>
        <v>2384.1573597402594</v>
      </c>
      <c r="L25" s="9">
        <f t="shared" si="12"/>
        <v>2576.6008641558442</v>
      </c>
      <c r="M25" s="9">
        <f t="shared" si="12"/>
        <v>2769.0443685714276</v>
      </c>
      <c r="N25" s="9">
        <f t="shared" si="12"/>
        <v>3057.7096251948055</v>
      </c>
      <c r="O25" s="9">
        <f t="shared" ref="O25:S25" si="13">((O24*2)/3)-6</f>
        <v>3153.9313774025977</v>
      </c>
      <c r="P25" s="9">
        <f t="shared" si="13"/>
        <v>3250.1531296103894</v>
      </c>
      <c r="Q25" s="9">
        <f t="shared" si="13"/>
        <v>3346.3748818181812</v>
      </c>
      <c r="R25" s="9">
        <f t="shared" si="13"/>
        <v>3442.5966340259743</v>
      </c>
      <c r="S25" s="9">
        <f t="shared" si="13"/>
        <v>3538.818386233766</v>
      </c>
    </row>
    <row r="26" spans="1:19">
      <c r="A26" s="4" t="s">
        <v>6</v>
      </c>
      <c r="B26" s="16">
        <f>((((B20*0.00314)*0.22)*'Технический лист'!$M$8)+100+(((B21*0.00314)*0.21)*'Технический лист'!$O$5)+(((B20+30)*(B20+30)/1000000)*'Технический лист'!$E$20))*1.96</f>
        <v>1205.8482732799998</v>
      </c>
      <c r="C26" s="16">
        <f>((((C20*0.00314)*0.22)*'Технический лист'!$M$8)+100+(((C21*0.00314)*0.21)*'Технический лист'!$O$5)+(((C20+30)*(C20+30)/1000000)*'Технический лист'!$E$20))*1.96</f>
        <v>1296.5128131199999</v>
      </c>
      <c r="D26" s="16">
        <f>((((D20*0.00314)*0.22)*'Технический лист'!$M$8)+100+(((D21*0.00314)*0.21)*'Технический лист'!$O$5)+(((D20+30)*(D20+30)/1000000)*'Технический лист'!$E$20))*1.96</f>
        <v>1342.4330830399999</v>
      </c>
      <c r="E26" s="16">
        <f>((((E20*0.00314)*0.22)*'Технический лист'!$M$8)+100+(((E21*0.00314)*0.21)*'Технический лист'!$O$5)+(((E20+30)*(E20+30)/1000000)*'Технический лист'!$E$20))*1.96</f>
        <v>1388.7453529600002</v>
      </c>
      <c r="F26" s="16">
        <f>((((F20*0.00314)*0.22)*'Технический лист'!$M$8)+100+(((F21*0.00314)*0.21)*'Технический лист'!$O$5)+(((F20+30)*(F20+30)/1000000)*'Технический лист'!$E$20))*1.96</f>
        <v>1435.4496228799999</v>
      </c>
      <c r="G26" s="16">
        <f>((((G20*0.00314)*0.22)*'Технический лист'!$M$8)+100+(((G21*0.00314)*0.21)*'Технический лист'!$O$5)+(((G20+30)*(G20+30)/1000000)*'Технический лист'!$E$20))*1.96</f>
        <v>1482.5458927999998</v>
      </c>
      <c r="H26" s="16">
        <f>((((H20*0.00314)*0.22)*'Технический лист'!$M$8)+100+(((H21*0.00314)*0.21)*'Технический лист'!$O$5)+(((H20+30)*(H20+30)/1000000)*'Технический лист'!$E$20))*1.96</f>
        <v>1577.9144326399999</v>
      </c>
      <c r="I26" s="16">
        <f>((((I20*0.00314)*0.22)*'Технический лист'!$M$8)+100+(((I21*0.00314)*0.21)*'Технический лист'!$O$5)+(((I20+30)*(I20+30)/1000000)*'Технический лист'!$E$20))*1.96</f>
        <v>1674.8509724799997</v>
      </c>
      <c r="J26" s="16">
        <f>((((J20*0.00314)*0.22)*'Технический лист'!$M$8)+100+(((J21*0.00314)*0.21)*'Технический лист'!$O$5)+(((J20+30)*(J20+30)/1000000)*'Технический лист'!$E$20))*1.96</f>
        <v>1773.3555123199997</v>
      </c>
      <c r="K26" s="16">
        <f>((((K20*0.00314)*0.22)*'Технический лист'!$M$8)+100+(((K21*0.00314)*0.21)*'Технический лист'!$O$5)+(((K20+30)*(K20+30)/1000000)*'Технический лист'!$E$20))*1.96</f>
        <v>1975.0685919999999</v>
      </c>
      <c r="L26" s="16">
        <f>((((L20*0.00314)*0.22)*'Технический лист'!$M$8)+100+(((L21*0.00314)*0.21)*'Технический лист'!$O$5)+(((L20+30)*(L20+30)/1000000)*'Технический лист'!$E$20))*1.96</f>
        <v>2183.0536716800002</v>
      </c>
      <c r="M26" s="16">
        <f>((((M20*0.00314)*0.22)*'Технический лист'!$M$8)+100+(((M21*0.00314)*0.21)*'Технический лист'!$O$5)+(((M20+30)*(M20+30)/1000000)*'Технический лист'!$E$20))*1.96</f>
        <v>2397.3107513599998</v>
      </c>
      <c r="N26" s="16">
        <f>((((N20*0.00314)*0.22)*'Технический лист'!$M$8)+100+(((N21*0.00314)*0.21)*'Технический лист'!$O$5)+(((N20+30)*(N20+30)/1000000)*'Технический лист'!$E$20))*1.96</f>
        <v>2730.4563708800001</v>
      </c>
      <c r="O26" s="16">
        <f>((((O20*0.00314)*0.22)*'Технический лист'!$M$8)+100+(((O21*0.00314)*0.21)*'Технический лист'!$O$5)+(((O20+30)*(O20+30)/1000000)*'Технический лист'!$E$20))*1.96</f>
        <v>2844.6409107199997</v>
      </c>
      <c r="P26" s="16">
        <f>((((P20*0.00314)*0.22)*'Технический лист'!$M$8)+100+(((P21*0.00314)*0.21)*'Технический лист'!$O$5)+(((P20+30)*(P20+30)/1000000)*'Технический лист'!$E$20))*1.96</f>
        <v>2960.39345056</v>
      </c>
      <c r="Q26" s="16">
        <f>((((Q20*0.00314)*0.22)*'Технический лист'!$M$8)+100+(((Q21*0.00314)*0.21)*'Технический лист'!$O$5)+(((Q20+30)*(Q20+30)/1000000)*'Технический лист'!$E$20))*1.96</f>
        <v>3077.7139904000001</v>
      </c>
      <c r="R26" s="16">
        <f>((((R20*0.00314)*0.22)*'Технический лист'!$M$8)+100+(((R21*0.00314)*0.21)*'Технический лист'!$O$5)+(((R20+30)*(R20+30)/1000000)*'Технический лист'!$E$20))*1.96</f>
        <v>3196.6025302400003</v>
      </c>
      <c r="S26" s="16">
        <f>((((S20*0.00314)*0.22)*'Технический лист'!$M$8)+100+(((S21*0.00314)*0.21)*'Технический лист'!$O$5)+(((S20+30)*(S20+30)/1000000)*'Технический лист'!$E$20))*1.96</f>
        <v>3317.0590700799994</v>
      </c>
    </row>
    <row r="27" spans="1:19">
      <c r="A27" s="4" t="s">
        <v>7</v>
      </c>
      <c r="B27" s="9">
        <f>(B26*2.2)+24</f>
        <v>2676.8662012159998</v>
      </c>
      <c r="C27" s="9">
        <f t="shared" ref="C27:N27" si="14">(C26*2.2)+24</f>
        <v>2876.3281888639999</v>
      </c>
      <c r="D27" s="9">
        <f t="shared" si="14"/>
        <v>2977.3527826879999</v>
      </c>
      <c r="E27" s="9">
        <f t="shared" si="14"/>
        <v>3079.2397765120008</v>
      </c>
      <c r="F27" s="9">
        <f t="shared" si="14"/>
        <v>3181.9891703359999</v>
      </c>
      <c r="G27" s="9">
        <f t="shared" si="14"/>
        <v>3285.6009641599999</v>
      </c>
      <c r="H27" s="9">
        <f t="shared" si="14"/>
        <v>3495.4117518080002</v>
      </c>
      <c r="I27" s="9">
        <f t="shared" si="14"/>
        <v>3708.6721394559995</v>
      </c>
      <c r="J27" s="9">
        <f t="shared" si="14"/>
        <v>3925.3821271039997</v>
      </c>
      <c r="K27" s="9">
        <f t="shared" si="14"/>
        <v>4369.1509023999997</v>
      </c>
      <c r="L27" s="9">
        <f t="shared" si="14"/>
        <v>4826.7180776960013</v>
      </c>
      <c r="M27" s="9">
        <f t="shared" si="14"/>
        <v>5298.0836529919998</v>
      </c>
      <c r="N27" s="9">
        <f t="shared" si="14"/>
        <v>6031.0040159360005</v>
      </c>
      <c r="O27" s="9">
        <f t="shared" ref="O27:S27" si="15">(O26*2.2)+24</f>
        <v>6282.2100035840003</v>
      </c>
      <c r="P27" s="9">
        <f t="shared" si="15"/>
        <v>6536.865591232001</v>
      </c>
      <c r="Q27" s="9">
        <f t="shared" si="15"/>
        <v>6794.9707788800006</v>
      </c>
      <c r="R27" s="9">
        <f t="shared" si="15"/>
        <v>7056.525566528001</v>
      </c>
      <c r="S27" s="9">
        <f t="shared" si="15"/>
        <v>7321.5299541759996</v>
      </c>
    </row>
    <row r="28" spans="1:19">
      <c r="A28" s="4" t="s">
        <v>8</v>
      </c>
      <c r="B28" s="16">
        <f>((((B20*0.00314)*0.2)*'Технический лист'!$M$8)+50+(((B21*0.00314)*0.22)*'Технический лист'!$O$5))*1.95</f>
        <v>952.07015644675323</v>
      </c>
      <c r="C28" s="16">
        <f>((((C20*0.00314)*0.2)*'Технический лист'!$M$8)+50+(((C21*0.00314)*0.22)*'Технический лист'!$O$5))*1.95</f>
        <v>1018.5174613714285</v>
      </c>
      <c r="D28" s="16">
        <f>((((D20*0.00314)*0.2)*'Технический лист'!$M$8)+50+(((D21*0.00314)*0.22)*'Технический лист'!$O$5))*1.95</f>
        <v>1051.7411138337661</v>
      </c>
      <c r="E28" s="16">
        <f>((((E20*0.00314)*0.2)*'Технический лист'!$M$8)+50+(((E21*0.00314)*0.22)*'Технический лист'!$O$5))*1.95</f>
        <v>1084.9647662961038</v>
      </c>
      <c r="F28" s="16">
        <f>((((F20*0.00314)*0.2)*'Технический лист'!$M$8)+50+(((F21*0.00314)*0.22)*'Технический лист'!$O$5))*1.95</f>
        <v>1118.1884187584415</v>
      </c>
      <c r="G28" s="16">
        <f>((((G20*0.00314)*0.2)*'Технический лист'!$M$8)+50+(((G21*0.00314)*0.22)*'Технический лист'!$O$5))*1.95</f>
        <v>1151.4120712207794</v>
      </c>
      <c r="H28" s="16">
        <f>((((H20*0.00314)*0.2)*'Технический лист'!$M$8)+50+(((H21*0.00314)*0.22)*'Технический лист'!$O$5))*1.95</f>
        <v>1217.8593761454545</v>
      </c>
      <c r="I28" s="16">
        <f>((((I20*0.00314)*0.2)*'Технический лист'!$M$8)+50+(((I21*0.00314)*0.22)*'Технический лист'!$O$5))*1.95</f>
        <v>1284.3066810701298</v>
      </c>
      <c r="J28" s="16">
        <f>((((J20*0.00314)*0.2)*'Технический лист'!$M$8)+50+(((J21*0.00314)*0.22)*'Технический лист'!$O$5))*1.95</f>
        <v>1350.7539859948051</v>
      </c>
      <c r="K28" s="16">
        <f>((((K20*0.00314)*0.2)*'Технический лист'!$M$8)+50+(((K21*0.00314)*0.22)*'Технический лист'!$O$5))*1.95</f>
        <v>1483.6485958441558</v>
      </c>
      <c r="L28" s="16">
        <f>((((L20*0.00314)*0.2)*'Технический лист'!$M$8)+50+(((L21*0.00314)*0.22)*'Технический лист'!$O$5))*1.95</f>
        <v>1616.5432056935067</v>
      </c>
      <c r="M28" s="16">
        <f>((((M20*0.00314)*0.2)*'Технический лист'!$M$8)+50+(((M21*0.00314)*0.22)*'Технический лист'!$O$5))*1.95</f>
        <v>1749.4378155428569</v>
      </c>
      <c r="N28" s="16">
        <f>((((N20*0.00314)*0.2)*'Технический лист'!$M$8)+50+(((N21*0.00314)*0.22)*'Технический лист'!$O$5))*1.95</f>
        <v>1948.7797303168832</v>
      </c>
      <c r="O28" s="16">
        <f>((((O20*0.00314)*0.2)*'Технический лист'!$M$8)+50+(((O21*0.00314)*0.22)*'Технический лист'!$O$5))*1.95</f>
        <v>2015.2270352415583</v>
      </c>
      <c r="P28" s="16">
        <f>((((P20*0.00314)*0.2)*'Технический лист'!$M$8)+50+(((P21*0.00314)*0.22)*'Технический лист'!$O$5))*1.95</f>
        <v>2081.6743401662338</v>
      </c>
      <c r="Q28" s="16">
        <f>((((Q20*0.00314)*0.2)*'Технический лист'!$M$8)+50+(((Q21*0.00314)*0.22)*'Технический лист'!$O$5))*1.95</f>
        <v>2148.1216450909092</v>
      </c>
      <c r="R28" s="16">
        <f>((((R20*0.00314)*0.2)*'Технический лист'!$M$8)+50+(((R21*0.00314)*0.22)*'Технический лист'!$O$5))*1.95</f>
        <v>2214.5689500155845</v>
      </c>
      <c r="S28" s="16">
        <f>((((S20*0.00314)*0.2)*'Технический лист'!$M$8)+50+(((S21*0.00314)*0.22)*'Технический лист'!$O$5))*1.95</f>
        <v>2281.0162549402598</v>
      </c>
    </row>
    <row r="29" spans="1:19">
      <c r="A29" s="4" t="s">
        <v>9</v>
      </c>
      <c r="B29" s="9">
        <f>((((B20*0.00314)*((B20+545)/1000))*'Технический лист'!$K$8)+370+((B21*0.00314)*((B21+450)/1000))*'Технический лист'!$K$5)*1.96</f>
        <v>3174.8720230690915</v>
      </c>
      <c r="C29" s="9">
        <f>((((C20*0.00314)*((C20+545)/1000))*'Технический лист'!$K$8)+370+((C21*0.00314)*((C21+450)/1000))*'Технический лист'!$K$5)*1.96</f>
        <v>3409.13454336</v>
      </c>
      <c r="D29" s="9">
        <f>((((D20*0.00314)*((D20+545)/1000))*'Технический лист'!$K$8)+370+((D21*0.00314)*((D21+450)/1000))*'Технический лист'!$K$5)*1.96</f>
        <v>3528.5388272399996</v>
      </c>
      <c r="E29" s="9">
        <f>((((E20*0.00314)*((E20+545)/1000))*'Технический лист'!$K$8)+370+((E21*0.00314)*((E21+450)/1000))*'Технический лист'!$K$5)*1.96</f>
        <v>3649.4584602763634</v>
      </c>
      <c r="F29" s="9">
        <f>((((F20*0.00314)*((F20+545)/1000))*'Технический лист'!$K$8)+370+((F21*0.00314)*((F21+450)/1000))*'Технический лист'!$K$5)*1.96</f>
        <v>3771.8934424690906</v>
      </c>
      <c r="G29" s="9">
        <f>((((G20*0.00314)*((G20+545)/1000))*'Технический лист'!$K$8)+370+((G21*0.00314)*((G21+450)/1000))*'Технический лист'!$K$5)*1.96</f>
        <v>3895.8437738181824</v>
      </c>
      <c r="H29" s="9">
        <f>((((H20*0.00314)*((H20+545)/1000))*'Технический лист'!$K$8)+370+((H21*0.00314)*((H21+450)/1000))*'Технический лист'!$K$5)*1.96</f>
        <v>4148.2904839854555</v>
      </c>
      <c r="I29" s="9">
        <f>((((I20*0.00314)*((I20+545)/1000))*'Технический лист'!$K$8)+370+((I21*0.00314)*((I21+450)/1000))*'Технический лист'!$K$5)*1.96</f>
        <v>4406.7985907781822</v>
      </c>
      <c r="J29" s="9">
        <f>((((J20*0.00314)*((J20+545)/1000))*'Технический лист'!$K$8)+370+((J21*0.00314)*((J21+450)/1000))*'Технический лист'!$K$5)*1.96</f>
        <v>4671.368094196363</v>
      </c>
      <c r="K29" s="9">
        <f>((((K20*0.00314)*((K20+545)/1000))*'Технический лист'!$K$8)+370+((K21*0.00314)*((K21+450)/1000))*'Технический лист'!$K$5)*1.96</f>
        <v>5218.6912909090906</v>
      </c>
      <c r="L29" s="9">
        <f>((((L20*0.00314)*((L20+545)/1000))*'Технический лист'!$K$8)+370+((L21*0.00314)*((L21+450)/1000))*'Технический лист'!$K$5)*1.96</f>
        <v>5790.2600741236365</v>
      </c>
      <c r="M29" s="9">
        <f>((((M20*0.00314)*((M20+545)/1000))*'Технический лист'!$K$8)+370+((M21*0.00314)*((M21+450)/1000))*'Технический лист'!$K$5)*1.96</f>
        <v>6386.0744438399997</v>
      </c>
      <c r="N29" s="9">
        <f>((((N20*0.00314)*((N20+545)/1000))*'Технический лист'!$K$8)+370+((N21*0.00314)*((N21+450)/1000))*'Технический лист'!$K$5)*1.96</f>
        <v>7325.2564731054545</v>
      </c>
      <c r="O29" s="9">
        <f>((((O20*0.00314)*((O20+545)/1000))*'Технический лист'!$K$8)+370+((O21*0.00314)*((O21+450)/1000))*'Технический лист'!$K$5)*1.96</f>
        <v>7650.4399427781818</v>
      </c>
      <c r="P29" s="9">
        <f>((((P20*0.00314)*((P20+545)/1000))*'Технический лист'!$K$8)+370+((P21*0.00314)*((P21+450)/1000))*'Технический лист'!$K$5)*1.96</f>
        <v>7981.6848090763633</v>
      </c>
      <c r="Q29" s="9">
        <f>((((Q20*0.00314)*((Q20+545)/1000))*'Технический лист'!$K$8)+370+((Q21*0.00314)*((Q21+450)/1000))*'Технический лист'!$K$5)*1.96</f>
        <v>8318.9910720000007</v>
      </c>
      <c r="R29" s="9">
        <f>((((R20*0.00314)*((R20+545)/1000))*'Технический лист'!$K$8)+370+((R21*0.00314)*((R21+450)/1000))*'Технический лист'!$K$5)*1.96</f>
        <v>8662.3587315490913</v>
      </c>
      <c r="S29" s="9">
        <f>((((S20*0.00314)*((S20+545)/1000))*'Технический лист'!$K$8)+370+((S21*0.00314)*((S21+450)/1000))*'Технический лист'!$K$5)*1.96</f>
        <v>9011.7877877236351</v>
      </c>
    </row>
    <row r="30" spans="1:19" ht="0.75" hidden="1" customHeight="1">
      <c r="A30" s="4" t="s">
        <v>8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>
      <c r="A31" s="4" t="s">
        <v>119</v>
      </c>
      <c r="B31" s="16">
        <v>2100</v>
      </c>
      <c r="C31" s="16">
        <v>2100</v>
      </c>
      <c r="D31" s="16">
        <v>2100</v>
      </c>
      <c r="E31" s="16">
        <v>2100</v>
      </c>
      <c r="F31" s="16">
        <v>2100</v>
      </c>
      <c r="G31" s="16">
        <v>2100</v>
      </c>
      <c r="H31" s="16">
        <v>2100</v>
      </c>
      <c r="I31" s="16">
        <v>2100</v>
      </c>
      <c r="J31" s="16">
        <v>2100</v>
      </c>
      <c r="K31" s="16">
        <v>2100</v>
      </c>
      <c r="L31" s="16">
        <v>2100</v>
      </c>
      <c r="M31" s="16">
        <v>2100</v>
      </c>
      <c r="N31" s="16">
        <v>2100</v>
      </c>
      <c r="O31" s="16">
        <v>2100</v>
      </c>
      <c r="P31" s="16">
        <v>2100</v>
      </c>
      <c r="Q31" s="16">
        <v>2100</v>
      </c>
      <c r="R31" s="16">
        <v>2100</v>
      </c>
      <c r="S31" s="16">
        <v>2100</v>
      </c>
    </row>
  </sheetData>
  <mergeCells count="6">
    <mergeCell ref="A19:N19"/>
    <mergeCell ref="A1:C1"/>
    <mergeCell ref="D1:O1"/>
    <mergeCell ref="D2:O2"/>
    <mergeCell ref="D3:O3"/>
    <mergeCell ref="A5:O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31"/>
  <sheetViews>
    <sheetView zoomScale="80" zoomScaleNormal="80" workbookViewId="0">
      <selection activeCell="B31" sqref="B31:S31"/>
    </sheetView>
  </sheetViews>
  <sheetFormatPr defaultRowHeight="14.4"/>
  <cols>
    <col min="1" max="1" width="26.6640625" customWidth="1"/>
    <col min="2" max="19" width="6.33203125" customWidth="1"/>
  </cols>
  <sheetData>
    <row r="1" spans="1:19" ht="45" customHeight="1">
      <c r="A1" s="32"/>
      <c r="B1" s="32"/>
      <c r="C1" s="32"/>
      <c r="D1" s="40" t="s">
        <v>94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1"/>
      <c r="Q1" s="1"/>
    </row>
    <row r="2" spans="1:19" ht="15" customHeight="1">
      <c r="D2" s="34" t="s">
        <v>95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1"/>
    </row>
    <row r="3" spans="1:19" ht="15" customHeight="1">
      <c r="D3" s="34" t="s">
        <v>112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9" ht="2.25" customHeight="1"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9">
      <c r="A5" s="41" t="s">
        <v>47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1:19">
      <c r="A6" s="3" t="s">
        <v>0</v>
      </c>
      <c r="B6" s="10">
        <v>100</v>
      </c>
      <c r="C6" s="10">
        <v>110</v>
      </c>
      <c r="D6" s="10">
        <v>115</v>
      </c>
      <c r="E6" s="10">
        <v>120</v>
      </c>
      <c r="F6" s="10">
        <v>125</v>
      </c>
      <c r="G6" s="10">
        <v>130</v>
      </c>
      <c r="H6" s="10">
        <v>140</v>
      </c>
      <c r="I6" s="10">
        <v>150</v>
      </c>
      <c r="J6" s="10">
        <v>160</v>
      </c>
      <c r="K6" s="10">
        <v>180</v>
      </c>
      <c r="L6" s="10">
        <v>200</v>
      </c>
      <c r="M6" s="10">
        <v>220</v>
      </c>
      <c r="N6" s="10">
        <v>250</v>
      </c>
      <c r="O6" s="10">
        <v>260</v>
      </c>
      <c r="P6" s="10">
        <v>270</v>
      </c>
      <c r="Q6" s="10">
        <v>280</v>
      </c>
      <c r="R6" s="10">
        <v>290</v>
      </c>
      <c r="S6" s="10">
        <v>300</v>
      </c>
    </row>
    <row r="7" spans="1:19">
      <c r="A7" s="3" t="s">
        <v>1</v>
      </c>
      <c r="B7" s="10">
        <f>B6+70</f>
        <v>170</v>
      </c>
      <c r="C7" s="10">
        <f t="shared" ref="C7:N7" si="0">C6+70</f>
        <v>180</v>
      </c>
      <c r="D7" s="10">
        <f t="shared" si="0"/>
        <v>185</v>
      </c>
      <c r="E7" s="10">
        <f t="shared" si="0"/>
        <v>190</v>
      </c>
      <c r="F7" s="10">
        <f t="shared" si="0"/>
        <v>195</v>
      </c>
      <c r="G7" s="10">
        <f t="shared" si="0"/>
        <v>200</v>
      </c>
      <c r="H7" s="10">
        <f t="shared" si="0"/>
        <v>210</v>
      </c>
      <c r="I7" s="10">
        <f t="shared" si="0"/>
        <v>220</v>
      </c>
      <c r="J7" s="10">
        <f t="shared" si="0"/>
        <v>230</v>
      </c>
      <c r="K7" s="10">
        <f t="shared" si="0"/>
        <v>250</v>
      </c>
      <c r="L7" s="10">
        <f t="shared" si="0"/>
        <v>270</v>
      </c>
      <c r="M7" s="10">
        <f t="shared" si="0"/>
        <v>290</v>
      </c>
      <c r="N7" s="10">
        <f t="shared" si="0"/>
        <v>320</v>
      </c>
      <c r="O7" s="10">
        <f t="shared" ref="O7:S7" si="1">O6+70</f>
        <v>330</v>
      </c>
      <c r="P7" s="10">
        <f t="shared" si="1"/>
        <v>340</v>
      </c>
      <c r="Q7" s="10">
        <f t="shared" si="1"/>
        <v>350</v>
      </c>
      <c r="R7" s="10">
        <f t="shared" si="1"/>
        <v>360</v>
      </c>
      <c r="S7" s="10">
        <f t="shared" si="1"/>
        <v>370</v>
      </c>
    </row>
    <row r="8" spans="1:19">
      <c r="A8" s="4" t="s">
        <v>4</v>
      </c>
      <c r="B8" s="16">
        <f>(((B6*0.00314)*'Технический лист'!$G$9)+310+((B7*0.00314)*'Технический лист'!$G$11))*1.95</f>
        <v>1924.8841299999999</v>
      </c>
      <c r="C8" s="16">
        <f>(((C6*0.00314)*'Технический лист'!$G$9)+310+((C7*0.00314)*'Технический лист'!$G$11))*1.95</f>
        <v>2041.7640359999998</v>
      </c>
      <c r="D8" s="16">
        <f>(((D6*0.00314)*'Технический лист'!$G$9)+310+((D7*0.00314)*'Технический лист'!$G$11))*1.95</f>
        <v>2100.2039889999996</v>
      </c>
      <c r="E8" s="16">
        <f>(((E6*0.00314)*'Технический лист'!$G$9)+310+((E7*0.00314)*'Технический лист'!$G$11))*1.95</f>
        <v>2158.6439420000002</v>
      </c>
      <c r="F8" s="16">
        <f>(((F6*0.00314)*'Технический лист'!$G$9)+310+((F7*0.00314)*'Технический лист'!$G$11))*1.95</f>
        <v>2217.0838950000002</v>
      </c>
      <c r="G8" s="16">
        <f>(((G6*0.00314)*'Технический лист'!$G$9)+310+((G7*0.00314)*'Технический лист'!$G$11))*1.95</f>
        <v>2275.5238480000003</v>
      </c>
      <c r="H8" s="16">
        <f>(((H6*0.00314)*'Технический лист'!$G$9)+310+((H7*0.00314)*'Технический лист'!$G$11))*1.95</f>
        <v>2392.4037539999999</v>
      </c>
      <c r="I8" s="16">
        <f>(((I6*0.00314)*'Технический лист'!$G$9)+310+((I7*0.00314)*'Технический лист'!$G$11))*1.95</f>
        <v>2509.2836600000001</v>
      </c>
      <c r="J8" s="16">
        <f>(((J6*0.00314)*'Технический лист'!$G$9)+310+((J7*0.00314)*'Технический лист'!$G$11))*1.95</f>
        <v>2626.1635659999997</v>
      </c>
      <c r="K8" s="16">
        <f>(((K6*0.00314)*'Технический лист'!$G$9)+310+((K7*0.00314)*'Технический лист'!$G$11))*1.95</f>
        <v>2859.9233780000004</v>
      </c>
      <c r="L8" s="16">
        <f>(((L6*0.00314)*'Технический лист'!$G$9)+310+((L7*0.00314)*'Технический лист'!$G$11))*1.95</f>
        <v>3093.6831900000002</v>
      </c>
      <c r="M8" s="16">
        <f>(((M6*0.00314)*'Технический лист'!$G$9)+310+((M7*0.00314)*'Технический лист'!$G$11))*1.95</f>
        <v>3327.4430019999995</v>
      </c>
      <c r="N8" s="16">
        <f>(((N6*0.00314)*'Технический лист'!$G$9)+310+((N7*0.00314)*'Технический лист'!$G$11))*1.95</f>
        <v>3678.0827200000003</v>
      </c>
      <c r="O8" s="16">
        <f>(((O6*0.00314)*'Технический лист'!$G$9)+310+((O7*0.00314)*'Технический лист'!$G$11))*1.95</f>
        <v>3794.962626</v>
      </c>
      <c r="P8" s="16">
        <f>(((P6*0.00314)*'Технический лист'!$G$9)+310+((P7*0.00314)*'Технический лист'!$G$11))*1.95</f>
        <v>3911.8425320000001</v>
      </c>
      <c r="Q8" s="16">
        <f>(((Q6*0.00314)*'Технический лист'!$G$9)+310+((Q7*0.00314)*'Технический лист'!$G$11))*1.95</f>
        <v>4028.7224379999998</v>
      </c>
      <c r="R8" s="16">
        <f>(((R6*0.00314)*'Технический лист'!$G$9)+310+((R7*0.00314)*'Технический лист'!$G$11))*1.95</f>
        <v>4145.6023439999999</v>
      </c>
      <c r="S8" s="16">
        <f>(((S6*0.00314)*'Технический лист'!$G$9)+310+((S7*0.00314)*'Технический лист'!$G$11))*1.95</f>
        <v>4262.48225</v>
      </c>
    </row>
    <row r="9" spans="1:19">
      <c r="A9" s="4" t="s">
        <v>3</v>
      </c>
      <c r="B9" s="9">
        <f>((B8/2)*1.07)-10</f>
        <v>1019.8130095500001</v>
      </c>
      <c r="C9" s="9">
        <f t="shared" ref="C9:N9" si="2">((C8/2)*1.07)-10</f>
        <v>1082.3437592600001</v>
      </c>
      <c r="D9" s="9">
        <f t="shared" si="2"/>
        <v>1113.609134115</v>
      </c>
      <c r="E9" s="9">
        <f t="shared" si="2"/>
        <v>1144.8745089700001</v>
      </c>
      <c r="F9" s="9">
        <f t="shared" si="2"/>
        <v>1176.1398838250002</v>
      </c>
      <c r="G9" s="9">
        <f t="shared" si="2"/>
        <v>1207.4052586800003</v>
      </c>
      <c r="H9" s="9">
        <f t="shared" si="2"/>
        <v>1269.9360083900001</v>
      </c>
      <c r="I9" s="9">
        <f t="shared" si="2"/>
        <v>1332.4667581000001</v>
      </c>
      <c r="J9" s="9">
        <f t="shared" si="2"/>
        <v>1394.9975078099999</v>
      </c>
      <c r="K9" s="9">
        <f t="shared" si="2"/>
        <v>1520.0590072300004</v>
      </c>
      <c r="L9" s="9">
        <f t="shared" si="2"/>
        <v>1645.1205066500002</v>
      </c>
      <c r="M9" s="9">
        <f t="shared" si="2"/>
        <v>1770.1820060699999</v>
      </c>
      <c r="N9" s="9">
        <f t="shared" si="2"/>
        <v>1957.7742552000002</v>
      </c>
      <c r="O9" s="9">
        <f t="shared" ref="O9:S9" si="3">((O8/2)*1.07)-10</f>
        <v>2020.3050049100002</v>
      </c>
      <c r="P9" s="9">
        <f t="shared" si="3"/>
        <v>2082.83575462</v>
      </c>
      <c r="Q9" s="9">
        <f t="shared" si="3"/>
        <v>2145.3665043300002</v>
      </c>
      <c r="R9" s="9">
        <f t="shared" si="3"/>
        <v>2207.89725404</v>
      </c>
      <c r="S9" s="9">
        <f t="shared" si="3"/>
        <v>2270.4280037500002</v>
      </c>
    </row>
    <row r="10" spans="1:19">
      <c r="A10" s="4" t="s">
        <v>5</v>
      </c>
      <c r="B10" s="16">
        <f>((((B6*0.00314)*0.5)*'Технический лист'!$I$9)+310+(((B7*0.00314)*0.5)*'Технический лист'!$I$11))*1.95</f>
        <v>1669.5754399999998</v>
      </c>
      <c r="C10" s="16">
        <f>((((C6*0.00314)*0.5)*'Технический лист'!$I$9)+310+(((C7*0.00314)*0.5)*'Технический лист'!$I$11))*1.95</f>
        <v>1761.538818</v>
      </c>
      <c r="D10" s="16">
        <f>((((D6*0.00314)*0.5)*'Технический лист'!$I$9)+310+(((D7*0.00314)*0.5)*'Технический лист'!$I$11))*1.95</f>
        <v>1807.520507</v>
      </c>
      <c r="E10" s="16">
        <f>((((E6*0.00314)*0.5)*'Технический лист'!$I$9)+310+(((E7*0.00314)*0.5)*'Технический лист'!$I$11))*1.95</f>
        <v>1853.5021959999999</v>
      </c>
      <c r="F10" s="16">
        <f>((((F6*0.00314)*0.5)*'Технический лист'!$I$9)+310+(((F7*0.00314)*0.5)*'Технический лист'!$I$11))*1.95</f>
        <v>1899.4838849999999</v>
      </c>
      <c r="G10" s="16">
        <f>((((G6*0.00314)*0.5)*'Технический лист'!$I$9)+310+(((G7*0.00314)*0.5)*'Технический лист'!$I$11))*1.95</f>
        <v>1945.4655739999998</v>
      </c>
      <c r="H10" s="16">
        <f>((((H6*0.00314)*0.5)*'Технический лист'!$I$9)+310+(((H7*0.00314)*0.5)*'Технический лист'!$I$11))*1.95</f>
        <v>2037.428952</v>
      </c>
      <c r="I10" s="16">
        <f>((((I6*0.00314)*0.5)*'Технический лист'!$I$9)+310+(((I7*0.00314)*0.5)*'Технический лист'!$I$11))*1.95</f>
        <v>2129.3923299999997</v>
      </c>
      <c r="J10" s="16">
        <f>((((J6*0.00314)*0.5)*'Технический лист'!$I$9)+310+(((J7*0.00314)*0.5)*'Технический лист'!$I$11))*1.95</f>
        <v>2221.3557079999996</v>
      </c>
      <c r="K10" s="16">
        <f>((((K6*0.00314)*0.5)*'Технический лист'!$I$9)+310+(((K7*0.00314)*0.5)*'Технический лист'!$I$11))*1.95</f>
        <v>2405.2824639999999</v>
      </c>
      <c r="L10" s="16">
        <f>((((L6*0.00314)*0.5)*'Технический лист'!$I$9)+310+(((L7*0.00314)*0.5)*'Технический лист'!$I$11))*1.95</f>
        <v>2589.2092199999997</v>
      </c>
      <c r="M10" s="16">
        <f>((((M6*0.00314)*0.5)*'Технический лист'!$I$9)+310+(((M7*0.00314)*0.5)*'Технический лист'!$I$11))*1.95</f>
        <v>2773.135976</v>
      </c>
      <c r="N10" s="16">
        <f>((((N6*0.00314)*0.5)*'Технический лист'!$I$9)+310+(((N7*0.00314)*0.5)*'Технический лист'!$I$11))*1.95</f>
        <v>3049.0261099999998</v>
      </c>
      <c r="O10" s="16">
        <f>((((O6*0.00314)*0.5)*'Технический лист'!$I$9)+310+(((O7*0.00314)*0.5)*'Технический лист'!$I$11))*1.95</f>
        <v>3140.9894879999997</v>
      </c>
      <c r="P10" s="16">
        <f>((((P6*0.00314)*0.5)*'Технический лист'!$I$9)+310+(((P7*0.00314)*0.5)*'Технический лист'!$I$11))*1.95</f>
        <v>3232.9528659999996</v>
      </c>
      <c r="Q10" s="16">
        <f>((((Q6*0.00314)*0.5)*'Технический лист'!$I$9)+310+(((Q7*0.00314)*0.5)*'Технический лист'!$I$11))*1.95</f>
        <v>3324.9162439999996</v>
      </c>
      <c r="R10" s="16">
        <f>((((R6*0.00314)*0.5)*'Технический лист'!$I$9)+310+(((R7*0.00314)*0.5)*'Технический лист'!$I$11))*1.95</f>
        <v>3416.8796219999999</v>
      </c>
      <c r="S10" s="16">
        <f>((((S6*0.00314)*0.5)*'Технический лист'!$I$9)+310+(((S7*0.00314)*0.5)*'Технический лист'!$I$11))*1.95</f>
        <v>3508.8429999999998</v>
      </c>
    </row>
    <row r="11" spans="1:19">
      <c r="A11" s="4" t="s">
        <v>96</v>
      </c>
      <c r="B11" s="9">
        <f>((B10*2)/3)-6</f>
        <v>1107.0502933333332</v>
      </c>
      <c r="C11" s="9">
        <f t="shared" ref="C11:N11" si="4">((C10*2)/3)-6</f>
        <v>1168.3592120000001</v>
      </c>
      <c r="D11" s="9">
        <f t="shared" si="4"/>
        <v>1199.0136713333334</v>
      </c>
      <c r="E11" s="9">
        <f t="shared" si="4"/>
        <v>1229.6681306666667</v>
      </c>
      <c r="F11" s="9">
        <f t="shared" si="4"/>
        <v>1260.32259</v>
      </c>
      <c r="G11" s="9">
        <f t="shared" si="4"/>
        <v>1290.9770493333333</v>
      </c>
      <c r="H11" s="9">
        <f t="shared" si="4"/>
        <v>1352.2859679999999</v>
      </c>
      <c r="I11" s="9">
        <f t="shared" si="4"/>
        <v>1413.5948866666665</v>
      </c>
      <c r="J11" s="9">
        <f t="shared" si="4"/>
        <v>1474.9038053333331</v>
      </c>
      <c r="K11" s="9">
        <f t="shared" si="4"/>
        <v>1597.5216426666666</v>
      </c>
      <c r="L11" s="9">
        <f t="shared" si="4"/>
        <v>1720.1394799999998</v>
      </c>
      <c r="M11" s="9">
        <f t="shared" si="4"/>
        <v>1842.7573173333333</v>
      </c>
      <c r="N11" s="9">
        <f t="shared" si="4"/>
        <v>2026.6840733333331</v>
      </c>
      <c r="O11" s="9">
        <f t="shared" ref="O11:S11" si="5">((O10*2)/3)-6</f>
        <v>2087.992992</v>
      </c>
      <c r="P11" s="9">
        <f t="shared" si="5"/>
        <v>2149.3019106666666</v>
      </c>
      <c r="Q11" s="9">
        <f t="shared" si="5"/>
        <v>2210.6108293333332</v>
      </c>
      <c r="R11" s="9">
        <f t="shared" si="5"/>
        <v>2271.9197479999998</v>
      </c>
      <c r="S11" s="9">
        <f t="shared" si="5"/>
        <v>2333.2286666666664</v>
      </c>
    </row>
    <row r="12" spans="1:19">
      <c r="A12" s="4" t="s">
        <v>6</v>
      </c>
      <c r="B12" s="16">
        <f>((((B6*0.00314)*0.22)*'Технический лист'!$M$9)+100+(((B7*0.00314)*0.21)*'Технический лист'!$O$11)+(((B6+30)*(B6+30)/1000000)*'Технический лист'!$E$20))*1.96</f>
        <v>924.99768031999997</v>
      </c>
      <c r="C12" s="16">
        <f>((((C6*0.00314)*0.22)*'Технический лист'!$M$9)+100+(((C7*0.00314)*0.21)*'Технический лист'!$O$11)+(((C6+30)*(C6+30)/1000000)*'Технический лист'!$E$20))*1.96</f>
        <v>996.05718553600002</v>
      </c>
      <c r="D12" s="16">
        <f>((((D6*0.00314)*0.22)*'Технический лист'!$M$9)+100+(((D7*0.00314)*0.21)*'Технический лист'!$O$11)+(((D6+30)*(D6+30)/1000000)*'Технический лист'!$E$20))*1.96</f>
        <v>1032.174938144</v>
      </c>
      <c r="E12" s="16">
        <f>((((E6*0.00314)*0.22)*'Технический лист'!$M$9)+100+(((E7*0.00314)*0.21)*'Технический лист'!$O$11)+(((E6+30)*(E6+30)/1000000)*'Технический лист'!$E$20))*1.96</f>
        <v>1068.6846907520001</v>
      </c>
      <c r="F12" s="16">
        <f>((((F6*0.00314)*0.22)*'Технический лист'!$M$9)+100+(((F7*0.00314)*0.21)*'Технический лист'!$O$11)+(((F6+30)*(F6+30)/1000000)*'Технический лист'!$E$20))*1.96</f>
        <v>1105.58644336</v>
      </c>
      <c r="G12" s="16">
        <f>((((G6*0.00314)*0.22)*'Технический лист'!$M$9)+100+(((G7*0.00314)*0.21)*'Технический лист'!$O$11)+(((G6+30)*(G6+30)/1000000)*'Технический лист'!$E$20))*1.96</f>
        <v>1142.8801959679997</v>
      </c>
      <c r="H12" s="16">
        <f>((((H6*0.00314)*0.22)*'Технический лист'!$M$9)+100+(((H7*0.00314)*0.21)*'Технический лист'!$O$11)+(((H6+30)*(H6+30)/1000000)*'Технический лист'!$E$20))*1.96</f>
        <v>1218.6437011839998</v>
      </c>
      <c r="I12" s="16">
        <f>((((I6*0.00314)*0.22)*'Технический лист'!$M$9)+100+(((I7*0.00314)*0.21)*'Технический лист'!$O$11)+(((I6+30)*(I6+30)/1000000)*'Технический лист'!$E$20))*1.96</f>
        <v>1295.9752063999999</v>
      </c>
      <c r="J12" s="16">
        <f>((((J6*0.00314)*0.22)*'Технический лист'!$M$9)+100+(((J7*0.00314)*0.21)*'Технический лист'!$O$11)+(((J6+30)*(J6+30)/1000000)*'Технический лист'!$E$20))*1.96</f>
        <v>1374.8747116159998</v>
      </c>
      <c r="K12" s="16">
        <f>((((K6*0.00314)*0.22)*'Технический лист'!$M$9)+100+(((K7*0.00314)*0.21)*'Технический лист'!$O$11)+(((K6+30)*(K6+30)/1000000)*'Технический лист'!$E$20))*1.96</f>
        <v>1537.3777220479999</v>
      </c>
      <c r="L12" s="16">
        <f>((((L6*0.00314)*0.22)*'Технический лист'!$M$9)+100+(((L7*0.00314)*0.21)*'Технический лист'!$O$11)+(((L6+30)*(L6+30)/1000000)*'Технический лист'!$E$20))*1.96</f>
        <v>1706.1527324799999</v>
      </c>
      <c r="M12" s="16">
        <f>((((M6*0.00314)*0.22)*'Технический лист'!$M$9)+100+(((M7*0.00314)*0.21)*'Технический лист'!$O$11)+(((M6+30)*(M6+30)/1000000)*'Технический лист'!$E$20))*1.96</f>
        <v>1881.1997429119999</v>
      </c>
      <c r="N12" s="16">
        <f>((((N6*0.00314)*0.22)*'Технический лист'!$M$9)+100+(((N7*0.00314)*0.21)*'Технический лист'!$O$11)+(((N6+30)*(N6+30)/1000000)*'Технический лист'!$E$20))*1.96</f>
        <v>2155.5302585600002</v>
      </c>
      <c r="O12" s="16">
        <f>((((O6*0.00314)*0.22)*'Технический лист'!$M$9)+100+(((O7*0.00314)*0.21)*'Технический лист'!$O$11)+(((O6+30)*(O6+30)/1000000)*'Технический лист'!$E$20))*1.96</f>
        <v>2250.1097637759995</v>
      </c>
      <c r="P12" s="16">
        <f>((((P6*0.00314)*0.22)*'Технический лист'!$M$9)+100+(((P7*0.00314)*0.21)*'Технический лист'!$O$11)+(((P6+30)*(P6+30)/1000000)*'Технический лист'!$E$20))*1.96</f>
        <v>2346.2572689919998</v>
      </c>
      <c r="Q12" s="16">
        <f>((((Q6*0.00314)*0.22)*'Технический лист'!$M$9)+100+(((Q7*0.00314)*0.21)*'Технический лист'!$O$11)+(((Q6+30)*(Q6+30)/1000000)*'Технический лист'!$E$20))*1.96</f>
        <v>2443.9727742079999</v>
      </c>
      <c r="R12" s="16">
        <f>((((R6*0.00314)*0.22)*'Технический лист'!$M$9)+100+(((R7*0.00314)*0.21)*'Технический лист'!$O$11)+(((R6+30)*(R6+30)/1000000)*'Технический лист'!$E$20))*1.96</f>
        <v>2543.2562794239998</v>
      </c>
      <c r="S12" s="16">
        <f>((((S6*0.00314)*0.22)*'Технический лист'!$M$9)+100+(((S7*0.00314)*0.21)*'Технический лист'!$O$11)+(((S6+30)*(S6+30)/1000000)*'Технический лист'!$E$20))*1.96</f>
        <v>2644.1077846399994</v>
      </c>
    </row>
    <row r="13" spans="1:19">
      <c r="A13" s="4" t="s">
        <v>7</v>
      </c>
      <c r="B13" s="9">
        <f>(B12*2.2)+24</f>
        <v>2058.994896704</v>
      </c>
      <c r="C13" s="9">
        <f t="shared" ref="C13:N13" si="6">(C12*2.2)+24</f>
        <v>2215.3258081792001</v>
      </c>
      <c r="D13" s="9">
        <f t="shared" si="6"/>
        <v>2294.7848639168001</v>
      </c>
      <c r="E13" s="9">
        <f t="shared" si="6"/>
        <v>2375.1063196544005</v>
      </c>
      <c r="F13" s="9">
        <f t="shared" si="6"/>
        <v>2456.290175392</v>
      </c>
      <c r="G13" s="9">
        <f t="shared" si="6"/>
        <v>2538.3364311295995</v>
      </c>
      <c r="H13" s="9">
        <f t="shared" si="6"/>
        <v>2705.0161426047998</v>
      </c>
      <c r="I13" s="9">
        <f t="shared" si="6"/>
        <v>2875.14545408</v>
      </c>
      <c r="J13" s="9">
        <f t="shared" si="6"/>
        <v>3048.7243655551997</v>
      </c>
      <c r="K13" s="9">
        <f t="shared" si="6"/>
        <v>3406.2309885056002</v>
      </c>
      <c r="L13" s="9">
        <f t="shared" si="6"/>
        <v>3777.5360114560003</v>
      </c>
      <c r="M13" s="9">
        <f t="shared" si="6"/>
        <v>4162.6394344064001</v>
      </c>
      <c r="N13" s="9">
        <f t="shared" si="6"/>
        <v>4766.1665688320008</v>
      </c>
      <c r="O13" s="9">
        <f t="shared" ref="O13:S13" si="7">(O12*2.2)+24</f>
        <v>4974.2414803071988</v>
      </c>
      <c r="P13" s="9">
        <f t="shared" si="7"/>
        <v>5185.7659917824003</v>
      </c>
      <c r="Q13" s="9">
        <f t="shared" si="7"/>
        <v>5400.7401032575999</v>
      </c>
      <c r="R13" s="9">
        <f t="shared" si="7"/>
        <v>5619.1638147328003</v>
      </c>
      <c r="S13" s="9">
        <f t="shared" si="7"/>
        <v>5841.0371262079989</v>
      </c>
    </row>
    <row r="14" spans="1:19">
      <c r="A14" s="4" t="s">
        <v>8</v>
      </c>
      <c r="B14" s="16">
        <f>((((B6*0.00314)*0.2)*'Технический лист'!$M$9)+50+(((B7*0.00314)*0.22)*'Технический лист'!$O$11))*1.96</f>
        <v>673.10488298666678</v>
      </c>
      <c r="C14" s="16">
        <f>((((C6*0.00314)*0.2)*'Технический лист'!$M$9)+50+(((C7*0.00314)*0.22)*'Технический лист'!$O$11))*1.96</f>
        <v>720.39201023999999</v>
      </c>
      <c r="D14" s="16">
        <f>((((D6*0.00314)*0.2)*'Технический лист'!$M$9)+50+(((D7*0.00314)*0.22)*'Технический лист'!$O$11))*1.96</f>
        <v>744.0355738666666</v>
      </c>
      <c r="E14" s="16">
        <f>((((E6*0.00314)*0.2)*'Технический лист'!$M$9)+50+(((E7*0.00314)*0.22)*'Технический лист'!$O$11))*1.96</f>
        <v>767.67913749333343</v>
      </c>
      <c r="F14" s="16">
        <f>((((F6*0.00314)*0.2)*'Технический лист'!$M$9)+50+(((F7*0.00314)*0.22)*'Технический лист'!$O$11))*1.96</f>
        <v>791.32270112000003</v>
      </c>
      <c r="G14" s="16">
        <f>((((G6*0.00314)*0.2)*'Технический лист'!$M$9)+50+(((G7*0.00314)*0.22)*'Технический лист'!$O$11))*1.96</f>
        <v>814.96626474666675</v>
      </c>
      <c r="H14" s="16">
        <f>((((H6*0.00314)*0.2)*'Технический лист'!$M$9)+50+(((H7*0.00314)*0.22)*'Технический лист'!$O$11))*1.96</f>
        <v>862.25339200000008</v>
      </c>
      <c r="I14" s="16">
        <f>((((I6*0.00314)*0.2)*'Технический лист'!$M$9)+50+(((I7*0.00314)*0.22)*'Технический лист'!$O$11))*1.96</f>
        <v>909.54051925333329</v>
      </c>
      <c r="J14" s="16">
        <f>((((J6*0.00314)*0.2)*'Технический лист'!$M$9)+50+(((J7*0.00314)*0.22)*'Технический лист'!$O$11))*1.96</f>
        <v>956.82764650666661</v>
      </c>
      <c r="K14" s="16">
        <f>((((K6*0.00314)*0.2)*'Технический лист'!$M$9)+50+(((K7*0.00314)*0.22)*'Технический лист'!$O$11))*1.96</f>
        <v>1051.4019010133334</v>
      </c>
      <c r="L14" s="16">
        <f>((((L6*0.00314)*0.2)*'Технический лист'!$M$9)+50+(((L7*0.00314)*0.22)*'Технический лист'!$O$11))*1.96</f>
        <v>1145.97615552</v>
      </c>
      <c r="M14" s="16">
        <f>((((M6*0.00314)*0.2)*'Технический лист'!$M$9)+50+(((M7*0.00314)*0.22)*'Технический лист'!$O$11))*1.96</f>
        <v>1240.5504100266667</v>
      </c>
      <c r="N14" s="16">
        <f>((((N6*0.00314)*0.2)*'Технический лист'!$M$9)+50+(((N7*0.00314)*0.22)*'Технический лист'!$O$11))*1.96</f>
        <v>1382.4117917866668</v>
      </c>
      <c r="O14" s="16">
        <f>((((O6*0.00314)*0.2)*'Технический лист'!$M$9)+50+(((O7*0.00314)*0.22)*'Технический лист'!$O$11))*1.96</f>
        <v>1429.69891904</v>
      </c>
      <c r="P14" s="16">
        <f>((((P6*0.00314)*0.2)*'Технический лист'!$M$9)+50+(((P7*0.00314)*0.22)*'Технический лист'!$O$11))*1.96</f>
        <v>1476.9860462933332</v>
      </c>
      <c r="Q14" s="16">
        <f>((((Q6*0.00314)*0.2)*'Технический лист'!$M$9)+50+(((Q7*0.00314)*0.22)*'Технический лист'!$O$11))*1.96</f>
        <v>1524.2731735466666</v>
      </c>
      <c r="R14" s="16">
        <f>((((R6*0.00314)*0.2)*'Технический лист'!$M$9)+50+(((R7*0.00314)*0.22)*'Технический лист'!$O$11))*1.96</f>
        <v>1571.5603007999998</v>
      </c>
      <c r="S14" s="16">
        <f>((((S6*0.00314)*0.2)*'Технический лист'!$M$9)+50+(((S7*0.00314)*0.22)*'Технический лист'!$O$11))*1.96</f>
        <v>1618.8474280533335</v>
      </c>
    </row>
    <row r="15" spans="1:19">
      <c r="A15" s="4" t="s">
        <v>9</v>
      </c>
      <c r="B15" s="9">
        <f>((((B6*0.00314)*((B6+545)/1000))*'Технический лист'!$K$9)+370+((B7*0.00314)*((B7+450)/1000))*'Технический лист'!$K$11)*1.96</f>
        <v>2120.1985642133332</v>
      </c>
      <c r="C15" s="9">
        <f>((((C6*0.00314)*((C6+545)/1000))*'Технический лист'!$K$9)+370+((C7*0.00314)*((C7+450)/1000))*'Технический лист'!$K$11)*1.96</f>
        <v>2265.3722030239996</v>
      </c>
      <c r="D15" s="9">
        <f>((((D6*0.00314)*((D6+545)/1000))*'Технический лист'!$K$9)+370+((D7*0.00314)*((D7+450)/1000))*'Технический лист'!$K$11)*1.96</f>
        <v>2339.382473605333</v>
      </c>
      <c r="E15" s="9">
        <f>((((E6*0.00314)*((E6+545)/1000))*'Технический лист'!$K$9)+370+((E7*0.00314)*((E7+450)/1000))*'Технический лист'!$K$11)*1.96</f>
        <v>2414.341711637333</v>
      </c>
      <c r="F15" s="9">
        <f>((((F6*0.00314)*((F6+545)/1000))*'Технический лист'!$K$9)+370+((F7*0.00314)*((F7+450)/1000))*'Технический лист'!$K$11)*1.96</f>
        <v>2490.2499171199997</v>
      </c>
      <c r="G15" s="9">
        <f>((((G6*0.00314)*((G6+545)/1000))*'Технический лист'!$K$9)+370+((G7*0.00314)*((G7+450)/1000))*'Технический лист'!$K$11)*1.96</f>
        <v>2567.1070900533332</v>
      </c>
      <c r="H15" s="9">
        <f>((((H6*0.00314)*((H6+545)/1000))*'Технический лист'!$K$9)+370+((H7*0.00314)*((H7+450)/1000))*'Технический лист'!$K$11)*1.96</f>
        <v>2723.6683382720003</v>
      </c>
      <c r="I15" s="9">
        <f>((((I6*0.00314)*((I6+545)/1000))*'Технический лист'!$K$9)+370+((I7*0.00314)*((I7+450)/1000))*'Технический лист'!$K$11)*1.96</f>
        <v>2884.0254562933324</v>
      </c>
      <c r="J15" s="9">
        <f>((((J6*0.00314)*((J6+545)/1000))*'Технический лист'!$K$9)+370+((J7*0.00314)*((J7+450)/1000))*'Технический лист'!$K$11)*1.96</f>
        <v>3048.1784441173336</v>
      </c>
      <c r="K15" s="9">
        <f>((((K6*0.00314)*((K6+545)/1000))*'Технический лист'!$K$9)+370+((K7*0.00314)*((K7+450)/1000))*'Технический лист'!$K$11)*1.96</f>
        <v>3387.8720291733334</v>
      </c>
      <c r="L15" s="9">
        <f>((((L6*0.00314)*((L6+545)/1000))*'Технический лист'!$K$9)+370+((L7*0.00314)*((L7+450)/1000))*'Технический лист'!$K$11)*1.96</f>
        <v>3742.7490934399998</v>
      </c>
      <c r="M15" s="9">
        <f>((((M6*0.00314)*((M6+545)/1000))*'Технический лист'!$K$9)+370+((M7*0.00314)*((M7+450)/1000))*'Технический лист'!$K$11)*1.96</f>
        <v>4112.8096369173327</v>
      </c>
      <c r="N15" s="9">
        <f>((((N6*0.00314)*((N6+545)/1000))*'Технический лист'!$K$9)+370+((N7*0.00314)*((N7+450)/1000))*'Технический лист'!$K$11)*1.96</f>
        <v>4696.3694756533332</v>
      </c>
      <c r="O15" s="9">
        <f>((((O6*0.00314)*((O6+545)/1000))*'Технический лист'!$K$9)+370+((O7*0.00314)*((O7+450)/1000))*'Технический лист'!$K$11)*1.96</f>
        <v>4898.4811615040007</v>
      </c>
      <c r="P15" s="9">
        <f>((((P6*0.00314)*((P6+545)/1000))*'Технический лист'!$K$9)+370+((P7*0.00314)*((P7+450)/1000))*'Технический лист'!$K$11)*1.96</f>
        <v>5104.3887171573324</v>
      </c>
      <c r="Q15" s="9">
        <f>((((Q6*0.00314)*((Q6+545)/1000))*'Технический лист'!$K$9)+370+((Q7*0.00314)*((Q7+450)/1000))*'Технический лист'!$K$11)*1.96</f>
        <v>5314.0921426133327</v>
      </c>
      <c r="R15" s="9">
        <f>((((R6*0.00314)*((R6+545)/1000))*'Технический лист'!$K$9)+370+((R7*0.00314)*((R7+450)/1000))*'Технический лист'!$K$11)*1.96</f>
        <v>5527.591437871999</v>
      </c>
      <c r="S15" s="9">
        <f>((((S6*0.00314)*((S6+545)/1000))*'Технический лист'!$K$9)+370+((S7*0.00314)*((S7+450)/1000))*'Технический лист'!$K$11)*1.96</f>
        <v>5744.8866029333321</v>
      </c>
    </row>
    <row r="16" spans="1:19" ht="0.75" hidden="1" customHeight="1">
      <c r="A16" s="4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>
      <c r="A17" s="4" t="s">
        <v>118</v>
      </c>
      <c r="B17" s="16">
        <v>1800</v>
      </c>
      <c r="C17" s="16">
        <v>1800</v>
      </c>
      <c r="D17" s="16">
        <v>1800</v>
      </c>
      <c r="E17" s="16">
        <v>1800</v>
      </c>
      <c r="F17" s="16">
        <v>1800</v>
      </c>
      <c r="G17" s="16">
        <v>1800</v>
      </c>
      <c r="H17" s="16">
        <v>1800</v>
      </c>
      <c r="I17" s="16">
        <v>1800</v>
      </c>
      <c r="J17" s="16">
        <v>1800</v>
      </c>
      <c r="K17" s="16">
        <v>1800</v>
      </c>
      <c r="L17" s="16">
        <v>1800</v>
      </c>
      <c r="M17" s="16">
        <v>1800</v>
      </c>
      <c r="N17" s="16">
        <v>1800</v>
      </c>
      <c r="O17" s="16">
        <v>1800</v>
      </c>
      <c r="P17" s="16">
        <v>1800</v>
      </c>
      <c r="Q17" s="16">
        <v>1800</v>
      </c>
      <c r="R17" s="16">
        <v>1800</v>
      </c>
      <c r="S17" s="16">
        <v>1800</v>
      </c>
    </row>
    <row r="19" spans="1:19">
      <c r="A19" s="41" t="s">
        <v>48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19">
      <c r="A20" s="3" t="s">
        <v>0</v>
      </c>
      <c r="B20" s="10">
        <v>100</v>
      </c>
      <c r="C20" s="10">
        <v>110</v>
      </c>
      <c r="D20" s="10">
        <v>115</v>
      </c>
      <c r="E20" s="10">
        <v>120</v>
      </c>
      <c r="F20" s="10">
        <v>125</v>
      </c>
      <c r="G20" s="10">
        <v>130</v>
      </c>
      <c r="H20" s="10">
        <v>140</v>
      </c>
      <c r="I20" s="10">
        <v>150</v>
      </c>
      <c r="J20" s="10">
        <v>160</v>
      </c>
      <c r="K20" s="10">
        <v>180</v>
      </c>
      <c r="L20" s="10">
        <v>200</v>
      </c>
      <c r="M20" s="10">
        <v>220</v>
      </c>
      <c r="N20" s="10">
        <v>250</v>
      </c>
      <c r="O20" s="10">
        <v>260</v>
      </c>
      <c r="P20" s="10">
        <v>270</v>
      </c>
      <c r="Q20" s="10">
        <v>280</v>
      </c>
      <c r="R20" s="10">
        <v>290</v>
      </c>
      <c r="S20" s="10">
        <v>300</v>
      </c>
    </row>
    <row r="21" spans="1:19">
      <c r="A21" s="3" t="s">
        <v>1</v>
      </c>
      <c r="B21" s="10">
        <f>B20+70</f>
        <v>170</v>
      </c>
      <c r="C21" s="10">
        <f t="shared" ref="C21:N21" si="8">C20+70</f>
        <v>180</v>
      </c>
      <c r="D21" s="10">
        <f t="shared" si="8"/>
        <v>185</v>
      </c>
      <c r="E21" s="10">
        <f t="shared" si="8"/>
        <v>190</v>
      </c>
      <c r="F21" s="10">
        <f t="shared" si="8"/>
        <v>195</v>
      </c>
      <c r="G21" s="10">
        <f t="shared" si="8"/>
        <v>200</v>
      </c>
      <c r="H21" s="10">
        <f t="shared" si="8"/>
        <v>210</v>
      </c>
      <c r="I21" s="10">
        <f t="shared" si="8"/>
        <v>220</v>
      </c>
      <c r="J21" s="10">
        <f t="shared" si="8"/>
        <v>230</v>
      </c>
      <c r="K21" s="10">
        <f t="shared" si="8"/>
        <v>250</v>
      </c>
      <c r="L21" s="10">
        <f t="shared" si="8"/>
        <v>270</v>
      </c>
      <c r="M21" s="10">
        <f t="shared" si="8"/>
        <v>290</v>
      </c>
      <c r="N21" s="10">
        <f t="shared" si="8"/>
        <v>320</v>
      </c>
      <c r="O21" s="10">
        <f t="shared" ref="O21:S21" si="9">O20+70</f>
        <v>330</v>
      </c>
      <c r="P21" s="10">
        <f t="shared" si="9"/>
        <v>340</v>
      </c>
      <c r="Q21" s="10">
        <f t="shared" si="9"/>
        <v>350</v>
      </c>
      <c r="R21" s="10">
        <f t="shared" si="9"/>
        <v>360</v>
      </c>
      <c r="S21" s="10">
        <f t="shared" si="9"/>
        <v>370</v>
      </c>
    </row>
    <row r="22" spans="1:19">
      <c r="A22" s="4" t="s">
        <v>4</v>
      </c>
      <c r="B22" s="16">
        <f>(((B20*0.00314)*'Технический лист'!$G$9)+310+((B21*0.00314)*'Технический лист'!$G$5))*1.95</f>
        <v>2739.2227200000002</v>
      </c>
      <c r="C22" s="16">
        <f>(((C20*0.00314)*'Технический лист'!$G$9)+310+((C21*0.00314)*'Технический лист'!$G$5))*1.95</f>
        <v>2904.0048959999999</v>
      </c>
      <c r="D22" s="16">
        <f>(((D20*0.00314)*'Технический лист'!$G$9)+310+((D21*0.00314)*'Технический лист'!$G$5))*1.95</f>
        <v>2986.3959839999998</v>
      </c>
      <c r="E22" s="16">
        <f>(((E20*0.00314)*'Технический лист'!$G$9)+310+((E21*0.00314)*'Технический лист'!$G$5))*1.95</f>
        <v>3068.7870720000001</v>
      </c>
      <c r="F22" s="16">
        <f>(((F20*0.00314)*'Технический лист'!$G$9)+310+((F21*0.00314)*'Технический лист'!$G$5))*1.95</f>
        <v>3151.1781599999999</v>
      </c>
      <c r="G22" s="16">
        <f>(((G20*0.00314)*'Технический лист'!$G$9)+310+((G21*0.00314)*'Технический лист'!$G$5))*1.95</f>
        <v>3233.5692479999998</v>
      </c>
      <c r="H22" s="16">
        <f>(((H20*0.00314)*'Технический лист'!$G$9)+310+((H21*0.00314)*'Технический лист'!$G$5))*1.95</f>
        <v>3398.351424</v>
      </c>
      <c r="I22" s="16">
        <f>(((I20*0.00314)*'Технический лист'!$G$9)+310+((I21*0.00314)*'Технический лист'!$G$5))*1.95</f>
        <v>3563.1336000000001</v>
      </c>
      <c r="J22" s="16">
        <f>(((J20*0.00314)*'Технический лист'!$G$9)+310+((J21*0.00314)*'Технический лист'!$G$5))*1.95</f>
        <v>3727.9157759999998</v>
      </c>
      <c r="K22" s="16">
        <f>(((K20*0.00314)*'Технический лист'!$G$9)+310+((K21*0.00314)*'Технический лист'!$G$5))*1.95</f>
        <v>4057.4801279999997</v>
      </c>
      <c r="L22" s="16">
        <f>(((L20*0.00314)*'Технический лист'!$G$9)+310+((L21*0.00314)*'Технический лист'!$G$5))*1.95</f>
        <v>4387.0444799999996</v>
      </c>
      <c r="M22" s="16">
        <f>(((M20*0.00314)*'Технический лист'!$G$9)+310+((M21*0.00314)*'Технический лист'!$G$5))*1.95</f>
        <v>4716.6088319999999</v>
      </c>
      <c r="N22" s="16">
        <f>(((N20*0.00314)*'Технический лист'!$G$9)+310+((N21*0.00314)*'Технический лист'!$G$5))*1.95</f>
        <v>5210.9553599999999</v>
      </c>
      <c r="O22" s="16">
        <f>(((O20*0.00314)*'Технический лист'!$G$9)+310+((O21*0.00314)*'Технический лист'!$G$5))*1.95</f>
        <v>5375.7375360000005</v>
      </c>
      <c r="P22" s="16">
        <f>(((P20*0.00314)*'Технический лист'!$G$9)+310+((P21*0.00314)*'Технический лист'!$G$5))*1.95</f>
        <v>5540.5197120000003</v>
      </c>
      <c r="Q22" s="16">
        <f>(((Q20*0.00314)*'Технический лист'!$G$9)+310+((Q21*0.00314)*'Технический лист'!$G$5))*1.95</f>
        <v>5705.3018879999991</v>
      </c>
      <c r="R22" s="16">
        <f>(((R20*0.00314)*'Технический лист'!$G$9)+310+((R21*0.00314)*'Технический лист'!$G$5))*1.95</f>
        <v>5870.0840639999997</v>
      </c>
      <c r="S22" s="16">
        <f>(((S20*0.00314)*'Технический лист'!$G$9)+310+((S21*0.00314)*'Технический лист'!$G$5))*1.95</f>
        <v>6034.8662399999994</v>
      </c>
    </row>
    <row r="23" spans="1:19">
      <c r="A23" s="4" t="s">
        <v>3</v>
      </c>
      <c r="B23" s="9">
        <f>((B22/2)*1.07)-10</f>
        <v>1455.4841552000003</v>
      </c>
      <c r="C23" s="9">
        <f t="shared" ref="C23:N23" si="10">((C22/2)*1.07)-10</f>
        <v>1543.64261936</v>
      </c>
      <c r="D23" s="9">
        <f t="shared" si="10"/>
        <v>1587.7218514399999</v>
      </c>
      <c r="E23" s="9">
        <f t="shared" si="10"/>
        <v>1631.8010835200002</v>
      </c>
      <c r="F23" s="9">
        <f t="shared" si="10"/>
        <v>1675.8803156000001</v>
      </c>
      <c r="G23" s="9">
        <f t="shared" si="10"/>
        <v>1719.95954768</v>
      </c>
      <c r="H23" s="9">
        <f t="shared" si="10"/>
        <v>1808.11801184</v>
      </c>
      <c r="I23" s="9">
        <f t="shared" si="10"/>
        <v>1896.2764760000002</v>
      </c>
      <c r="J23" s="9">
        <f t="shared" si="10"/>
        <v>1984.43494016</v>
      </c>
      <c r="K23" s="9">
        <f t="shared" si="10"/>
        <v>2160.7518684799998</v>
      </c>
      <c r="L23" s="9">
        <f t="shared" si="10"/>
        <v>2337.0687967999997</v>
      </c>
      <c r="M23" s="9">
        <f t="shared" si="10"/>
        <v>2513.3857251200002</v>
      </c>
      <c r="N23" s="9">
        <f t="shared" si="10"/>
        <v>2777.8611175999999</v>
      </c>
      <c r="O23" s="9">
        <f t="shared" ref="O23:S23" si="11">((O22/2)*1.07)-10</f>
        <v>2866.0195817600006</v>
      </c>
      <c r="P23" s="9">
        <f t="shared" si="11"/>
        <v>2954.1780459200004</v>
      </c>
      <c r="Q23" s="9">
        <f t="shared" si="11"/>
        <v>3042.3365100799997</v>
      </c>
      <c r="R23" s="9">
        <f t="shared" si="11"/>
        <v>3130.4949742399999</v>
      </c>
      <c r="S23" s="9">
        <f t="shared" si="11"/>
        <v>3218.6534383999997</v>
      </c>
    </row>
    <row r="24" spans="1:19">
      <c r="A24" s="4" t="s">
        <v>5</v>
      </c>
      <c r="B24" s="16">
        <f>((((B20*0.00314)*0.5)*'Технический лист'!$I$9)+310+(((B21*0.00314)*0.5)*'Технический лист'!$I$5))*1.95</f>
        <v>2245.8926099999999</v>
      </c>
      <c r="C24" s="16">
        <f>((((C20*0.00314)*0.5)*'Технический лист'!$I$9)+310+(((C21*0.00314)*0.5)*'Технический лист'!$I$5))*1.95</f>
        <v>2371.7569979999998</v>
      </c>
      <c r="D24" s="16">
        <f>((((D20*0.00314)*0.5)*'Технический лист'!$I$9)+310+(((D21*0.00314)*0.5)*'Технический лист'!$I$5))*1.95</f>
        <v>2434.6891919999998</v>
      </c>
      <c r="E24" s="16">
        <f>((((E20*0.00314)*0.5)*'Технический лист'!$I$9)+310+(((E21*0.00314)*0.5)*'Технический лист'!$I$5))*1.95</f>
        <v>2497.6213860000003</v>
      </c>
      <c r="F24" s="16">
        <f>((((F20*0.00314)*0.5)*'Технический лист'!$I$9)+310+(((F21*0.00314)*0.5)*'Технический лист'!$I$5))*1.95</f>
        <v>2560.5535800000002</v>
      </c>
      <c r="G24" s="16">
        <f>((((G20*0.00314)*0.5)*'Технический лист'!$I$9)+310+(((G21*0.00314)*0.5)*'Технический лист'!$I$5))*1.95</f>
        <v>2623.4857740000002</v>
      </c>
      <c r="H24" s="16">
        <f>((((H20*0.00314)*0.5)*'Технический лист'!$I$9)+310+(((H21*0.00314)*0.5)*'Технический лист'!$I$5))*1.95</f>
        <v>2749.3501619999997</v>
      </c>
      <c r="I24" s="16">
        <f>((((I20*0.00314)*0.5)*'Технический лист'!$I$9)+310+(((I21*0.00314)*0.5)*'Технический лист'!$I$5))*1.95</f>
        <v>2875.2145500000001</v>
      </c>
      <c r="J24" s="16">
        <f>((((J20*0.00314)*0.5)*'Технический лист'!$I$9)+310+(((J21*0.00314)*0.5)*'Технический лист'!$I$5))*1.95</f>
        <v>3001.0789379999997</v>
      </c>
      <c r="K24" s="16">
        <f>((((K20*0.00314)*0.5)*'Технический лист'!$I$9)+310+(((K21*0.00314)*0.5)*'Технический лист'!$I$5))*1.95</f>
        <v>3252.8077139999996</v>
      </c>
      <c r="L24" s="16">
        <f>((((L20*0.00314)*0.5)*'Технический лист'!$I$9)+310+(((L21*0.00314)*0.5)*'Технический лист'!$I$5))*1.95</f>
        <v>3504.5364899999995</v>
      </c>
      <c r="M24" s="16">
        <f>((((M20*0.00314)*0.5)*'Технический лист'!$I$9)+310+(((M21*0.00314)*0.5)*'Технический лист'!$I$5))*1.95</f>
        <v>3756.2652659999999</v>
      </c>
      <c r="N24" s="16">
        <f>((((N20*0.00314)*0.5)*'Технический лист'!$I$9)+310+(((N21*0.00314)*0.5)*'Технический лист'!$I$5))*1.95</f>
        <v>4133.8584300000002</v>
      </c>
      <c r="O24" s="16">
        <f>((((O20*0.00314)*0.5)*'Технический лист'!$I$9)+310+(((O21*0.00314)*0.5)*'Технический лист'!$I$5))*1.95</f>
        <v>4259.7228179999993</v>
      </c>
      <c r="P24" s="16">
        <f>((((P20*0.00314)*0.5)*'Технический лист'!$I$9)+310+(((P21*0.00314)*0.5)*'Технический лист'!$I$5))*1.95</f>
        <v>4385.5872060000002</v>
      </c>
      <c r="Q24" s="16">
        <f>((((Q20*0.00314)*0.5)*'Технический лист'!$I$9)+310+(((Q21*0.00314)*0.5)*'Технический лист'!$I$5))*1.95</f>
        <v>4511.4515939999992</v>
      </c>
      <c r="R24" s="16">
        <f>((((R20*0.00314)*0.5)*'Технический лист'!$I$9)+310+(((R21*0.00314)*0.5)*'Технический лист'!$I$5))*1.95</f>
        <v>4637.3159820000001</v>
      </c>
      <c r="S24" s="16">
        <f>((((S20*0.00314)*0.5)*'Технический лист'!$I$9)+310+(((S21*0.00314)*0.5)*'Технический лист'!$I$5))*1.95</f>
        <v>4763.1803699999991</v>
      </c>
    </row>
    <row r="25" spans="1:19">
      <c r="A25" s="4" t="s">
        <v>96</v>
      </c>
      <c r="B25" s="9">
        <f>((B24*2)/3)-6</f>
        <v>1491.2617399999999</v>
      </c>
      <c r="C25" s="9">
        <f t="shared" ref="C25:N25" si="12">((C24*2)/3)-6</f>
        <v>1575.1713319999999</v>
      </c>
      <c r="D25" s="9">
        <f t="shared" si="12"/>
        <v>1617.1261279999999</v>
      </c>
      <c r="E25" s="9">
        <f t="shared" si="12"/>
        <v>1659.0809240000001</v>
      </c>
      <c r="F25" s="9">
        <f t="shared" si="12"/>
        <v>1701.0357200000001</v>
      </c>
      <c r="G25" s="9">
        <f t="shared" si="12"/>
        <v>1742.9905160000001</v>
      </c>
      <c r="H25" s="9">
        <f t="shared" si="12"/>
        <v>1826.9001079999998</v>
      </c>
      <c r="I25" s="9">
        <f t="shared" si="12"/>
        <v>1910.8097</v>
      </c>
      <c r="J25" s="9">
        <f t="shared" si="12"/>
        <v>1994.7192919999998</v>
      </c>
      <c r="K25" s="9">
        <f t="shared" si="12"/>
        <v>2162.5384759999997</v>
      </c>
      <c r="L25" s="9">
        <f t="shared" si="12"/>
        <v>2330.3576599999997</v>
      </c>
      <c r="M25" s="9">
        <f t="shared" si="12"/>
        <v>2498.1768440000001</v>
      </c>
      <c r="N25" s="9">
        <f t="shared" si="12"/>
        <v>2749.90562</v>
      </c>
      <c r="O25" s="9">
        <f t="shared" ref="O25:S25" si="13">((O24*2)/3)-6</f>
        <v>2833.8152119999995</v>
      </c>
      <c r="P25" s="9">
        <f t="shared" si="13"/>
        <v>2917.7248039999999</v>
      </c>
      <c r="Q25" s="9">
        <f t="shared" si="13"/>
        <v>3001.6343959999995</v>
      </c>
      <c r="R25" s="9">
        <f t="shared" si="13"/>
        <v>3085.5439879999999</v>
      </c>
      <c r="S25" s="9">
        <f t="shared" si="13"/>
        <v>3169.4535799999994</v>
      </c>
    </row>
    <row r="26" spans="1:19">
      <c r="A26" s="4" t="s">
        <v>6</v>
      </c>
      <c r="B26" s="16">
        <f>((((B20*0.00314)*0.22)*'Технический лист'!$M$9)+100+(((B21*0.00314)*0.21)*'Технический лист'!$O$5)+(((B20+30)*(B20+30)/1000000)*'Технический лист'!$E$20))*1.96</f>
        <v>1130.94113664</v>
      </c>
      <c r="C26" s="16">
        <f>((((C20*0.00314)*0.22)*'Технический лист'!$M$9)+100+(((C21*0.00314)*0.21)*'Технический лист'!$O$5)+(((C20+30)*(C20+30)/1000000)*'Технический лист'!$E$20))*1.96</f>
        <v>1214.1149628160001</v>
      </c>
      <c r="D26" s="16">
        <f>((((D20*0.00314)*0.22)*'Технический лист'!$M$9)+100+(((D21*0.00314)*0.21)*'Технический лист'!$O$5)+(((D20+30)*(D20+30)/1000000)*'Технический лист'!$E$20))*1.96</f>
        <v>1256.2898759039999</v>
      </c>
      <c r="E26" s="16">
        <f>((((E20*0.00314)*0.22)*'Технический лист'!$M$9)+100+(((E21*0.00314)*0.21)*'Технический лист'!$O$5)+(((E20+30)*(E20+30)/1000000)*'Технический лист'!$E$20))*1.96</f>
        <v>1298.8567889920002</v>
      </c>
      <c r="F26" s="16">
        <f>((((F20*0.00314)*0.22)*'Технический лист'!$M$9)+100+(((F21*0.00314)*0.21)*'Технический лист'!$O$5)+(((F20+30)*(F20+30)/1000000)*'Технический лист'!$E$20))*1.96</f>
        <v>1341.8157020799999</v>
      </c>
      <c r="G26" s="16">
        <f>((((G20*0.00314)*0.22)*'Технический лист'!$M$9)+100+(((G21*0.00314)*0.21)*'Технический лист'!$O$5)+(((G20+30)*(G20+30)/1000000)*'Технический лист'!$E$20))*1.96</f>
        <v>1385.1666151679997</v>
      </c>
      <c r="H26" s="16">
        <f>((((H20*0.00314)*0.22)*'Технический лист'!$M$9)+100+(((H21*0.00314)*0.21)*'Технический лист'!$O$5)+(((H20+30)*(H20+30)/1000000)*'Технический лист'!$E$20))*1.96</f>
        <v>1473.0444413439998</v>
      </c>
      <c r="I26" s="16">
        <f>((((I20*0.00314)*0.22)*'Технический лист'!$M$9)+100+(((I21*0.00314)*0.21)*'Технический лист'!$O$5)+(((I20+30)*(I20+30)/1000000)*'Технический лист'!$E$20))*1.96</f>
        <v>1562.4902675199999</v>
      </c>
      <c r="J26" s="16">
        <f>((((J20*0.00314)*0.22)*'Технический лист'!$M$9)+100+(((J21*0.00314)*0.21)*'Технический лист'!$O$5)+(((J20+30)*(J20+30)/1000000)*'Технический лист'!$E$20))*1.96</f>
        <v>1653.5040936959997</v>
      </c>
      <c r="K26" s="16">
        <f>((((K20*0.00314)*0.22)*'Технический лист'!$M$9)+100+(((K21*0.00314)*0.21)*'Технический лист'!$O$5)+(((K20+30)*(K20+30)/1000000)*'Технический лист'!$E$20))*1.96</f>
        <v>1840.235746048</v>
      </c>
      <c r="L26" s="16">
        <f>((((L20*0.00314)*0.22)*'Технический лист'!$M$9)+100+(((L21*0.00314)*0.21)*'Технический лист'!$O$5)+(((L20+30)*(L20+30)/1000000)*'Технический лист'!$E$20))*1.96</f>
        <v>2033.2393984</v>
      </c>
      <c r="M26" s="16">
        <f>((((M20*0.00314)*0.22)*'Технический лист'!$M$9)+100+(((M21*0.00314)*0.21)*'Технический лист'!$O$5)+(((M20+30)*(M20+30)/1000000)*'Технический лист'!$E$20))*1.96</f>
        <v>2232.5150507519998</v>
      </c>
      <c r="N26" s="16">
        <f>((((N20*0.00314)*0.22)*'Технический лист'!$M$9)+100+(((N21*0.00314)*0.21)*'Технический лист'!$O$5)+(((N20+30)*(N20+30)/1000000)*'Технический лист'!$E$20))*1.96</f>
        <v>2543.1885292799998</v>
      </c>
      <c r="O26" s="16">
        <f>((((O20*0.00314)*0.22)*'Технический лист'!$M$9)+100+(((O21*0.00314)*0.21)*'Технический лист'!$O$5)+(((O20+30)*(O20+30)/1000000)*'Технический лист'!$E$20))*1.96</f>
        <v>2649.8823554559995</v>
      </c>
      <c r="P26" s="16">
        <f>((((P20*0.00314)*0.22)*'Технический лист'!$M$9)+100+(((P21*0.00314)*0.21)*'Технический лист'!$O$5)+(((P20+30)*(P20+30)/1000000)*'Технический лист'!$E$20))*1.96</f>
        <v>2758.1441816319998</v>
      </c>
      <c r="Q26" s="16">
        <f>((((Q20*0.00314)*0.22)*'Технический лист'!$M$9)+100+(((Q21*0.00314)*0.21)*'Технический лист'!$O$5)+(((Q20+30)*(Q20+30)/1000000)*'Технический лист'!$E$20))*1.96</f>
        <v>2867.9740078079999</v>
      </c>
      <c r="R26" s="16">
        <f>((((R20*0.00314)*0.22)*'Технический лист'!$M$9)+100+(((R21*0.00314)*0.21)*'Технический лист'!$O$5)+(((R20+30)*(R20+30)/1000000)*'Технический лист'!$E$20))*1.96</f>
        <v>2979.3718339839993</v>
      </c>
      <c r="S26" s="16">
        <f>((((S20*0.00314)*0.22)*'Технический лист'!$M$9)+100+(((S21*0.00314)*0.21)*'Технический лист'!$O$5)+(((S20+30)*(S20+30)/1000000)*'Технический лист'!$E$20))*1.96</f>
        <v>3092.3376601599994</v>
      </c>
    </row>
    <row r="27" spans="1:19">
      <c r="A27" s="4" t="s">
        <v>7</v>
      </c>
      <c r="B27" s="9">
        <f>(B26*2.2)+24</f>
        <v>2512.0705006080002</v>
      </c>
      <c r="C27" s="9">
        <f t="shared" ref="C27:N27" si="14">(C26*2.2)+24</f>
        <v>2695.0529181952006</v>
      </c>
      <c r="D27" s="9">
        <f t="shared" si="14"/>
        <v>2787.8377269888001</v>
      </c>
      <c r="E27" s="9">
        <f t="shared" si="14"/>
        <v>2881.484935782401</v>
      </c>
      <c r="F27" s="9">
        <f t="shared" si="14"/>
        <v>2975.994544576</v>
      </c>
      <c r="G27" s="9">
        <f t="shared" si="14"/>
        <v>3071.3665533695994</v>
      </c>
      <c r="H27" s="9">
        <f t="shared" si="14"/>
        <v>3264.6977709567996</v>
      </c>
      <c r="I27" s="9">
        <f t="shared" si="14"/>
        <v>3461.4785885440001</v>
      </c>
      <c r="J27" s="9">
        <f t="shared" si="14"/>
        <v>3661.7090061311997</v>
      </c>
      <c r="K27" s="9">
        <f t="shared" si="14"/>
        <v>4072.5186413056003</v>
      </c>
      <c r="L27" s="9">
        <f t="shared" si="14"/>
        <v>4497.1266764800002</v>
      </c>
      <c r="M27" s="9">
        <f t="shared" si="14"/>
        <v>4935.5331116544003</v>
      </c>
      <c r="N27" s="9">
        <f t="shared" si="14"/>
        <v>5619.0147644159997</v>
      </c>
      <c r="O27" s="9">
        <f t="shared" ref="O27:S27" si="15">(O26*2.2)+24</f>
        <v>5853.7411820031994</v>
      </c>
      <c r="P27" s="9">
        <f t="shared" si="15"/>
        <v>6091.9171995903998</v>
      </c>
      <c r="Q27" s="9">
        <f t="shared" si="15"/>
        <v>6333.5428171776002</v>
      </c>
      <c r="R27" s="9">
        <f t="shared" si="15"/>
        <v>6578.6180347647987</v>
      </c>
      <c r="S27" s="9">
        <f t="shared" si="15"/>
        <v>6827.142852351999</v>
      </c>
    </row>
    <row r="28" spans="1:19">
      <c r="A28" s="4" t="s">
        <v>8</v>
      </c>
      <c r="B28" s="16">
        <f>((((B20*0.00314)*0.2)*'Технический лист'!$M$9)+50+(((B21*0.00314)*0.22)*'Технический лист'!$O$5))*1.96</f>
        <v>888.85517056000015</v>
      </c>
      <c r="C28" s="16">
        <f>((((C20*0.00314)*0.2)*'Технический лист'!$M$9)+50+(((C21*0.00314)*0.22)*'Технический лист'!$O$5))*1.96</f>
        <v>948.83349120000003</v>
      </c>
      <c r="D28" s="16">
        <f>((((D20*0.00314)*0.2)*'Технический лист'!$M$9)+50+(((D21*0.00314)*0.22)*'Технический лист'!$O$5))*1.96</f>
        <v>978.82265151999991</v>
      </c>
      <c r="E28" s="16">
        <f>((((E20*0.00314)*0.2)*'Технический лист'!$M$9)+50+(((E21*0.00314)*0.22)*'Технический лист'!$O$5))*1.96</f>
        <v>1008.8118118400001</v>
      </c>
      <c r="F28" s="16">
        <f>((((F20*0.00314)*0.2)*'Технический лист'!$M$9)+50+(((F21*0.00314)*0.22)*'Технический лист'!$O$5))*1.96</f>
        <v>1038.8009721600001</v>
      </c>
      <c r="G28" s="16">
        <f>((((G20*0.00314)*0.2)*'Технический лист'!$M$9)+50+(((G21*0.00314)*0.22)*'Технический лист'!$O$5))*1.96</f>
        <v>1068.79013248</v>
      </c>
      <c r="H28" s="16">
        <f>((((H20*0.00314)*0.2)*'Технический лист'!$M$9)+50+(((H21*0.00314)*0.22)*'Технический лист'!$O$5))*1.96</f>
        <v>1128.76845312</v>
      </c>
      <c r="I28" s="16">
        <f>((((I20*0.00314)*0.2)*'Технический лист'!$M$9)+50+(((I21*0.00314)*0.22)*'Технический лист'!$O$5))*1.96</f>
        <v>1188.74677376</v>
      </c>
      <c r="J28" s="16">
        <f>((((J20*0.00314)*0.2)*'Технический лист'!$M$9)+50+(((J21*0.00314)*0.22)*'Технический лист'!$O$5))*1.96</f>
        <v>1248.7250944</v>
      </c>
      <c r="K28" s="16">
        <f>((((K20*0.00314)*0.2)*'Технический лист'!$M$9)+50+(((K21*0.00314)*0.22)*'Технический лист'!$O$5))*1.96</f>
        <v>1368.68173568</v>
      </c>
      <c r="L28" s="16">
        <f>((((L20*0.00314)*0.2)*'Технический лист'!$M$9)+50+(((L21*0.00314)*0.22)*'Технический лист'!$O$5))*1.96</f>
        <v>1488.63837696</v>
      </c>
      <c r="M28" s="16">
        <f>((((M20*0.00314)*0.2)*'Технический лист'!$M$9)+50+(((M21*0.00314)*0.22)*'Технический лист'!$O$5))*1.96</f>
        <v>1608.5950182399999</v>
      </c>
      <c r="N28" s="16">
        <f>((((N20*0.00314)*0.2)*'Технический лист'!$M$9)+50+(((N21*0.00314)*0.22)*'Технический лист'!$O$5))*1.96</f>
        <v>1788.5299801599999</v>
      </c>
      <c r="O28" s="16">
        <f>((((O20*0.00314)*0.2)*'Технический лист'!$M$9)+50+(((O21*0.00314)*0.22)*'Технический лист'!$O$5))*1.96</f>
        <v>1848.5083007999997</v>
      </c>
      <c r="P28" s="16">
        <f>((((P20*0.00314)*0.2)*'Технический лист'!$M$9)+50+(((P21*0.00314)*0.22)*'Технический лист'!$O$5))*1.96</f>
        <v>1908.4866214399999</v>
      </c>
      <c r="Q28" s="16">
        <f>((((Q20*0.00314)*0.2)*'Технический лист'!$M$9)+50+(((Q21*0.00314)*0.22)*'Технический лист'!$O$5))*1.96</f>
        <v>1968.4649420799997</v>
      </c>
      <c r="R28" s="16">
        <f>((((R20*0.00314)*0.2)*'Технический лист'!$M$9)+50+(((R21*0.00314)*0.22)*'Технический лист'!$O$5))*1.96</f>
        <v>2028.4432627199999</v>
      </c>
      <c r="S28" s="16">
        <f>((((S20*0.00314)*0.2)*'Технический лист'!$M$9)+50+(((S21*0.00314)*0.22)*'Технический лист'!$O$5))*1.96</f>
        <v>2088.4215833600001</v>
      </c>
    </row>
    <row r="29" spans="1:19" ht="15" customHeight="1">
      <c r="A29" s="4" t="s">
        <v>9</v>
      </c>
      <c r="B29" s="9">
        <f>((((B20*0.00314)*((B20+545)/1000))*'Технический лист'!$K$9)+370+((B21*0.00314)*((B21+450)/1000))*'Технический лист'!$K$5)*1.96</f>
        <v>2955.2579179200006</v>
      </c>
      <c r="C29" s="9">
        <f>((((C20*0.00314)*((C20+545)/1000))*'Технический лист'!$K$9)+370+((C21*0.00314)*((C21+450)/1000))*'Технический лист'!$K$5)*1.96</f>
        <v>3163.813670864</v>
      </c>
      <c r="D29" s="9">
        <f>((((D20*0.00314)*((D20+545)/1000))*'Технический лист'!$K$9)+370+((D21*0.00314)*((D21+450)/1000))*'Технический лист'!$K$5)*1.96</f>
        <v>3270.1092058319996</v>
      </c>
      <c r="E29" s="9">
        <f>((((E20*0.00314)*((E20+545)/1000))*'Технический лист'!$K$9)+370+((E21*0.00314)*((E21+450)/1000))*'Технический лист'!$K$5)*1.96</f>
        <v>3377.7498464639998</v>
      </c>
      <c r="F29" s="9">
        <f>((((F20*0.00314)*((F20+545)/1000))*'Технический лист'!$K$9)+370+((F21*0.00314)*((F21+450)/1000))*'Технический лист'!$K$5)*1.96</f>
        <v>3486.7355927600001</v>
      </c>
      <c r="G29" s="9">
        <f>((((G20*0.00314)*((G20+545)/1000))*'Технический лист'!$K$9)+370+((G21*0.00314)*((G21+450)/1000))*'Технический лист'!$K$5)*1.96</f>
        <v>3597.0664447200002</v>
      </c>
      <c r="H29" s="9">
        <f>((((H20*0.00314)*((H20+545)/1000))*'Технический лист'!$K$9)+370+((H21*0.00314)*((H21+450)/1000))*'Технический лист'!$K$5)*1.96</f>
        <v>3821.7634656320006</v>
      </c>
      <c r="I29" s="9">
        <f>((((I20*0.00314)*((I20+545)/1000))*'Технический лист'!$K$9)+370+((I21*0.00314)*((I21+450)/1000))*'Технический лист'!$K$5)*1.96</f>
        <v>4051.8409091999997</v>
      </c>
      <c r="J29" s="9">
        <f>((((J20*0.00314)*((J20+545)/1000))*'Технический лист'!$K$9)+370+((J21*0.00314)*((J21+450)/1000))*'Технический лист'!$K$5)*1.96</f>
        <v>4287.2987754240003</v>
      </c>
      <c r="K29" s="9">
        <f>((((K20*0.00314)*((K20+545)/1000))*'Технический лист'!$K$9)+370+((K21*0.00314)*((K21+450)/1000))*'Технический лист'!$K$5)*1.96</f>
        <v>4774.3557758399993</v>
      </c>
      <c r="L29" s="9">
        <f>((((L20*0.00314)*((L20+545)/1000))*'Технический лист'!$K$9)+370+((L21*0.00314)*((L21+450)/1000))*'Технический лист'!$K$5)*1.96</f>
        <v>5282.9344668799995</v>
      </c>
      <c r="M29" s="9">
        <f>((((M20*0.00314)*((M20+545)/1000))*'Технический лист'!$K$9)+370+((M21*0.00314)*((M21+450)/1000))*'Технический лист'!$K$5)*1.96</f>
        <v>5813.034848543999</v>
      </c>
      <c r="N29" s="9">
        <f>((((N20*0.00314)*((N20+545)/1000))*'Технический лист'!$K$9)+370+((N21*0.00314)*((N21+450)/1000))*'Технический лист'!$K$5)*1.96</f>
        <v>6648.5385909599991</v>
      </c>
      <c r="O29" s="9">
        <f>((((O20*0.00314)*((O20+545)/1000))*'Технический лист'!$K$9)+370+((O21*0.00314)*((O21+450)/1000))*'Технический лист'!$K$5)*1.96</f>
        <v>6937.8006837439998</v>
      </c>
      <c r="P29" s="9">
        <f>((((P20*0.00314)*((P20+545)/1000))*'Технический лист'!$K$9)+370+((P21*0.00314)*((P21+450)/1000))*'Технический лист'!$K$5)*1.96</f>
        <v>7232.4431991840002</v>
      </c>
      <c r="Q29" s="9">
        <f>((((Q20*0.00314)*((Q20+545)/1000))*'Технический лист'!$K$9)+370+((Q21*0.00314)*((Q21+450)/1000))*'Технический лист'!$K$5)*1.96</f>
        <v>7532.4661372799992</v>
      </c>
      <c r="R29" s="9">
        <f>((((R20*0.00314)*((R20+545)/1000))*'Технический лист'!$K$9)+370+((R21*0.00314)*((R21+450)/1000))*'Технический лист'!$K$5)*1.96</f>
        <v>7837.8694980319997</v>
      </c>
      <c r="S29" s="9">
        <f>((((S20*0.00314)*((S20+545)/1000))*'Технический лист'!$K$9)+370+((S21*0.00314)*((S21+450)/1000))*'Технический лист'!$K$5)*1.96</f>
        <v>8148.6532814399989</v>
      </c>
    </row>
    <row r="30" spans="1:19" ht="0.75" customHeight="1">
      <c r="A30" s="4" t="s">
        <v>8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>
      <c r="A31" s="4" t="s">
        <v>119</v>
      </c>
      <c r="B31" s="16">
        <v>2100</v>
      </c>
      <c r="C31" s="16">
        <v>2100</v>
      </c>
      <c r="D31" s="16">
        <v>2100</v>
      </c>
      <c r="E31" s="16">
        <v>2100</v>
      </c>
      <c r="F31" s="16">
        <v>2100</v>
      </c>
      <c r="G31" s="16">
        <v>2100</v>
      </c>
      <c r="H31" s="16">
        <v>2100</v>
      </c>
      <c r="I31" s="16">
        <v>2100</v>
      </c>
      <c r="J31" s="16">
        <v>2100</v>
      </c>
      <c r="K31" s="16">
        <v>2100</v>
      </c>
      <c r="L31" s="16">
        <v>2100</v>
      </c>
      <c r="M31" s="16">
        <v>2100</v>
      </c>
      <c r="N31" s="16">
        <v>2100</v>
      </c>
      <c r="O31" s="16">
        <v>2100</v>
      </c>
      <c r="P31" s="16">
        <v>2100</v>
      </c>
      <c r="Q31" s="16">
        <v>2100</v>
      </c>
      <c r="R31" s="16">
        <v>2100</v>
      </c>
      <c r="S31" s="16">
        <v>2100</v>
      </c>
    </row>
  </sheetData>
  <mergeCells count="6">
    <mergeCell ref="A19:N19"/>
    <mergeCell ref="A1:C1"/>
    <mergeCell ref="D1:O1"/>
    <mergeCell ref="D2:O2"/>
    <mergeCell ref="D3:O3"/>
    <mergeCell ref="A5:O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S31"/>
  <sheetViews>
    <sheetView zoomScale="80" zoomScaleNormal="80" workbookViewId="0">
      <selection activeCell="B31" sqref="B31:S31"/>
    </sheetView>
  </sheetViews>
  <sheetFormatPr defaultRowHeight="14.4"/>
  <cols>
    <col min="1" max="1" width="26.6640625" customWidth="1"/>
    <col min="2" max="19" width="6.33203125" customWidth="1"/>
  </cols>
  <sheetData>
    <row r="1" spans="1:19" ht="45" customHeight="1">
      <c r="A1" s="32"/>
      <c r="B1" s="32"/>
      <c r="C1" s="32"/>
      <c r="D1" s="40" t="s">
        <v>94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1"/>
      <c r="Q1" s="1"/>
    </row>
    <row r="2" spans="1:19" ht="15" customHeight="1">
      <c r="D2" s="34" t="s">
        <v>95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1"/>
    </row>
    <row r="3" spans="1:19" ht="15" customHeight="1">
      <c r="D3" s="34" t="s">
        <v>112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9" ht="2.25" customHeight="1"/>
    <row r="5" spans="1:19">
      <c r="A5" s="41" t="s">
        <v>53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1:19">
      <c r="A6" s="3" t="s">
        <v>0</v>
      </c>
      <c r="B6" s="10">
        <v>100</v>
      </c>
      <c r="C6" s="10">
        <v>110</v>
      </c>
      <c r="D6" s="10">
        <v>115</v>
      </c>
      <c r="E6" s="10">
        <v>120</v>
      </c>
      <c r="F6" s="10">
        <v>125</v>
      </c>
      <c r="G6" s="10">
        <v>130</v>
      </c>
      <c r="H6" s="10">
        <v>140</v>
      </c>
      <c r="I6" s="10">
        <v>150</v>
      </c>
      <c r="J6" s="10">
        <v>160</v>
      </c>
      <c r="K6" s="10">
        <v>180</v>
      </c>
      <c r="L6" s="10">
        <v>200</v>
      </c>
      <c r="M6" s="10">
        <v>220</v>
      </c>
      <c r="N6" s="10">
        <v>250</v>
      </c>
      <c r="O6" s="10">
        <v>260</v>
      </c>
      <c r="P6" s="10">
        <v>270</v>
      </c>
      <c r="Q6" s="10">
        <v>280</v>
      </c>
      <c r="R6" s="10">
        <v>290</v>
      </c>
      <c r="S6" s="10">
        <v>300</v>
      </c>
    </row>
    <row r="7" spans="1:19">
      <c r="A7" s="3" t="s">
        <v>1</v>
      </c>
      <c r="B7" s="10">
        <f>B6+70</f>
        <v>170</v>
      </c>
      <c r="C7" s="10">
        <f t="shared" ref="C7:N7" si="0">C6+70</f>
        <v>180</v>
      </c>
      <c r="D7" s="10">
        <f t="shared" si="0"/>
        <v>185</v>
      </c>
      <c r="E7" s="10">
        <f t="shared" si="0"/>
        <v>190</v>
      </c>
      <c r="F7" s="10">
        <f t="shared" si="0"/>
        <v>195</v>
      </c>
      <c r="G7" s="10">
        <f t="shared" si="0"/>
        <v>200</v>
      </c>
      <c r="H7" s="10">
        <f t="shared" si="0"/>
        <v>210</v>
      </c>
      <c r="I7" s="10">
        <f t="shared" si="0"/>
        <v>220</v>
      </c>
      <c r="J7" s="10">
        <f t="shared" si="0"/>
        <v>230</v>
      </c>
      <c r="K7" s="10">
        <f t="shared" si="0"/>
        <v>250</v>
      </c>
      <c r="L7" s="10">
        <f t="shared" si="0"/>
        <v>270</v>
      </c>
      <c r="M7" s="10">
        <f t="shared" si="0"/>
        <v>290</v>
      </c>
      <c r="N7" s="10">
        <f t="shared" si="0"/>
        <v>320</v>
      </c>
      <c r="O7" s="10">
        <f t="shared" ref="O7:S7" si="1">O6+70</f>
        <v>330</v>
      </c>
      <c r="P7" s="10">
        <f t="shared" si="1"/>
        <v>340</v>
      </c>
      <c r="Q7" s="10">
        <f t="shared" si="1"/>
        <v>350</v>
      </c>
      <c r="R7" s="10">
        <f t="shared" si="1"/>
        <v>360</v>
      </c>
      <c r="S7" s="10">
        <f t="shared" si="1"/>
        <v>370</v>
      </c>
    </row>
    <row r="8" spans="1:19">
      <c r="A8" s="4" t="s">
        <v>4</v>
      </c>
      <c r="B8" s="16">
        <f>(((B6*0.00314)*'Технический лист'!$G$10)+310+((B7*0.00314)*'Технический лист'!$G$11))*1.95</f>
        <v>2373.3708193506495</v>
      </c>
      <c r="C8" s="16">
        <f>(((C6*0.00314)*'Технический лист'!$G$10)+310+((C7*0.00314)*'Технический лист'!$G$11))*1.95</f>
        <v>2535.099394285714</v>
      </c>
      <c r="D8" s="16">
        <f>(((D6*0.00314)*'Технический лист'!$G$10)+310+((D7*0.00314)*'Технический лист'!$G$11))*1.95</f>
        <v>2615.963681753246</v>
      </c>
      <c r="E8" s="16">
        <f>(((E6*0.00314)*'Технический лист'!$G$10)+310+((E7*0.00314)*'Технический лист'!$G$11))*1.95</f>
        <v>2696.8279692207793</v>
      </c>
      <c r="F8" s="16">
        <f>(((F6*0.00314)*'Технический лист'!$G$10)+310+((F7*0.00314)*'Технический лист'!$G$11))*1.95</f>
        <v>2777.6922566883113</v>
      </c>
      <c r="G8" s="16">
        <f>(((G6*0.00314)*'Технический лист'!$G$10)+310+((G7*0.00314)*'Технический лист'!$G$11))*1.95</f>
        <v>2858.5565441558438</v>
      </c>
      <c r="H8" s="16">
        <f>(((H6*0.00314)*'Технический лист'!$G$10)+310+((H7*0.00314)*'Технический лист'!$G$11))*1.95</f>
        <v>3020.2851190909087</v>
      </c>
      <c r="I8" s="16">
        <f>(((I6*0.00314)*'Технический лист'!$G$10)+310+((I7*0.00314)*'Технический лист'!$G$11))*1.95</f>
        <v>3182.013694025974</v>
      </c>
      <c r="J8" s="16">
        <f>(((J6*0.00314)*'Технический лист'!$G$10)+310+((J7*0.00314)*'Технический лист'!$G$11))*1.95</f>
        <v>3343.7422689610385</v>
      </c>
      <c r="K8" s="16">
        <f>(((K6*0.00314)*'Технический лист'!$G$10)+310+((K7*0.00314)*'Технический лист'!$G$11))*1.95</f>
        <v>3667.1994188311683</v>
      </c>
      <c r="L8" s="16">
        <f>(((L6*0.00314)*'Технический лист'!$G$10)+310+((L7*0.00314)*'Технический лист'!$G$11))*1.95</f>
        <v>3990.6565687012985</v>
      </c>
      <c r="M8" s="16">
        <f>(((M6*0.00314)*'Технический лист'!$G$10)+310+((M7*0.00314)*'Технический лист'!$G$11))*1.95</f>
        <v>4314.1137185714279</v>
      </c>
      <c r="N8" s="16">
        <f>(((N6*0.00314)*'Технический лист'!$G$10)+310+((N7*0.00314)*'Технический лист'!$G$11))*1.95</f>
        <v>4799.2994433766225</v>
      </c>
      <c r="O8" s="16">
        <f>(((O6*0.00314)*'Технический лист'!$G$10)+310+((O7*0.00314)*'Технический лист'!$G$11))*1.95</f>
        <v>4961.0280183116874</v>
      </c>
      <c r="P8" s="16">
        <f>(((P6*0.00314)*'Технический лист'!$G$10)+310+((P7*0.00314)*'Технический лист'!$G$11))*1.95</f>
        <v>5122.7565932467523</v>
      </c>
      <c r="Q8" s="16">
        <f>(((Q6*0.00314)*'Технический лист'!$G$10)+310+((Q7*0.00314)*'Технический лист'!$G$11))*1.95</f>
        <v>5284.4851681818172</v>
      </c>
      <c r="R8" s="16">
        <f>(((R6*0.00314)*'Технический лист'!$G$10)+310+((R7*0.00314)*'Технический лист'!$G$11))*1.95</f>
        <v>5446.2137431168821</v>
      </c>
      <c r="S8" s="16">
        <f>(((S6*0.00314)*'Технический лист'!$G$10)+310+((S7*0.00314)*'Технический лист'!$G$11))*1.95</f>
        <v>5607.942318051948</v>
      </c>
    </row>
    <row r="9" spans="1:19">
      <c r="A9" s="4" t="s">
        <v>3</v>
      </c>
      <c r="B9" s="9">
        <f>((B8/2)*1.07)-10</f>
        <v>1259.7533883525975</v>
      </c>
      <c r="C9" s="9">
        <f t="shared" ref="C9:N9" si="2">((C8/2)*1.07)-10</f>
        <v>1346.2781759428572</v>
      </c>
      <c r="D9" s="9">
        <f t="shared" si="2"/>
        <v>1389.5405697379867</v>
      </c>
      <c r="E9" s="9">
        <f t="shared" si="2"/>
        <v>1432.802963533117</v>
      </c>
      <c r="F9" s="9">
        <f t="shared" si="2"/>
        <v>1476.0653573282466</v>
      </c>
      <c r="G9" s="9">
        <f t="shared" si="2"/>
        <v>1519.3277511233764</v>
      </c>
      <c r="H9" s="9">
        <f t="shared" si="2"/>
        <v>1605.8525387136362</v>
      </c>
      <c r="I9" s="9">
        <f t="shared" si="2"/>
        <v>1692.3773263038961</v>
      </c>
      <c r="J9" s="9">
        <f t="shared" si="2"/>
        <v>1778.9021138941557</v>
      </c>
      <c r="K9" s="9">
        <f t="shared" si="2"/>
        <v>1951.9516890746752</v>
      </c>
      <c r="L9" s="9">
        <f t="shared" si="2"/>
        <v>2125.0012642551947</v>
      </c>
      <c r="M9" s="9">
        <f t="shared" si="2"/>
        <v>2298.0508394357139</v>
      </c>
      <c r="N9" s="9">
        <f t="shared" si="2"/>
        <v>2557.6252022064932</v>
      </c>
      <c r="O9" s="9">
        <f t="shared" ref="O9:S9" si="3">((O8/2)*1.07)-10</f>
        <v>2644.1499897967528</v>
      </c>
      <c r="P9" s="9">
        <f t="shared" si="3"/>
        <v>2730.6747773870125</v>
      </c>
      <c r="Q9" s="9">
        <f t="shared" si="3"/>
        <v>2817.1995649772725</v>
      </c>
      <c r="R9" s="9">
        <f t="shared" si="3"/>
        <v>2903.7243525675322</v>
      </c>
      <c r="S9" s="9">
        <f t="shared" si="3"/>
        <v>2990.2491401577922</v>
      </c>
    </row>
    <row r="10" spans="1:19">
      <c r="A10" s="4" t="s">
        <v>5</v>
      </c>
      <c r="B10" s="16">
        <f>((((B6*0.00314)*0.5)*'Технический лист'!$I$10)+310+(((B7*0.00314)*0.5)*'Технический лист'!$I$11))*1.95</f>
        <v>1924.4337846753244</v>
      </c>
      <c r="C10" s="16">
        <f>((((C6*0.00314)*0.5)*'Технический лист'!$I$10)+310+(((C7*0.00314)*0.5)*'Технический лист'!$I$11))*1.95</f>
        <v>2041.882997142857</v>
      </c>
      <c r="D10" s="16">
        <f>((((D6*0.00314)*0.5)*'Технический лист'!$I$10)+310+(((D7*0.00314)*0.5)*'Технический лист'!$I$11))*1.95</f>
        <v>2100.607603376623</v>
      </c>
      <c r="E10" s="16">
        <f>((((E6*0.00314)*0.5)*'Технический лист'!$I$10)+310+(((E7*0.00314)*0.5)*'Технический лист'!$I$11))*1.95</f>
        <v>2159.3322096103893</v>
      </c>
      <c r="F10" s="16">
        <f>((((F6*0.00314)*0.5)*'Технический лист'!$I$10)+310+(((F7*0.00314)*0.5)*'Технический лист'!$I$11))*1.95</f>
        <v>2218.0568158441556</v>
      </c>
      <c r="G10" s="16">
        <f>((((G6*0.00314)*0.5)*'Технический лист'!$I$10)+310+(((G7*0.00314)*0.5)*'Технический лист'!$I$11))*1.95</f>
        <v>2276.7814220779223</v>
      </c>
      <c r="H10" s="16">
        <f>((((H6*0.00314)*0.5)*'Технический лист'!$I$10)+310+(((H7*0.00314)*0.5)*'Технический лист'!$I$11))*1.95</f>
        <v>2394.230634545454</v>
      </c>
      <c r="I10" s="16">
        <f>((((I6*0.00314)*0.5)*'Технический лист'!$I$10)+310+(((I7*0.00314)*0.5)*'Технический лист'!$I$11))*1.95</f>
        <v>2511.679847012987</v>
      </c>
      <c r="J10" s="16">
        <f>((((J6*0.00314)*0.5)*'Технический лист'!$I$10)+310+(((J7*0.00314)*0.5)*'Технический лист'!$I$11))*1.95</f>
        <v>2629.1290594805191</v>
      </c>
      <c r="K10" s="16">
        <f>((((K6*0.00314)*0.5)*'Технический лист'!$I$10)+310+(((K7*0.00314)*0.5)*'Технический лист'!$I$11))*1.95</f>
        <v>2864.0274844155842</v>
      </c>
      <c r="L10" s="16">
        <f>((((L6*0.00314)*0.5)*'Технический лист'!$I$10)+310+(((L7*0.00314)*0.5)*'Технический лист'!$I$11))*1.95</f>
        <v>3098.9259093506489</v>
      </c>
      <c r="M10" s="16">
        <f>((((M6*0.00314)*0.5)*'Технический лист'!$I$10)+310+(((M7*0.00314)*0.5)*'Технический лист'!$I$11))*1.95</f>
        <v>3333.824334285714</v>
      </c>
      <c r="N10" s="16">
        <f>((((N6*0.00314)*0.5)*'Технический лист'!$I$10)+310+(((N7*0.00314)*0.5)*'Технический лист'!$I$11))*1.95</f>
        <v>3686.1719716883113</v>
      </c>
      <c r="O10" s="16">
        <f>((((O6*0.00314)*0.5)*'Технический лист'!$I$10)+310+(((O7*0.00314)*0.5)*'Технический лист'!$I$11))*1.95</f>
        <v>3803.6211841558438</v>
      </c>
      <c r="P10" s="16">
        <f>((((P6*0.00314)*0.5)*'Технический лист'!$I$10)+310+(((P7*0.00314)*0.5)*'Технический лист'!$I$11))*1.95</f>
        <v>3921.0703966233764</v>
      </c>
      <c r="Q10" s="16">
        <f>((((Q6*0.00314)*0.5)*'Технический лист'!$I$10)+310+(((Q7*0.00314)*0.5)*'Технический лист'!$I$11))*1.95</f>
        <v>4038.5196090909085</v>
      </c>
      <c r="R10" s="16">
        <f>((((R6*0.00314)*0.5)*'Технический лист'!$I$10)+310+(((R7*0.00314)*0.5)*'Технический лист'!$I$11))*1.95</f>
        <v>4155.9688215584411</v>
      </c>
      <c r="S10" s="16">
        <f>((((S6*0.00314)*0.5)*'Технический лист'!$I$10)+310+(((S7*0.00314)*0.5)*'Технический лист'!$I$11))*1.95</f>
        <v>4273.4180340259736</v>
      </c>
    </row>
    <row r="11" spans="1:19">
      <c r="A11" s="4" t="s">
        <v>96</v>
      </c>
      <c r="B11" s="9">
        <f>((B10*2)/3)-6</f>
        <v>1276.9558564502163</v>
      </c>
      <c r="C11" s="9">
        <f t="shared" ref="C11:N11" si="4">((C10*2)/3)-6</f>
        <v>1355.2553314285713</v>
      </c>
      <c r="D11" s="9">
        <f t="shared" si="4"/>
        <v>1394.4050689177486</v>
      </c>
      <c r="E11" s="9">
        <f t="shared" si="4"/>
        <v>1433.5548064069262</v>
      </c>
      <c r="F11" s="9">
        <f t="shared" si="4"/>
        <v>1472.7045438961038</v>
      </c>
      <c r="G11" s="9">
        <f t="shared" si="4"/>
        <v>1511.8542813852816</v>
      </c>
      <c r="H11" s="9">
        <f t="shared" si="4"/>
        <v>1590.1537563636359</v>
      </c>
      <c r="I11" s="9">
        <f t="shared" si="4"/>
        <v>1668.4532313419913</v>
      </c>
      <c r="J11" s="9">
        <f t="shared" si="4"/>
        <v>1746.7527063203461</v>
      </c>
      <c r="K11" s="9">
        <f t="shared" si="4"/>
        <v>1903.3516562770562</v>
      </c>
      <c r="L11" s="9">
        <f t="shared" si="4"/>
        <v>2059.9506062337659</v>
      </c>
      <c r="M11" s="9">
        <f t="shared" si="4"/>
        <v>2216.5495561904759</v>
      </c>
      <c r="N11" s="9">
        <f t="shared" si="4"/>
        <v>2451.447981125541</v>
      </c>
      <c r="O11" s="9">
        <f t="shared" ref="O11:S11" si="5">((O10*2)/3)-6</f>
        <v>2529.7474561038957</v>
      </c>
      <c r="P11" s="9">
        <f t="shared" si="5"/>
        <v>2608.0469310822509</v>
      </c>
      <c r="Q11" s="9">
        <f t="shared" si="5"/>
        <v>2686.3464060606057</v>
      </c>
      <c r="R11" s="9">
        <f t="shared" si="5"/>
        <v>2764.6458810389609</v>
      </c>
      <c r="S11" s="9">
        <f t="shared" si="5"/>
        <v>2842.9453560173156</v>
      </c>
    </row>
    <row r="12" spans="1:19">
      <c r="A12" s="4" t="s">
        <v>6</v>
      </c>
      <c r="B12" s="16">
        <f>((((B6*0.00314)*0.22)*'Технический лист'!$M$10)+100+(((B7*0.00314)*0.21)*'Технический лист'!$O$11)+(((B6+30)*(B6+30)/1000000)*'Технический лист'!$E$20))*1.96</f>
        <v>1030.9405769599998</v>
      </c>
      <c r="C12" s="16">
        <f>((((C6*0.00314)*0.22)*'Технический лист'!$M$10)+100+(((C7*0.00314)*0.21)*'Технический лист'!$O$11)+(((C6+30)*(C6+30)/1000000)*'Технический лист'!$E$20))*1.96</f>
        <v>1112.5943718399999</v>
      </c>
      <c r="D12" s="16">
        <f>((((D6*0.00314)*0.22)*'Технический лист'!$M$10)+100+(((D7*0.00314)*0.21)*'Технический лист'!$O$11)+(((D6+30)*(D6+30)/1000000)*'Технический лист'!$E$20))*1.96</f>
        <v>1154.0092692799999</v>
      </c>
      <c r="E12" s="16">
        <f>((((E6*0.00314)*0.22)*'Технический лист'!$M$10)+100+(((E7*0.00314)*0.21)*'Технический лист'!$O$11)+(((E6+30)*(E6+30)/1000000)*'Технический лист'!$E$20))*1.96</f>
        <v>1195.8161667200002</v>
      </c>
      <c r="F12" s="16">
        <f>((((F6*0.00314)*0.22)*'Технический лист'!$M$10)+100+(((F7*0.00314)*0.21)*'Технический лист'!$O$11)+(((F6+30)*(F6+30)/1000000)*'Технический лист'!$E$20))*1.96</f>
        <v>1238.0150641600001</v>
      </c>
      <c r="G12" s="16">
        <f>((((G6*0.00314)*0.22)*'Технический лист'!$M$10)+100+(((G7*0.00314)*0.21)*'Технический лист'!$O$11)+(((G6+30)*(G6+30)/1000000)*'Технический лист'!$E$20))*1.96</f>
        <v>1280.6059615999998</v>
      </c>
      <c r="H12" s="16">
        <f>((((H6*0.00314)*0.22)*'Технический лист'!$M$10)+100+(((H7*0.00314)*0.21)*'Технический лист'!$O$11)+(((H6+30)*(H6+30)/1000000)*'Технический лист'!$E$20))*1.96</f>
        <v>1366.9637564799998</v>
      </c>
      <c r="I12" s="16">
        <f>((((I6*0.00314)*0.22)*'Технический лист'!$M$10)+100+(((I7*0.00314)*0.21)*'Технический лист'!$O$11)+(((I6+30)*(I6+30)/1000000)*'Технический лист'!$E$20))*1.96</f>
        <v>1454.8895513599998</v>
      </c>
      <c r="J12" s="16">
        <f>((((J6*0.00314)*0.22)*'Технический лист'!$M$10)+100+(((J7*0.00314)*0.21)*'Технический лист'!$O$11)+(((J6+30)*(J6+30)/1000000)*'Технический лист'!$E$20))*1.96</f>
        <v>1544.3833462399998</v>
      </c>
      <c r="K12" s="16">
        <f>((((K6*0.00314)*0.22)*'Технический лист'!$M$10)+100+(((K7*0.00314)*0.21)*'Технический лист'!$O$11)+(((K6+30)*(K6+30)/1000000)*'Технический лист'!$E$20))*1.96</f>
        <v>1728.074936</v>
      </c>
      <c r="L12" s="16">
        <f>((((L6*0.00314)*0.22)*'Технический лист'!$M$10)+100+(((L7*0.00314)*0.21)*'Технический лист'!$O$11)+(((L6+30)*(L6+30)/1000000)*'Технический лист'!$E$20))*1.96</f>
        <v>1918.0385257600001</v>
      </c>
      <c r="M12" s="16">
        <f>((((M6*0.00314)*0.22)*'Технический лист'!$M$10)+100+(((M7*0.00314)*0.21)*'Технический лист'!$O$11)+(((M6+30)*(M6+30)/1000000)*'Технический лист'!$E$20))*1.96</f>
        <v>2114.2741155199997</v>
      </c>
      <c r="N12" s="16">
        <f>((((N6*0.00314)*0.22)*'Технический лист'!$M$10)+100+(((N7*0.00314)*0.21)*'Технический лист'!$O$11)+(((N6+30)*(N6+30)/1000000)*'Технический лист'!$E$20))*1.96</f>
        <v>2420.3875001599999</v>
      </c>
      <c r="O12" s="16">
        <f>((((O6*0.00314)*0.22)*'Технический лист'!$M$10)+100+(((O7*0.00314)*0.21)*'Технический лист'!$O$11)+(((O6+30)*(O6+30)/1000000)*'Технический лист'!$E$20))*1.96</f>
        <v>2525.5612950399995</v>
      </c>
      <c r="P12" s="16">
        <f>((((P6*0.00314)*0.22)*'Технический лист'!$M$10)+100+(((P7*0.00314)*0.21)*'Технический лист'!$O$11)+(((P6+30)*(P6+30)/1000000)*'Технический лист'!$E$20))*1.96</f>
        <v>2632.3030899199998</v>
      </c>
      <c r="Q12" s="16">
        <f>((((Q6*0.00314)*0.22)*'Технический лист'!$M$10)+100+(((Q7*0.00314)*0.21)*'Технический лист'!$O$11)+(((Q6+30)*(Q6+30)/1000000)*'Технический лист'!$E$20))*1.96</f>
        <v>2740.6128847999998</v>
      </c>
      <c r="R12" s="16">
        <f>((((R6*0.00314)*0.22)*'Технический лист'!$M$10)+100+(((R7*0.00314)*0.21)*'Технический лист'!$O$11)+(((R6+30)*(R6+30)/1000000)*'Технический лист'!$E$20))*1.96</f>
        <v>2850.4906796799996</v>
      </c>
      <c r="S12" s="16">
        <f>((((S6*0.00314)*0.22)*'Технический лист'!$M$10)+100+(((S7*0.00314)*0.21)*'Технический лист'!$O$11)+(((S6+30)*(S6+30)/1000000)*'Технический лист'!$E$20))*1.96</f>
        <v>2961.9364745599996</v>
      </c>
    </row>
    <row r="13" spans="1:19">
      <c r="A13" s="4" t="s">
        <v>7</v>
      </c>
      <c r="B13" s="9">
        <f>(B12*2.2)+24</f>
        <v>2292.069269312</v>
      </c>
      <c r="C13" s="9">
        <f t="shared" ref="C13:N13" si="6">(C12*2.2)+24</f>
        <v>2471.7076180479999</v>
      </c>
      <c r="D13" s="9">
        <f t="shared" si="6"/>
        <v>2562.8203924159998</v>
      </c>
      <c r="E13" s="9">
        <f t="shared" si="6"/>
        <v>2654.7955667840006</v>
      </c>
      <c r="F13" s="9">
        <f t="shared" si="6"/>
        <v>2747.6331411520005</v>
      </c>
      <c r="G13" s="9">
        <f t="shared" si="6"/>
        <v>2841.3331155199999</v>
      </c>
      <c r="H13" s="9">
        <f t="shared" si="6"/>
        <v>3031.320264256</v>
      </c>
      <c r="I13" s="9">
        <f t="shared" si="6"/>
        <v>3224.757012992</v>
      </c>
      <c r="J13" s="9">
        <f t="shared" si="6"/>
        <v>3421.6433617279999</v>
      </c>
      <c r="K13" s="9">
        <f t="shared" si="6"/>
        <v>3825.7648592</v>
      </c>
      <c r="L13" s="9">
        <f t="shared" si="6"/>
        <v>4243.6847566720007</v>
      </c>
      <c r="M13" s="9">
        <f t="shared" si="6"/>
        <v>4675.4030541439997</v>
      </c>
      <c r="N13" s="9">
        <f t="shared" si="6"/>
        <v>5348.8525003519999</v>
      </c>
      <c r="O13" s="9">
        <f t="shared" ref="O13:S13" si="7">(O12*2.2)+24</f>
        <v>5580.2348490879995</v>
      </c>
      <c r="P13" s="9">
        <f t="shared" si="7"/>
        <v>5815.0667978239999</v>
      </c>
      <c r="Q13" s="9">
        <f t="shared" si="7"/>
        <v>6053.3483465600002</v>
      </c>
      <c r="R13" s="9">
        <f t="shared" si="7"/>
        <v>6295.0794952959995</v>
      </c>
      <c r="S13" s="9">
        <f t="shared" si="7"/>
        <v>6540.2602440319997</v>
      </c>
    </row>
    <row r="14" spans="1:19">
      <c r="A14" s="4" t="s">
        <v>8</v>
      </c>
      <c r="B14" s="16">
        <f>((((B6*0.00314)*0.2)*'Технический лист'!$M$10)+50+(((B7*0.00314)*0.22)*'Технический лист'!$O$11))*1.96</f>
        <v>769.41660720484856</v>
      </c>
      <c r="C14" s="16">
        <f>((((C6*0.00314)*0.2)*'Технический лист'!$M$10)+50+(((C7*0.00314)*0.22)*'Технический лист'!$O$11))*1.96</f>
        <v>826.33490688000006</v>
      </c>
      <c r="D14" s="16">
        <f>((((D6*0.00314)*0.2)*'Технический лист'!$M$10)+50+(((D7*0.00314)*0.22)*'Технический лист'!$O$11))*1.96</f>
        <v>854.7940567175757</v>
      </c>
      <c r="E14" s="16">
        <f>((((E6*0.00314)*0.2)*'Технический лист'!$M$10)+50+(((E7*0.00314)*0.22)*'Технический лист'!$O$11))*1.96</f>
        <v>883.25320655515145</v>
      </c>
      <c r="F14" s="16">
        <f>((((F6*0.00314)*0.2)*'Технический лист'!$M$10)+50+(((F7*0.00314)*0.22)*'Технический лист'!$O$11))*1.96</f>
        <v>911.71235639272743</v>
      </c>
      <c r="G14" s="16">
        <f>((((G6*0.00314)*0.2)*'Технический лист'!$M$10)+50+(((G7*0.00314)*0.22)*'Технический лист'!$O$11))*1.96</f>
        <v>940.17150623030307</v>
      </c>
      <c r="H14" s="16">
        <f>((((H6*0.00314)*0.2)*'Технический лист'!$M$10)+50+(((H7*0.00314)*0.22)*'Технический лист'!$O$11))*1.96</f>
        <v>997.08980590545445</v>
      </c>
      <c r="I14" s="16">
        <f>((((I6*0.00314)*0.2)*'Технический лист'!$M$10)+50+(((I7*0.00314)*0.22)*'Технический лист'!$O$11))*1.96</f>
        <v>1054.0081055806061</v>
      </c>
      <c r="J14" s="16">
        <f>((((J6*0.00314)*0.2)*'Технический лист'!$M$10)+50+(((J7*0.00314)*0.22)*'Технический лист'!$O$11))*1.96</f>
        <v>1110.9264052557576</v>
      </c>
      <c r="K14" s="16">
        <f>((((K6*0.00314)*0.2)*'Технический лист'!$M$10)+50+(((K7*0.00314)*0.22)*'Технический лист'!$O$11))*1.96</f>
        <v>1224.7630046060608</v>
      </c>
      <c r="L14" s="16">
        <f>((((L6*0.00314)*0.2)*'Технический лист'!$M$10)+50+(((L7*0.00314)*0.22)*'Технический лист'!$O$11))*1.96</f>
        <v>1338.5996039563636</v>
      </c>
      <c r="M14" s="16">
        <f>((((M6*0.00314)*0.2)*'Технический лист'!$M$10)+50+(((M7*0.00314)*0.22)*'Технический лист'!$O$11))*1.96</f>
        <v>1452.4362033066666</v>
      </c>
      <c r="N14" s="16">
        <f>((((N6*0.00314)*0.2)*'Технический лист'!$M$10)+50+(((N7*0.00314)*0.22)*'Технический лист'!$O$11))*1.96</f>
        <v>1623.1911023321213</v>
      </c>
      <c r="O14" s="16">
        <f>((((O6*0.00314)*0.2)*'Технический лист'!$M$10)+50+(((O7*0.00314)*0.22)*'Технический лист'!$O$11))*1.96</f>
        <v>1680.1094020072728</v>
      </c>
      <c r="P14" s="16">
        <f>((((P6*0.00314)*0.2)*'Технический лист'!$M$10)+50+(((P7*0.00314)*0.22)*'Технический лист'!$O$11))*1.96</f>
        <v>1737.0277016824243</v>
      </c>
      <c r="Q14" s="16">
        <f>((((Q6*0.00314)*0.2)*'Технический лист'!$M$10)+50+(((Q7*0.00314)*0.22)*'Технический лист'!$O$11))*1.96</f>
        <v>1793.9460013575756</v>
      </c>
      <c r="R14" s="16">
        <f>((((R6*0.00314)*0.2)*'Технический лист'!$M$10)+50+(((R7*0.00314)*0.22)*'Технический лист'!$O$11))*1.96</f>
        <v>1850.8643010327273</v>
      </c>
      <c r="S14" s="16">
        <f>((((S6*0.00314)*0.2)*'Технический лист'!$M$10)+50+(((S7*0.00314)*0.22)*'Технический лист'!$O$11))*1.96</f>
        <v>1907.7826007078788</v>
      </c>
    </row>
    <row r="15" spans="1:19">
      <c r="A15" s="4" t="s">
        <v>9</v>
      </c>
      <c r="B15" s="9">
        <f>((((B6*0.00314)*((B6+545)/1000))*'Технический лист'!$K$10)+370+((B7*0.00314)*((B7+450)/1000))*'Технический лист'!$K$11)*1.96</f>
        <v>2438.7430508169696</v>
      </c>
      <c r="C15" s="9">
        <f>((((C6*0.00314)*((C6+545)/1000))*'Технический лист'!$K$10)+370+((C7*0.00314)*((C7+450)/1000))*'Технический лист'!$K$11)*1.96</f>
        <v>2621.20367992</v>
      </c>
      <c r="D15" s="9">
        <f>((((D6*0.00314)*((D6+545)/1000))*'Технический лист'!$K$10)+370+((D7*0.00314)*((D7+450)/1000))*'Технический лист'!$K$11)*1.96</f>
        <v>2714.2278462133327</v>
      </c>
      <c r="E15" s="9">
        <f>((((E6*0.00314)*((E6+545)/1000))*'Технический лист'!$K$10)+370+((E7*0.00314)*((E7+450)/1000))*'Технический лист'!$K$11)*1.96</f>
        <v>2808.4479136678788</v>
      </c>
      <c r="F15" s="9">
        <f>((((F6*0.00314)*((F6+545)/1000))*'Технический лист'!$K$10)+370+((F7*0.00314)*((F7+450)/1000))*'Технический лист'!$K$11)*1.96</f>
        <v>2903.863882283636</v>
      </c>
      <c r="G15" s="9">
        <f>((((G6*0.00314)*((G6+545)/1000))*'Технический лист'!$K$10)+370+((G7*0.00314)*((G7+450)/1000))*'Технический лист'!$K$11)*1.96</f>
        <v>3000.4757520606058</v>
      </c>
      <c r="H15" s="9">
        <f>((((H6*0.00314)*((H6+545)/1000))*'Технический лист'!$K$10)+370+((H7*0.00314)*((H7+450)/1000))*'Технический лист'!$K$11)*1.96</f>
        <v>3197.2871950981817</v>
      </c>
      <c r="I15" s="9">
        <f>((((I6*0.00314)*((I6+545)/1000))*'Технический лист'!$K$10)+370+((I7*0.00314)*((I7+450)/1000))*'Технический лист'!$K$11)*1.96</f>
        <v>3398.8822427806053</v>
      </c>
      <c r="J15" s="9">
        <f>((((J6*0.00314)*((J6+545)/1000))*'Технический лист'!$K$10)+370+((J7*0.00314)*((J7+450)/1000))*'Технический лист'!$K$11)*1.96</f>
        <v>3605.2608951078778</v>
      </c>
      <c r="K15" s="9">
        <f>((((K6*0.00314)*((K6+545)/1000))*'Технический лист'!$K$10)+370+((K7*0.00314)*((K7+450)/1000))*'Технический лист'!$K$11)*1.96</f>
        <v>4032.3690136969703</v>
      </c>
      <c r="L15" s="9">
        <f>((((L6*0.00314)*((L6+545)/1000))*'Технический лист'!$K$10)+370+((L7*0.00314)*((L7+450)/1000))*'Технический лист'!$K$11)*1.96</f>
        <v>4478.6115508654548</v>
      </c>
      <c r="M15" s="9">
        <f>((((M6*0.00314)*((M6+545)/1000))*'Технический лист'!$K$10)+370+((M7*0.00314)*((M7+450)/1000))*'Технический лист'!$K$11)*1.96</f>
        <v>4943.988506613332</v>
      </c>
      <c r="N15" s="9">
        <f>((((N6*0.00314)*((N6+545)/1000))*'Технический лист'!$K$10)+370+((N7*0.00314)*((N7+450)/1000))*'Технический лист'!$K$11)*1.96</f>
        <v>5677.9309750715147</v>
      </c>
      <c r="O15" s="9">
        <f>((((O6*0.00314)*((O6+545)/1000))*'Технический лист'!$K$10)+370+((O7*0.00314)*((O7+450)/1000))*'Технический лист'!$K$11)*1.96</f>
        <v>5932.1456738472725</v>
      </c>
      <c r="P15" s="9">
        <f>((((P6*0.00314)*((P6+545)/1000))*'Технический лист'!$K$10)+370+((P7*0.00314)*((P7+450)/1000))*'Технический лист'!$K$11)*1.96</f>
        <v>6191.1439772678787</v>
      </c>
      <c r="Q15" s="9">
        <f>((((Q6*0.00314)*((Q6+545)/1000))*'Технический лист'!$K$10)+370+((Q7*0.00314)*((Q7+450)/1000))*'Технический лист'!$K$11)*1.96</f>
        <v>6454.9258853333331</v>
      </c>
      <c r="R15" s="9">
        <f>((((R6*0.00314)*((R6+545)/1000))*'Технический лист'!$K$10)+370+((R7*0.00314)*((R7+450)/1000))*'Технический лист'!$K$11)*1.96</f>
        <v>6723.4913980436359</v>
      </c>
      <c r="S15" s="9">
        <f>((((S6*0.00314)*((S6+545)/1000))*'Технический лист'!$K$10)+370+((S7*0.00314)*((S7+450)/1000))*'Технический лист'!$K$11)*1.96</f>
        <v>6996.8405153987869</v>
      </c>
    </row>
    <row r="16" spans="1:19" ht="0.75" hidden="1" customHeight="1">
      <c r="A16" s="4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>
      <c r="A17" s="4" t="s">
        <v>118</v>
      </c>
      <c r="B17" s="16">
        <v>1800</v>
      </c>
      <c r="C17" s="16">
        <v>1800</v>
      </c>
      <c r="D17" s="16">
        <v>1800</v>
      </c>
      <c r="E17" s="16">
        <v>1800</v>
      </c>
      <c r="F17" s="16">
        <v>1800</v>
      </c>
      <c r="G17" s="16">
        <v>1800</v>
      </c>
      <c r="H17" s="16">
        <v>1800</v>
      </c>
      <c r="I17" s="16">
        <v>1800</v>
      </c>
      <c r="J17" s="16">
        <v>1800</v>
      </c>
      <c r="K17" s="16">
        <v>1800</v>
      </c>
      <c r="L17" s="16">
        <v>1800</v>
      </c>
      <c r="M17" s="16">
        <v>1800</v>
      </c>
      <c r="N17" s="16">
        <v>1800</v>
      </c>
      <c r="O17" s="16">
        <v>1800</v>
      </c>
      <c r="P17" s="16">
        <v>1800</v>
      </c>
      <c r="Q17" s="16">
        <v>1800</v>
      </c>
      <c r="R17" s="16">
        <v>1800</v>
      </c>
      <c r="S17" s="16">
        <v>1800</v>
      </c>
    </row>
    <row r="19" spans="1:19">
      <c r="A19" s="41" t="s">
        <v>54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19">
      <c r="A20" s="3" t="s">
        <v>0</v>
      </c>
      <c r="B20" s="10">
        <v>100</v>
      </c>
      <c r="C20" s="10">
        <v>110</v>
      </c>
      <c r="D20" s="10">
        <v>115</v>
      </c>
      <c r="E20" s="10">
        <v>120</v>
      </c>
      <c r="F20" s="10">
        <v>125</v>
      </c>
      <c r="G20" s="10">
        <v>130</v>
      </c>
      <c r="H20" s="10">
        <v>140</v>
      </c>
      <c r="I20" s="10">
        <v>150</v>
      </c>
      <c r="J20" s="10">
        <v>160</v>
      </c>
      <c r="K20" s="10">
        <v>180</v>
      </c>
      <c r="L20" s="10">
        <v>200</v>
      </c>
      <c r="M20" s="10">
        <v>220</v>
      </c>
      <c r="N20" s="10">
        <v>250</v>
      </c>
      <c r="O20" s="10">
        <v>260</v>
      </c>
      <c r="P20" s="10">
        <v>270</v>
      </c>
      <c r="Q20" s="10">
        <v>280</v>
      </c>
      <c r="R20" s="10">
        <v>290</v>
      </c>
      <c r="S20" s="10">
        <v>300</v>
      </c>
    </row>
    <row r="21" spans="1:19">
      <c r="A21" s="3" t="s">
        <v>1</v>
      </c>
      <c r="B21" s="10">
        <f>B20+70</f>
        <v>170</v>
      </c>
      <c r="C21" s="10">
        <f t="shared" ref="C21:N21" si="8">C20+70</f>
        <v>180</v>
      </c>
      <c r="D21" s="10">
        <f t="shared" si="8"/>
        <v>185</v>
      </c>
      <c r="E21" s="10">
        <f t="shared" si="8"/>
        <v>190</v>
      </c>
      <c r="F21" s="10">
        <f t="shared" si="8"/>
        <v>195</v>
      </c>
      <c r="G21" s="10">
        <f t="shared" si="8"/>
        <v>200</v>
      </c>
      <c r="H21" s="10">
        <f t="shared" si="8"/>
        <v>210</v>
      </c>
      <c r="I21" s="10">
        <f t="shared" si="8"/>
        <v>220</v>
      </c>
      <c r="J21" s="10">
        <f t="shared" si="8"/>
        <v>230</v>
      </c>
      <c r="K21" s="10">
        <f t="shared" si="8"/>
        <v>250</v>
      </c>
      <c r="L21" s="10">
        <f t="shared" si="8"/>
        <v>270</v>
      </c>
      <c r="M21" s="10">
        <f t="shared" si="8"/>
        <v>290</v>
      </c>
      <c r="N21" s="10">
        <f t="shared" si="8"/>
        <v>320</v>
      </c>
      <c r="O21" s="10">
        <f t="shared" ref="O21:S21" si="9">O20+70</f>
        <v>330</v>
      </c>
      <c r="P21" s="10">
        <f t="shared" si="9"/>
        <v>340</v>
      </c>
      <c r="Q21" s="10">
        <f t="shared" si="9"/>
        <v>350</v>
      </c>
      <c r="R21" s="10">
        <f t="shared" si="9"/>
        <v>360</v>
      </c>
      <c r="S21" s="10">
        <f t="shared" si="9"/>
        <v>370</v>
      </c>
    </row>
    <row r="22" spans="1:19">
      <c r="A22" s="4" t="s">
        <v>4</v>
      </c>
      <c r="B22" s="16">
        <f>(((B20*0.00314)*'Технический лист'!$G$10)+310+((B21*0.00314)*'Технический лист'!$G$5))*1.95</f>
        <v>3187.7094093506494</v>
      </c>
      <c r="C22" s="16">
        <f>(((C20*0.00314)*'Технический лист'!$G$10)+310+((C21*0.00314)*'Технический лист'!$G$5))*1.95</f>
        <v>3397.3402542857143</v>
      </c>
      <c r="D22" s="16">
        <f>(((D20*0.00314)*'Технический лист'!$G$10)+310+((D21*0.00314)*'Технический лист'!$G$5))*1.95</f>
        <v>3502.1556767532461</v>
      </c>
      <c r="E22" s="16">
        <f>(((E20*0.00314)*'Технический лист'!$G$10)+310+((E21*0.00314)*'Технический лист'!$G$5))*1.95</f>
        <v>3606.9710992207793</v>
      </c>
      <c r="F22" s="16">
        <f>(((F20*0.00314)*'Технический лист'!$G$10)+310+((F21*0.00314)*'Технический лист'!$G$5))*1.95</f>
        <v>3711.7865216883115</v>
      </c>
      <c r="G22" s="16">
        <f>(((G20*0.00314)*'Технический лист'!$G$10)+310+((G21*0.00314)*'Технический лист'!$G$5))*1.95</f>
        <v>3816.6019441558433</v>
      </c>
      <c r="H22" s="16">
        <f>(((H20*0.00314)*'Технический лист'!$G$10)+310+((H21*0.00314)*'Технический лист'!$G$5))*1.95</f>
        <v>4026.2327890909087</v>
      </c>
      <c r="I22" s="16">
        <f>(((I20*0.00314)*'Технический лист'!$G$10)+310+((I21*0.00314)*'Технический лист'!$G$5))*1.95</f>
        <v>4235.8636340259736</v>
      </c>
      <c r="J22" s="16">
        <f>(((J20*0.00314)*'Технический лист'!$G$10)+310+((J21*0.00314)*'Технический лист'!$G$5))*1.95</f>
        <v>4445.4944789610381</v>
      </c>
      <c r="K22" s="16">
        <f>(((K20*0.00314)*'Технический лист'!$G$10)+310+((K21*0.00314)*'Технический лист'!$G$5))*1.95</f>
        <v>4864.756168831168</v>
      </c>
      <c r="L22" s="16">
        <f>(((L20*0.00314)*'Технический лист'!$G$10)+310+((L21*0.00314)*'Технический лист'!$G$5))*1.95</f>
        <v>5284.0178587012988</v>
      </c>
      <c r="M22" s="16">
        <f>(((M20*0.00314)*'Технический лист'!$G$10)+310+((M21*0.00314)*'Технический лист'!$G$5))*1.95</f>
        <v>5703.2795485714278</v>
      </c>
      <c r="N22" s="16">
        <f>(((N20*0.00314)*'Технический лист'!$G$10)+310+((N21*0.00314)*'Технический лист'!$G$5))*1.95</f>
        <v>6332.1720833766221</v>
      </c>
      <c r="O22" s="16">
        <f>(((O20*0.00314)*'Технический лист'!$G$10)+310+((O21*0.00314)*'Технический лист'!$G$5))*1.95</f>
        <v>6541.8029283116875</v>
      </c>
      <c r="P22" s="16">
        <f>(((P20*0.00314)*'Технический лист'!$G$10)+310+((P21*0.00314)*'Технический лист'!$G$5))*1.95</f>
        <v>6751.433773246752</v>
      </c>
      <c r="Q22" s="16">
        <f>(((Q20*0.00314)*'Технический лист'!$G$10)+310+((Q21*0.00314)*'Технический лист'!$G$5))*1.95</f>
        <v>6961.0646181818174</v>
      </c>
      <c r="R22" s="16">
        <f>(((R20*0.00314)*'Технический лист'!$G$10)+310+((R21*0.00314)*'Технический лист'!$G$5))*1.95</f>
        <v>7170.6954631168819</v>
      </c>
      <c r="S22" s="16">
        <f>(((S20*0.00314)*'Технический лист'!$G$10)+310+((S21*0.00314)*'Технический лист'!$G$5))*1.95</f>
        <v>7380.3263080519473</v>
      </c>
    </row>
    <row r="23" spans="1:19">
      <c r="A23" s="4" t="s">
        <v>3</v>
      </c>
      <c r="B23" s="9">
        <f>((B22/2)*1.07)-10</f>
        <v>1695.4245340025975</v>
      </c>
      <c r="C23" s="9">
        <f t="shared" ref="C23:N23" si="10">((C22/2)*1.07)-10</f>
        <v>1807.5770360428573</v>
      </c>
      <c r="D23" s="9">
        <f t="shared" si="10"/>
        <v>1863.6532870629867</v>
      </c>
      <c r="E23" s="9">
        <f t="shared" si="10"/>
        <v>1919.7295380831169</v>
      </c>
      <c r="F23" s="9">
        <f t="shared" si="10"/>
        <v>1975.8057891032468</v>
      </c>
      <c r="G23" s="9">
        <f t="shared" si="10"/>
        <v>2031.8820401233763</v>
      </c>
      <c r="H23" s="9">
        <f t="shared" si="10"/>
        <v>2144.0345421636362</v>
      </c>
      <c r="I23" s="9">
        <f t="shared" si="10"/>
        <v>2256.1870442038962</v>
      </c>
      <c r="J23" s="9">
        <f t="shared" si="10"/>
        <v>2368.3395462441554</v>
      </c>
      <c r="K23" s="9">
        <f t="shared" si="10"/>
        <v>2592.644550324675</v>
      </c>
      <c r="L23" s="9">
        <f t="shared" si="10"/>
        <v>2816.9495544051952</v>
      </c>
      <c r="M23" s="9">
        <f t="shared" si="10"/>
        <v>3041.2545584857139</v>
      </c>
      <c r="N23" s="9">
        <f t="shared" si="10"/>
        <v>3377.7120646064932</v>
      </c>
      <c r="O23" s="9">
        <f t="shared" ref="O23:S23" si="11">((O22/2)*1.07)-10</f>
        <v>3489.8645666467532</v>
      </c>
      <c r="P23" s="9">
        <f t="shared" si="11"/>
        <v>3602.0170686870124</v>
      </c>
      <c r="Q23" s="9">
        <f t="shared" si="11"/>
        <v>3714.1695707272725</v>
      </c>
      <c r="R23" s="9">
        <f t="shared" si="11"/>
        <v>3826.3220727675321</v>
      </c>
      <c r="S23" s="9">
        <f t="shared" si="11"/>
        <v>3938.4745748077921</v>
      </c>
    </row>
    <row r="24" spans="1:19">
      <c r="A24" s="4" t="s">
        <v>5</v>
      </c>
      <c r="B24" s="16">
        <f>((((B20*0.00314)*0.5)*'Технический лист'!$I$10)+310+(((B21*0.00314)*0.5)*'Технический лист'!$I$5))*1.95</f>
        <v>2500.7509546753249</v>
      </c>
      <c r="C24" s="16">
        <f>((((C20*0.00314)*0.5)*'Технический лист'!$I$10)+310+(((C21*0.00314)*0.5)*'Технический лист'!$I$5))*1.95</f>
        <v>2652.1011771428571</v>
      </c>
      <c r="D24" s="16">
        <f>((((D20*0.00314)*0.5)*'Технический лист'!$I$10)+310+(((D21*0.00314)*0.5)*'Технический лист'!$I$5))*1.95</f>
        <v>2727.7762883766231</v>
      </c>
      <c r="E24" s="16">
        <f>((((E20*0.00314)*0.5)*'Технический лист'!$I$10)+310+(((E21*0.00314)*0.5)*'Технический лист'!$I$5))*1.95</f>
        <v>2803.4513996103897</v>
      </c>
      <c r="F24" s="16">
        <f>((((F20*0.00314)*0.5)*'Технический лист'!$I$10)+310+(((F21*0.00314)*0.5)*'Технический лист'!$I$5))*1.95</f>
        <v>2879.1265108441557</v>
      </c>
      <c r="G24" s="16">
        <f>((((G20*0.00314)*0.5)*'Технический лист'!$I$10)+310+(((G21*0.00314)*0.5)*'Технический лист'!$I$5))*1.95</f>
        <v>2954.8016220779218</v>
      </c>
      <c r="H24" s="16">
        <f>((((H20*0.00314)*0.5)*'Технический лист'!$I$10)+310+(((H21*0.00314)*0.5)*'Технический лист'!$I$5))*1.95</f>
        <v>3106.1518445454544</v>
      </c>
      <c r="I24" s="16">
        <f>((((I20*0.00314)*0.5)*'Технический лист'!$I$10)+310+(((I21*0.00314)*0.5)*'Технический лист'!$I$5))*1.95</f>
        <v>3257.502067012987</v>
      </c>
      <c r="J24" s="16">
        <f>((((J20*0.00314)*0.5)*'Технический лист'!$I$10)+310+(((J21*0.00314)*0.5)*'Технический лист'!$I$5))*1.95</f>
        <v>3408.8522894805187</v>
      </c>
      <c r="K24" s="16">
        <f>((((K20*0.00314)*0.5)*'Технический лист'!$I$10)+310+(((K21*0.00314)*0.5)*'Технический лист'!$I$5))*1.95</f>
        <v>3711.5527344155848</v>
      </c>
      <c r="L24" s="16">
        <f>((((L20*0.00314)*0.5)*'Технический лист'!$I$10)+310+(((L21*0.00314)*0.5)*'Технический лист'!$I$5))*1.95</f>
        <v>4014.2531793506491</v>
      </c>
      <c r="M24" s="16">
        <f>((((M20*0.00314)*0.5)*'Технический лист'!$I$10)+310+(((M21*0.00314)*0.5)*'Технический лист'!$I$5))*1.95</f>
        <v>4316.9536242857139</v>
      </c>
      <c r="N24" s="16">
        <f>((((N20*0.00314)*0.5)*'Технический лист'!$I$10)+310+(((N21*0.00314)*0.5)*'Технический лист'!$I$5))*1.95</f>
        <v>4771.0042916883122</v>
      </c>
      <c r="O24" s="16">
        <f>((((O20*0.00314)*0.5)*'Технический лист'!$I$10)+310+(((O21*0.00314)*0.5)*'Технический лист'!$I$5))*1.95</f>
        <v>4922.3545141558443</v>
      </c>
      <c r="P24" s="16">
        <f>((((P20*0.00314)*0.5)*'Технический лист'!$I$10)+310+(((P21*0.00314)*0.5)*'Технический лист'!$I$5))*1.95</f>
        <v>5073.7047366233764</v>
      </c>
      <c r="Q24" s="16">
        <f>((((Q20*0.00314)*0.5)*'Технический лист'!$I$10)+310+(((Q21*0.00314)*0.5)*'Технический лист'!$I$5))*1.95</f>
        <v>5225.0549590909086</v>
      </c>
      <c r="R24" s="16">
        <f>((((R20*0.00314)*0.5)*'Технический лист'!$I$10)+310+(((R21*0.00314)*0.5)*'Технический лист'!$I$5))*1.95</f>
        <v>5376.4051815584407</v>
      </c>
      <c r="S24" s="16">
        <f>((((S20*0.00314)*0.5)*'Технический лист'!$I$10)+310+(((S21*0.00314)*0.5)*'Технический лист'!$I$5))*1.95</f>
        <v>5527.7554040259738</v>
      </c>
    </row>
    <row r="25" spans="1:19">
      <c r="A25" s="4" t="s">
        <v>96</v>
      </c>
      <c r="B25" s="9">
        <f>((B24*2)/3)-6</f>
        <v>1661.1673031168832</v>
      </c>
      <c r="C25" s="9">
        <f t="shared" ref="C25:N25" si="12">((C24*2)/3)-6</f>
        <v>1762.0674514285713</v>
      </c>
      <c r="D25" s="9">
        <f t="shared" si="12"/>
        <v>1812.5175255844154</v>
      </c>
      <c r="E25" s="9">
        <f t="shared" si="12"/>
        <v>1862.9675997402599</v>
      </c>
      <c r="F25" s="9">
        <f t="shared" si="12"/>
        <v>1913.4176738961039</v>
      </c>
      <c r="G25" s="9">
        <f t="shared" si="12"/>
        <v>1963.867748051948</v>
      </c>
      <c r="H25" s="9">
        <f t="shared" si="12"/>
        <v>2064.7678963636363</v>
      </c>
      <c r="I25" s="9">
        <f t="shared" si="12"/>
        <v>2165.6680446753248</v>
      </c>
      <c r="J25" s="9">
        <f t="shared" si="12"/>
        <v>2266.5681929870125</v>
      </c>
      <c r="K25" s="9">
        <f t="shared" si="12"/>
        <v>2468.36848961039</v>
      </c>
      <c r="L25" s="9">
        <f t="shared" si="12"/>
        <v>2670.1687862337662</v>
      </c>
      <c r="M25" s="9">
        <f t="shared" si="12"/>
        <v>2871.9690828571424</v>
      </c>
      <c r="N25" s="9">
        <f t="shared" si="12"/>
        <v>3174.6695277922081</v>
      </c>
      <c r="O25" s="9">
        <f t="shared" ref="O25:S25" si="13">((O24*2)/3)-6</f>
        <v>3275.5696761038962</v>
      </c>
      <c r="P25" s="9">
        <f t="shared" si="13"/>
        <v>3376.4698244155843</v>
      </c>
      <c r="Q25" s="9">
        <f t="shared" si="13"/>
        <v>3477.3699727272724</v>
      </c>
      <c r="R25" s="9">
        <f t="shared" si="13"/>
        <v>3578.2701210389605</v>
      </c>
      <c r="S25" s="9">
        <f t="shared" si="13"/>
        <v>3679.1702693506491</v>
      </c>
    </row>
    <row r="26" spans="1:19">
      <c r="A26" s="4" t="s">
        <v>6</v>
      </c>
      <c r="B26" s="16">
        <f>((((B20*0.00314)*0.22)*'Технический лист'!$M$10)+100+(((B21*0.00314)*0.21)*'Технический лист'!$O$5)+(((B20+30)*(B20+30)/1000000)*'Технический лист'!$E$20))*1.96</f>
        <v>1236.88403328</v>
      </c>
      <c r="C26" s="16">
        <f>((((C20*0.00314)*0.22)*'Технический лист'!$M$10)+100+(((C21*0.00314)*0.21)*'Технический лист'!$O$5)+(((C20+30)*(C20+30)/1000000)*'Технический лист'!$E$20))*1.96</f>
        <v>1330.6521491199999</v>
      </c>
      <c r="D26" s="16">
        <f>((((D20*0.00314)*0.22)*'Технический лист'!$M$10)+100+(((D21*0.00314)*0.21)*'Технический лист'!$O$5)+(((D20+30)*(D20+30)/1000000)*'Технический лист'!$E$20))*1.96</f>
        <v>1378.1242070399999</v>
      </c>
      <c r="E26" s="16">
        <f>((((E20*0.00314)*0.22)*'Технический лист'!$M$10)+100+(((E21*0.00314)*0.21)*'Технический лист'!$O$5)+(((E20+30)*(E20+30)/1000000)*'Технический лист'!$E$20))*1.96</f>
        <v>1425.9882649599999</v>
      </c>
      <c r="F26" s="16">
        <f>((((F20*0.00314)*0.22)*'Технический лист'!$M$10)+100+(((F21*0.00314)*0.21)*'Технический лист'!$O$5)+(((F20+30)*(F20+30)/1000000)*'Технический лист'!$E$20))*1.96</f>
        <v>1474.24432288</v>
      </c>
      <c r="G26" s="16">
        <f>((((G20*0.00314)*0.22)*'Технический лист'!$M$10)+100+(((G21*0.00314)*0.21)*'Технический лист'!$O$5)+(((G20+30)*(G20+30)/1000000)*'Технический лист'!$E$20))*1.96</f>
        <v>1522.8923807999997</v>
      </c>
      <c r="H26" s="16">
        <f>((((H20*0.00314)*0.22)*'Технический лист'!$M$10)+100+(((H21*0.00314)*0.21)*'Технический лист'!$O$5)+(((H20+30)*(H20+30)/1000000)*'Технический лист'!$E$20))*1.96</f>
        <v>1621.36449664</v>
      </c>
      <c r="I26" s="16">
        <f>((((I20*0.00314)*0.22)*'Технический лист'!$M$10)+100+(((I21*0.00314)*0.21)*'Технический лист'!$O$5)+(((I20+30)*(I20+30)/1000000)*'Технический лист'!$E$20))*1.96</f>
        <v>1721.40461248</v>
      </c>
      <c r="J26" s="16">
        <f>((((J20*0.00314)*0.22)*'Технический лист'!$M$10)+100+(((J21*0.00314)*0.21)*'Технический лист'!$O$5)+(((J20+30)*(J20+30)/1000000)*'Технический лист'!$E$20))*1.96</f>
        <v>1823.0127283199995</v>
      </c>
      <c r="K26" s="16">
        <f>((((K20*0.00314)*0.22)*'Технический лист'!$M$10)+100+(((K21*0.00314)*0.21)*'Технический лист'!$O$5)+(((K20+30)*(K20+30)/1000000)*'Технический лист'!$E$20))*1.96</f>
        <v>2030.9329600000003</v>
      </c>
      <c r="L26" s="16">
        <f>((((L20*0.00314)*0.22)*'Технический лист'!$M$10)+100+(((L21*0.00314)*0.21)*'Технический лист'!$O$5)+(((L20+30)*(L20+30)/1000000)*'Технический лист'!$E$20))*1.96</f>
        <v>2245.1251916799997</v>
      </c>
      <c r="M26" s="16">
        <f>((((M20*0.00314)*0.22)*'Технический лист'!$M$10)+100+(((M21*0.00314)*0.21)*'Технический лист'!$O$5)+(((M20+30)*(M20+30)/1000000)*'Технический лист'!$E$20))*1.96</f>
        <v>2465.5894233599997</v>
      </c>
      <c r="N26" s="16">
        <f>((((N20*0.00314)*0.22)*'Технический лист'!$M$10)+100+(((N21*0.00314)*0.21)*'Технический лист'!$O$5)+(((N20+30)*(N20+30)/1000000)*'Технический лист'!$E$20))*1.96</f>
        <v>2808.0457708799995</v>
      </c>
      <c r="O26" s="16">
        <f>((((O20*0.00314)*0.22)*'Технический лист'!$M$10)+100+(((O21*0.00314)*0.21)*'Технический лист'!$O$5)+(((O20+30)*(O20+30)/1000000)*'Технический лист'!$E$20))*1.96</f>
        <v>2925.3338867199996</v>
      </c>
      <c r="P26" s="16">
        <f>((((P20*0.00314)*0.22)*'Технический лист'!$M$10)+100+(((P21*0.00314)*0.21)*'Технический лист'!$O$5)+(((P20+30)*(P20+30)/1000000)*'Технический лист'!$E$20))*1.96</f>
        <v>3044.1900025600003</v>
      </c>
      <c r="Q26" s="16">
        <f>((((Q20*0.00314)*0.22)*'Технический лист'!$M$10)+100+(((Q21*0.00314)*0.21)*'Технический лист'!$O$5)+(((Q20+30)*(Q20+30)/1000000)*'Технический лист'!$E$20))*1.96</f>
        <v>3164.6141184000003</v>
      </c>
      <c r="R26" s="16">
        <f>((((R20*0.00314)*0.22)*'Технический лист'!$M$10)+100+(((R21*0.00314)*0.21)*'Технический лист'!$O$5)+(((R20+30)*(R20+30)/1000000)*'Технический лист'!$E$20))*1.96</f>
        <v>3286.6062342399996</v>
      </c>
      <c r="S26" s="16">
        <f>((((S20*0.00314)*0.22)*'Технический лист'!$M$10)+100+(((S21*0.00314)*0.21)*'Технический лист'!$O$5)+(((S20+30)*(S20+30)/1000000)*'Технический лист'!$E$20))*1.96</f>
        <v>3410.1663500799991</v>
      </c>
    </row>
    <row r="27" spans="1:19">
      <c r="A27" s="4" t="s">
        <v>7</v>
      </c>
      <c r="B27" s="9">
        <f>(B26*2.2)+24</f>
        <v>2745.1448732160002</v>
      </c>
      <c r="C27" s="9">
        <f t="shared" ref="C27:N27" si="14">(C26*2.2)+24</f>
        <v>2951.434728064</v>
      </c>
      <c r="D27" s="9">
        <f t="shared" si="14"/>
        <v>3055.8732554879998</v>
      </c>
      <c r="E27" s="9">
        <f t="shared" si="14"/>
        <v>3161.1741829120001</v>
      </c>
      <c r="F27" s="9">
        <f t="shared" si="14"/>
        <v>3267.3375103360004</v>
      </c>
      <c r="G27" s="9">
        <f t="shared" si="14"/>
        <v>3374.3632377599997</v>
      </c>
      <c r="H27" s="9">
        <f t="shared" si="14"/>
        <v>3591.0018926080002</v>
      </c>
      <c r="I27" s="9">
        <f t="shared" si="14"/>
        <v>3811.0901474560001</v>
      </c>
      <c r="J27" s="9">
        <f t="shared" si="14"/>
        <v>4034.6280023039994</v>
      </c>
      <c r="K27" s="9">
        <f t="shared" si="14"/>
        <v>4492.0525120000011</v>
      </c>
      <c r="L27" s="9">
        <f t="shared" si="14"/>
        <v>4963.2754216960002</v>
      </c>
      <c r="M27" s="9">
        <f t="shared" si="14"/>
        <v>5448.2967313919999</v>
      </c>
      <c r="N27" s="9">
        <f t="shared" si="14"/>
        <v>6201.7006959359996</v>
      </c>
      <c r="O27" s="9">
        <f t="shared" ref="O27:S27" si="15">(O26*2.2)+24</f>
        <v>6459.7345507839991</v>
      </c>
      <c r="P27" s="9">
        <f t="shared" si="15"/>
        <v>6721.2180056320012</v>
      </c>
      <c r="Q27" s="9">
        <f t="shared" si="15"/>
        <v>6986.1510604800014</v>
      </c>
      <c r="R27" s="9">
        <f t="shared" si="15"/>
        <v>7254.5337153279997</v>
      </c>
      <c r="S27" s="9">
        <f t="shared" si="15"/>
        <v>7526.3659701759989</v>
      </c>
    </row>
    <row r="28" spans="1:19">
      <c r="A28" s="4" t="s">
        <v>8</v>
      </c>
      <c r="B28" s="16">
        <f>((((B20*0.00314)*0.2)*'Технический лист'!$M$10)+50+(((B21*0.00314)*0.22)*'Технический лист'!$O$5))*1.96</f>
        <v>985.16689477818193</v>
      </c>
      <c r="C28" s="16">
        <f>((((C20*0.00314)*0.2)*'Технический лист'!$M$10)+50+(((C21*0.00314)*0.22)*'Технический лист'!$O$5))*1.96</f>
        <v>1054.7763878400001</v>
      </c>
      <c r="D28" s="16">
        <f>((((D20*0.00314)*0.2)*'Технический лист'!$M$10)+50+(((D21*0.00314)*0.22)*'Технический лист'!$O$5))*1.96</f>
        <v>1089.581134370909</v>
      </c>
      <c r="E28" s="16">
        <f>((((E20*0.00314)*0.2)*'Технический лист'!$M$10)+50+(((E21*0.00314)*0.22)*'Технический лист'!$O$5))*1.96</f>
        <v>1124.3858809018182</v>
      </c>
      <c r="F28" s="16">
        <f>((((F20*0.00314)*0.2)*'Технический лист'!$M$10)+50+(((F21*0.00314)*0.22)*'Технический лист'!$O$5))*1.96</f>
        <v>1159.1906274327273</v>
      </c>
      <c r="G28" s="16">
        <f>((((G20*0.00314)*0.2)*'Технический лист'!$M$10)+50+(((G21*0.00314)*0.22)*'Технический лист'!$O$5))*1.96</f>
        <v>1193.9953739636362</v>
      </c>
      <c r="H28" s="16">
        <f>((((H20*0.00314)*0.2)*'Технический лист'!$M$10)+50+(((H21*0.00314)*0.22)*'Технический лист'!$O$5))*1.96</f>
        <v>1263.6048670254545</v>
      </c>
      <c r="I28" s="16">
        <f>((((I20*0.00314)*0.2)*'Технический лист'!$M$10)+50+(((I21*0.00314)*0.22)*'Технический лист'!$O$5))*1.96</f>
        <v>1333.2143600872726</v>
      </c>
      <c r="J28" s="16">
        <f>((((J20*0.00314)*0.2)*'Технический лист'!$M$10)+50+(((J21*0.00314)*0.22)*'Технический лист'!$O$5))*1.96</f>
        <v>1402.8238531490908</v>
      </c>
      <c r="K28" s="16">
        <f>((((K20*0.00314)*0.2)*'Технический лист'!$M$10)+50+(((K21*0.00314)*0.22)*'Технический лист'!$O$5))*1.96</f>
        <v>1542.0428392727272</v>
      </c>
      <c r="L28" s="16">
        <f>((((L20*0.00314)*0.2)*'Технический лист'!$M$10)+50+(((L21*0.00314)*0.22)*'Технический лист'!$O$5))*1.96</f>
        <v>1681.2618253963637</v>
      </c>
      <c r="M28" s="16">
        <f>((((M20*0.00314)*0.2)*'Технический лист'!$M$10)+50+(((M21*0.00314)*0.22)*'Технический лист'!$O$5))*1.96</f>
        <v>1820.4808115199996</v>
      </c>
      <c r="N28" s="16">
        <f>((((N20*0.00314)*0.2)*'Технический лист'!$M$10)+50+(((N21*0.00314)*0.22)*'Технический лист'!$O$5))*1.96</f>
        <v>2029.3092907054547</v>
      </c>
      <c r="O28" s="16">
        <f>((((O20*0.00314)*0.2)*'Технический лист'!$M$10)+50+(((O21*0.00314)*0.22)*'Технический лист'!$O$5))*1.96</f>
        <v>2098.9187837672725</v>
      </c>
      <c r="P28" s="16">
        <f>((((P20*0.00314)*0.2)*'Технический лист'!$M$10)+50+(((P21*0.00314)*0.22)*'Технический лист'!$O$5))*1.96</f>
        <v>2168.5282768290913</v>
      </c>
      <c r="Q28" s="16">
        <f>((((Q20*0.00314)*0.2)*'Технический лист'!$M$10)+50+(((Q21*0.00314)*0.22)*'Технический лист'!$O$5))*1.96</f>
        <v>2238.1377698909091</v>
      </c>
      <c r="R28" s="16">
        <f>((((R20*0.00314)*0.2)*'Технический лист'!$M$10)+50+(((R21*0.00314)*0.22)*'Технический лист'!$O$5))*1.96</f>
        <v>2307.7472629527274</v>
      </c>
      <c r="S28" s="16">
        <f>((((S20*0.00314)*0.2)*'Технический лист'!$M$10)+50+(((S21*0.00314)*0.22)*'Технический лист'!$O$5))*1.96</f>
        <v>2377.3567560145452</v>
      </c>
    </row>
    <row r="29" spans="1:19">
      <c r="A29" s="4" t="s">
        <v>9</v>
      </c>
      <c r="B29" s="9">
        <f>((((B20*0.00314)*((B20+545)/1000))*'Технический лист'!$K$10)+370+((B21*0.00314)*((B21+450)/1000))*'Технический лист'!$K$5)*1.96</f>
        <v>3273.8024045236366</v>
      </c>
      <c r="C29" s="9">
        <f>((((C20*0.00314)*((C20+545)/1000))*'Технический лист'!$K$10)+370+((C21*0.00314)*((C21+450)/1000))*'Технический лист'!$K$5)*1.96</f>
        <v>3519.6451477599999</v>
      </c>
      <c r="D29" s="9">
        <f>((((D20*0.00314)*((D20+545)/1000))*'Технический лист'!$K$10)+370+((D21*0.00314)*((D21+450)/1000))*'Технический лист'!$K$5)*1.96</f>
        <v>3644.9545784399993</v>
      </c>
      <c r="E29" s="9">
        <f>((((E20*0.00314)*((E20+545)/1000))*'Технический лист'!$K$10)+370+((E21*0.00314)*((E21+450)/1000))*'Технический лист'!$K$5)*1.96</f>
        <v>3771.8560484945456</v>
      </c>
      <c r="F29" s="9">
        <f>((((F20*0.00314)*((F20+545)/1000))*'Технический лист'!$K$10)+370+((F21*0.00314)*((F21+450)/1000))*'Технический лист'!$K$5)*1.96</f>
        <v>3900.349557923636</v>
      </c>
      <c r="G29" s="9">
        <f>((((G20*0.00314)*((G20+545)/1000))*'Технический лист'!$K$10)+370+((G21*0.00314)*((G21+450)/1000))*'Технический лист'!$K$5)*1.96</f>
        <v>4030.4351067272728</v>
      </c>
      <c r="H29" s="9">
        <f>((((H20*0.00314)*((H20+545)/1000))*'Технический лист'!$K$10)+370+((H21*0.00314)*((H21+450)/1000))*'Технический лист'!$K$5)*1.96</f>
        <v>4295.3823224581811</v>
      </c>
      <c r="I29" s="9">
        <f>((((I20*0.00314)*((I20+545)/1000))*'Технический лист'!$K$10)+370+((I21*0.00314)*((I21+450)/1000))*'Технический лист'!$K$5)*1.96</f>
        <v>4566.6976956872722</v>
      </c>
      <c r="J29" s="9">
        <f>((((J20*0.00314)*((J20+545)/1000))*'Технический лист'!$K$10)+370+((J21*0.00314)*((J21+450)/1000))*'Технический лист'!$K$5)*1.96</f>
        <v>4844.3812264145445</v>
      </c>
      <c r="K29" s="9">
        <f>((((K20*0.00314)*((K20+545)/1000))*'Технический лист'!$K$10)+370+((K21*0.00314)*((K21+450)/1000))*'Технический лист'!$K$5)*1.96</f>
        <v>5418.8527603636367</v>
      </c>
      <c r="L29" s="9">
        <f>((((L20*0.00314)*((L20+545)/1000))*'Технический лист'!$K$10)+370+((L21*0.00314)*((L21+450)/1000))*'Технический лист'!$K$5)*1.96</f>
        <v>6018.796924305454</v>
      </c>
      <c r="M29" s="9">
        <f>((((M20*0.00314)*((M20+545)/1000))*'Технический лист'!$K$10)+370+((M21*0.00314)*((M21+450)/1000))*'Технический лист'!$K$5)*1.96</f>
        <v>6644.2137182400002</v>
      </c>
      <c r="N29" s="9">
        <f>((((N20*0.00314)*((N20+545)/1000))*'Технический лист'!$K$10)+370+((N21*0.00314)*((N21+450)/1000))*'Технический лист'!$K$5)*1.96</f>
        <v>7630.1000903781814</v>
      </c>
      <c r="O29" s="9">
        <f>((((O20*0.00314)*((O20+545)/1000))*'Технический лист'!$K$10)+370+((O21*0.00314)*((O21+450)/1000))*'Технический лист'!$K$5)*1.96</f>
        <v>7971.4651960872725</v>
      </c>
      <c r="P29" s="9">
        <f>((((P20*0.00314)*((P20+545)/1000))*'Технический лист'!$K$10)+370+((P21*0.00314)*((P21+450)/1000))*'Технический лист'!$K$5)*1.96</f>
        <v>8319.1984592945446</v>
      </c>
      <c r="Q29" s="9">
        <f>((((Q20*0.00314)*((Q20+545)/1000))*'Технический лист'!$K$10)+370+((Q21*0.00314)*((Q21+450)/1000))*'Технический лист'!$K$5)*1.96</f>
        <v>8673.2998800000005</v>
      </c>
      <c r="R29" s="9">
        <f>((((R20*0.00314)*((R20+545)/1000))*'Технический лист'!$K$10)+370+((R21*0.00314)*((R21+450)/1000))*'Технический лист'!$K$5)*1.96</f>
        <v>9033.7694582036365</v>
      </c>
      <c r="S29" s="9">
        <f>((((S20*0.00314)*((S20+545)/1000))*'Технический лист'!$K$10)+370+((S21*0.00314)*((S21+450)/1000))*'Технический лист'!$K$5)*1.96</f>
        <v>9400.6071939054546</v>
      </c>
    </row>
    <row r="30" spans="1:19" hidden="1">
      <c r="A30" s="4" t="s">
        <v>8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>
      <c r="A31" s="4" t="s">
        <v>119</v>
      </c>
      <c r="B31" s="16">
        <v>2100</v>
      </c>
      <c r="C31" s="16">
        <v>2100</v>
      </c>
      <c r="D31" s="16">
        <v>2100</v>
      </c>
      <c r="E31" s="16">
        <v>2100</v>
      </c>
      <c r="F31" s="16">
        <v>2100</v>
      </c>
      <c r="G31" s="16">
        <v>2100</v>
      </c>
      <c r="H31" s="16">
        <v>2100</v>
      </c>
      <c r="I31" s="16">
        <v>2100</v>
      </c>
      <c r="J31" s="16">
        <v>2100</v>
      </c>
      <c r="K31" s="16">
        <v>2100</v>
      </c>
      <c r="L31" s="16">
        <v>2100</v>
      </c>
      <c r="M31" s="16">
        <v>2100</v>
      </c>
      <c r="N31" s="16">
        <v>2100</v>
      </c>
      <c r="O31" s="16">
        <v>2100</v>
      </c>
      <c r="P31" s="16">
        <v>2100</v>
      </c>
      <c r="Q31" s="16">
        <v>2100</v>
      </c>
      <c r="R31" s="16">
        <v>2100</v>
      </c>
      <c r="S31" s="16">
        <v>2100</v>
      </c>
    </row>
  </sheetData>
  <mergeCells count="6">
    <mergeCell ref="A19:N19"/>
    <mergeCell ref="A1:C1"/>
    <mergeCell ref="D1:O1"/>
    <mergeCell ref="D2:O2"/>
    <mergeCell ref="D3:O3"/>
    <mergeCell ref="A5:O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S31"/>
  <sheetViews>
    <sheetView zoomScale="80" zoomScaleNormal="80" workbookViewId="0">
      <selection activeCell="B31" sqref="B31:S31"/>
    </sheetView>
  </sheetViews>
  <sheetFormatPr defaultRowHeight="14.4"/>
  <cols>
    <col min="1" max="1" width="26.6640625" customWidth="1"/>
    <col min="2" max="19" width="6.33203125" customWidth="1"/>
  </cols>
  <sheetData>
    <row r="1" spans="1:19" ht="45" customHeight="1">
      <c r="A1" s="32"/>
      <c r="B1" s="32"/>
      <c r="C1" s="32"/>
      <c r="D1" s="40" t="s">
        <v>94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1"/>
      <c r="Q1" s="1"/>
    </row>
    <row r="2" spans="1:19" ht="15" customHeight="1">
      <c r="D2" s="34" t="s">
        <v>95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1"/>
    </row>
    <row r="3" spans="1:19" ht="15" customHeight="1">
      <c r="D3" s="34" t="s">
        <v>112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9" ht="2.25" customHeight="1"/>
    <row r="5" spans="1:19">
      <c r="A5" s="41" t="s">
        <v>104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1:19">
      <c r="A6" s="3" t="s">
        <v>0</v>
      </c>
      <c r="B6" s="10">
        <v>100</v>
      </c>
      <c r="C6" s="10">
        <v>110</v>
      </c>
      <c r="D6" s="10">
        <v>115</v>
      </c>
      <c r="E6" s="10">
        <v>120</v>
      </c>
      <c r="F6" s="10">
        <v>125</v>
      </c>
      <c r="G6" s="10">
        <v>130</v>
      </c>
      <c r="H6" s="10">
        <v>140</v>
      </c>
      <c r="I6" s="10">
        <v>150</v>
      </c>
      <c r="J6" s="10">
        <v>160</v>
      </c>
      <c r="K6" s="10">
        <v>180</v>
      </c>
      <c r="L6" s="10">
        <v>200</v>
      </c>
      <c r="M6" s="10">
        <v>220</v>
      </c>
      <c r="N6" s="10">
        <v>250</v>
      </c>
      <c r="O6" s="10">
        <v>260</v>
      </c>
      <c r="P6" s="10">
        <v>270</v>
      </c>
      <c r="Q6" s="10">
        <v>280</v>
      </c>
      <c r="R6" s="10">
        <v>290</v>
      </c>
      <c r="S6" s="10">
        <v>300</v>
      </c>
    </row>
    <row r="7" spans="1:19">
      <c r="A7" s="3" t="s">
        <v>1</v>
      </c>
      <c r="B7" s="10">
        <f>B6+100</f>
        <v>200</v>
      </c>
      <c r="C7" s="10">
        <f t="shared" ref="C7:N7" si="0">C6+100</f>
        <v>210</v>
      </c>
      <c r="D7" s="10">
        <f t="shared" si="0"/>
        <v>215</v>
      </c>
      <c r="E7" s="10">
        <f t="shared" si="0"/>
        <v>220</v>
      </c>
      <c r="F7" s="10">
        <f t="shared" si="0"/>
        <v>225</v>
      </c>
      <c r="G7" s="10">
        <f t="shared" si="0"/>
        <v>230</v>
      </c>
      <c r="H7" s="10">
        <f t="shared" si="0"/>
        <v>240</v>
      </c>
      <c r="I7" s="10">
        <f t="shared" si="0"/>
        <v>250</v>
      </c>
      <c r="J7" s="10">
        <f t="shared" si="0"/>
        <v>260</v>
      </c>
      <c r="K7" s="10">
        <f t="shared" si="0"/>
        <v>280</v>
      </c>
      <c r="L7" s="10">
        <f t="shared" si="0"/>
        <v>300</v>
      </c>
      <c r="M7" s="10">
        <f t="shared" si="0"/>
        <v>320</v>
      </c>
      <c r="N7" s="10">
        <f t="shared" si="0"/>
        <v>350</v>
      </c>
      <c r="O7" s="10">
        <f t="shared" ref="O7:S7" si="1">O6+100</f>
        <v>360</v>
      </c>
      <c r="P7" s="10">
        <f t="shared" si="1"/>
        <v>370</v>
      </c>
      <c r="Q7" s="10">
        <f t="shared" si="1"/>
        <v>380</v>
      </c>
      <c r="R7" s="10">
        <f t="shared" si="1"/>
        <v>390</v>
      </c>
      <c r="S7" s="10">
        <f t="shared" si="1"/>
        <v>400</v>
      </c>
    </row>
    <row r="8" spans="1:19">
      <c r="A8" s="4" t="s">
        <v>4</v>
      </c>
      <c r="B8" s="16">
        <f>(((B6*0.00314)*'Технический лист'!$G$3)+365+((B7*0.00314)*'Технический лист'!$G$11))*1.95</f>
        <v>1764.4978000000001</v>
      </c>
      <c r="C8" s="16">
        <f>(((C6*0.00314)*'Технический лист'!$G$3)+365+((C7*0.00314)*'Технический лист'!$G$11))*1.95</f>
        <v>1848.1175700000001</v>
      </c>
      <c r="D8" s="16">
        <f>(((D6*0.00314)*'Технический лист'!$G$3)+365+((D7*0.00314)*'Технический лист'!$G$11))*1.95</f>
        <v>1889.9274549999998</v>
      </c>
      <c r="E8" s="16">
        <f>(((E6*0.00314)*'Технический лист'!$G$3)+365+((E7*0.00314)*'Технический лист'!$G$11))*1.95</f>
        <v>1931.7373399999999</v>
      </c>
      <c r="F8" s="16">
        <f>(((F6*0.00314)*'Технический лист'!$G$3)+365+((F7*0.00314)*'Технический лист'!$G$11))*1.95</f>
        <v>1973.547225</v>
      </c>
      <c r="G8" s="16">
        <f>(((G6*0.00314)*'Технический лист'!$G$3)+365+((G7*0.00314)*'Технический лист'!$G$11))*1.95</f>
        <v>2015.3571099999999</v>
      </c>
      <c r="H8" s="16">
        <f>(((H6*0.00314)*'Технический лист'!$G$3)+365+((H7*0.00314)*'Технический лист'!$G$11))*1.95</f>
        <v>2098.9768800000002</v>
      </c>
      <c r="I8" s="16">
        <f>(((I6*0.00314)*'Технический лист'!$G$3)+365+((I7*0.00314)*'Технический лист'!$G$11))*1.95</f>
        <v>2182.59665</v>
      </c>
      <c r="J8" s="16">
        <f>(((J6*0.00314)*'Технический лист'!$G$3)+365+((J7*0.00314)*'Технический лист'!$G$11))*1.95</f>
        <v>2266.2164199999997</v>
      </c>
      <c r="K8" s="16">
        <f>(((K6*0.00314)*'Технический лист'!$G$3)+365+((K7*0.00314)*'Технический лист'!$G$11))*1.95</f>
        <v>2433.4559600000002</v>
      </c>
      <c r="L8" s="16">
        <f>(((L6*0.00314)*'Технический лист'!$G$3)+365+((L7*0.00314)*'Технический лист'!$G$11))*1.95</f>
        <v>2600.6955000000003</v>
      </c>
      <c r="M8" s="16">
        <f>(((M6*0.00314)*'Технический лист'!$G$3)+365+((M7*0.00314)*'Технический лист'!$G$11))*1.95</f>
        <v>2767.9350399999998</v>
      </c>
      <c r="N8" s="16">
        <f>(((N6*0.00314)*'Технический лист'!$G$3)+365+((N7*0.00314)*'Технический лист'!$G$11))*1.95</f>
        <v>3018.7943500000001</v>
      </c>
      <c r="O8" s="16">
        <f>(((O6*0.00314)*'Технический лист'!$G$3)+365+((O7*0.00314)*'Технический лист'!$G$11))*1.95</f>
        <v>3102.4141199999999</v>
      </c>
      <c r="P8" s="16">
        <f>(((P6*0.00314)*'Технический лист'!$G$3)+365+((P7*0.00314)*'Технический лист'!$G$11))*1.95</f>
        <v>3186.0338899999997</v>
      </c>
      <c r="Q8" s="16">
        <f>(((Q6*0.00314)*'Технический лист'!$G$3)+365+((Q7*0.00314)*'Технический лист'!$G$11))*1.95</f>
        <v>3269.6536599999995</v>
      </c>
      <c r="R8" s="16">
        <f>(((R6*0.00314)*'Технический лист'!$G$3)+365+((R7*0.00314)*'Технический лист'!$G$11))*1.95</f>
        <v>3353.2734299999997</v>
      </c>
      <c r="S8" s="16">
        <f>(((S6*0.00314)*'Технический лист'!$G$3)+365+((S7*0.00314)*'Технический лист'!$G$11))*1.95</f>
        <v>3436.8932</v>
      </c>
    </row>
    <row r="9" spans="1:19">
      <c r="A9" s="4" t="s">
        <v>3</v>
      </c>
      <c r="B9" s="9">
        <f>((B8/2)*1.07)-10</f>
        <v>934.00632300000007</v>
      </c>
      <c r="C9" s="9">
        <f t="shared" ref="C9:N9" si="2">((C8/2)*1.07)-10</f>
        <v>978.74289995000015</v>
      </c>
      <c r="D9" s="9">
        <f t="shared" si="2"/>
        <v>1001.1111884249999</v>
      </c>
      <c r="E9" s="9">
        <f t="shared" si="2"/>
        <v>1023.4794769</v>
      </c>
      <c r="F9" s="9">
        <f t="shared" si="2"/>
        <v>1045.8477653750001</v>
      </c>
      <c r="G9" s="9">
        <f t="shared" si="2"/>
        <v>1068.21605385</v>
      </c>
      <c r="H9" s="9">
        <f t="shared" si="2"/>
        <v>1112.9526308000002</v>
      </c>
      <c r="I9" s="9">
        <f t="shared" si="2"/>
        <v>1157.6892077500002</v>
      </c>
      <c r="J9" s="9">
        <f t="shared" si="2"/>
        <v>1202.4257846999999</v>
      </c>
      <c r="K9" s="9">
        <f t="shared" si="2"/>
        <v>1291.8989386000003</v>
      </c>
      <c r="L9" s="9">
        <f t="shared" si="2"/>
        <v>1381.3720925000002</v>
      </c>
      <c r="M9" s="9">
        <f t="shared" si="2"/>
        <v>1470.8452464</v>
      </c>
      <c r="N9" s="9">
        <f t="shared" si="2"/>
        <v>1605.0549772500001</v>
      </c>
      <c r="O9" s="9">
        <f t="shared" ref="O9:S9" si="3">((O8/2)*1.07)-10</f>
        <v>1649.7915542000001</v>
      </c>
      <c r="P9" s="9">
        <f t="shared" si="3"/>
        <v>1694.52813115</v>
      </c>
      <c r="Q9" s="9">
        <f t="shared" si="3"/>
        <v>1739.2647080999998</v>
      </c>
      <c r="R9" s="9">
        <f t="shared" si="3"/>
        <v>1784.00128505</v>
      </c>
      <c r="S9" s="9">
        <f t="shared" si="3"/>
        <v>1828.7378620000002</v>
      </c>
    </row>
    <row r="10" spans="1:19">
      <c r="A10" s="4" t="s">
        <v>5</v>
      </c>
      <c r="B10" s="16">
        <f>((((B6*0.00314)*0.5)*'Технический лист'!$I$3)+310+(((B7*0.00314)*0.5)*'Технический лист'!$I$11))*1.96</f>
        <v>1542.8636533333333</v>
      </c>
      <c r="C10" s="16">
        <f>((((C6*0.00314)*0.5)*'Технический лист'!$I$3)+310+(((C7*0.00314)*0.5)*'Технический лист'!$I$11))*1.96</f>
        <v>1615.5060879999999</v>
      </c>
      <c r="D10" s="16">
        <f>((((D6*0.00314)*0.5)*'Технический лист'!$I$3)+310+(((D7*0.00314)*0.5)*'Технический лист'!$I$11))*1.96</f>
        <v>1651.8273053333332</v>
      </c>
      <c r="E10" s="16">
        <f>((((E6*0.00314)*0.5)*'Технический лист'!$I$3)+310+(((E7*0.00314)*0.5)*'Технический лист'!$I$11))*1.96</f>
        <v>1688.1485226666666</v>
      </c>
      <c r="F10" s="16">
        <f>((((F6*0.00314)*0.5)*'Технический лист'!$I$3)+310+(((F7*0.00314)*0.5)*'Технический лист'!$I$11))*1.96</f>
        <v>1724.46974</v>
      </c>
      <c r="G10" s="16">
        <f>((((G6*0.00314)*0.5)*'Технический лист'!$I$3)+310+(((G7*0.00314)*0.5)*'Технический лист'!$I$11))*1.96</f>
        <v>1760.7909573333332</v>
      </c>
      <c r="H10" s="16">
        <f>((((H6*0.00314)*0.5)*'Технический лист'!$I$3)+310+(((H7*0.00314)*0.5)*'Технический лист'!$I$11))*1.96</f>
        <v>1833.4333919999999</v>
      </c>
      <c r="I10" s="16">
        <f>((((I6*0.00314)*0.5)*'Технический лист'!$I$3)+310+(((I7*0.00314)*0.5)*'Технический лист'!$I$11))*1.96</f>
        <v>1906.0758266666667</v>
      </c>
      <c r="J10" s="16">
        <f>((((J6*0.00314)*0.5)*'Технический лист'!$I$3)+310+(((J7*0.00314)*0.5)*'Технический лист'!$I$11))*1.96</f>
        <v>1978.718261333333</v>
      </c>
      <c r="K10" s="16">
        <f>((((K6*0.00314)*0.5)*'Технический лист'!$I$3)+310+(((K7*0.00314)*0.5)*'Технический лист'!$I$11))*1.96</f>
        <v>2124.0031306666665</v>
      </c>
      <c r="L10" s="16">
        <f>((((L6*0.00314)*0.5)*'Технический лист'!$I$3)+310+(((L7*0.00314)*0.5)*'Технический лист'!$I$11))*1.96</f>
        <v>2269.288</v>
      </c>
      <c r="M10" s="16">
        <f>((((M6*0.00314)*0.5)*'Технический лист'!$I$3)+310+(((M7*0.00314)*0.5)*'Технический лист'!$I$11))*1.96</f>
        <v>2414.5728693333331</v>
      </c>
      <c r="N10" s="16">
        <f>((((N6*0.00314)*0.5)*'Технический лист'!$I$3)+310+(((N7*0.00314)*0.5)*'Технический лист'!$I$11))*1.96</f>
        <v>2632.5001733333334</v>
      </c>
      <c r="O10" s="16">
        <f>((((O6*0.00314)*0.5)*'Технический лист'!$I$3)+310+(((O7*0.00314)*0.5)*'Технический лист'!$I$11))*1.96</f>
        <v>2705.1426080000001</v>
      </c>
      <c r="P10" s="16">
        <f>((((P6*0.00314)*0.5)*'Технический лист'!$I$3)+310+(((P7*0.00314)*0.5)*'Технический лист'!$I$11))*1.96</f>
        <v>2777.7850426666669</v>
      </c>
      <c r="Q10" s="16">
        <f>((((Q6*0.00314)*0.5)*'Технический лист'!$I$3)+310+(((Q7*0.00314)*0.5)*'Технический лист'!$I$11))*1.96</f>
        <v>2850.4274773333336</v>
      </c>
      <c r="R10" s="16">
        <f>((((R6*0.00314)*0.5)*'Технический лист'!$I$3)+310+(((R7*0.00314)*0.5)*'Технический лист'!$I$11))*1.96</f>
        <v>2923.0699119999995</v>
      </c>
      <c r="S10" s="16">
        <f>((((S6*0.00314)*0.5)*'Технический лист'!$I$3)+310+(((S7*0.00314)*0.5)*'Технический лист'!$I$11))*1.96</f>
        <v>2995.7123466666662</v>
      </c>
    </row>
    <row r="11" spans="1:19">
      <c r="A11" s="4" t="s">
        <v>96</v>
      </c>
      <c r="B11" s="9">
        <f>((B10*2)/3)-6</f>
        <v>1022.5757688888889</v>
      </c>
      <c r="C11" s="9">
        <f t="shared" ref="C11:N11" si="4">((C10*2)/3)-6</f>
        <v>1071.0040586666667</v>
      </c>
      <c r="D11" s="9">
        <f t="shared" si="4"/>
        <v>1095.2182035555554</v>
      </c>
      <c r="E11" s="9">
        <f t="shared" si="4"/>
        <v>1119.4323484444444</v>
      </c>
      <c r="F11" s="9">
        <f t="shared" si="4"/>
        <v>1143.6464933333334</v>
      </c>
      <c r="G11" s="9">
        <f t="shared" si="4"/>
        <v>1167.8606382222222</v>
      </c>
      <c r="H11" s="9">
        <f t="shared" si="4"/>
        <v>1216.2889279999999</v>
      </c>
      <c r="I11" s="9">
        <f t="shared" si="4"/>
        <v>1264.7172177777777</v>
      </c>
      <c r="J11" s="9">
        <f t="shared" si="4"/>
        <v>1313.1455075555552</v>
      </c>
      <c r="K11" s="9">
        <f t="shared" si="4"/>
        <v>1410.002087111111</v>
      </c>
      <c r="L11" s="9">
        <f t="shared" si="4"/>
        <v>1506.8586666666667</v>
      </c>
      <c r="M11" s="9">
        <f t="shared" si="4"/>
        <v>1603.715246222222</v>
      </c>
      <c r="N11" s="9">
        <f t="shared" si="4"/>
        <v>1749.0001155555556</v>
      </c>
      <c r="O11" s="9">
        <f t="shared" ref="O11:S11" si="5">((O10*2)/3)-6</f>
        <v>1797.4284053333333</v>
      </c>
      <c r="P11" s="9">
        <f t="shared" si="5"/>
        <v>1845.8566951111113</v>
      </c>
      <c r="Q11" s="9">
        <f t="shared" si="5"/>
        <v>1894.2849848888891</v>
      </c>
      <c r="R11" s="9">
        <f t="shared" si="5"/>
        <v>1942.7132746666664</v>
      </c>
      <c r="S11" s="9">
        <f t="shared" si="5"/>
        <v>1991.1415644444442</v>
      </c>
    </row>
    <row r="12" spans="1:19">
      <c r="A12" s="4" t="s">
        <v>6</v>
      </c>
      <c r="B12" s="16">
        <f>((((B6*0.00314)*0.22)*'Технический лист'!$M$3)+100+(((B7*0.00314)*0.21)*'Технический лист'!$O$11)+(((B6+30)*(B6+30)/1000000)*'Технический лист'!$E$18))*1.95</f>
        <v>862.35146399999996</v>
      </c>
      <c r="C12" s="16">
        <f>((((C6*0.00314)*0.22)*'Технический лист'!$M$3)+100+(((C7*0.00314)*0.21)*'Технический лист'!$O$11)+(((C6+30)*(C6+30)/1000000)*'Технический лист'!$E$18))*1.95</f>
        <v>921.51919080000016</v>
      </c>
      <c r="D12" s="16">
        <f>((((D6*0.00314)*0.22)*'Технический лист'!$M$3)+100+(((D7*0.00314)*0.21)*'Технический лист'!$O$11)+(((D6+30)*(D6+30)/1000000)*'Технический лист'!$E$18))*1.95</f>
        <v>951.57105419999994</v>
      </c>
      <c r="E12" s="16">
        <f>((((E6*0.00314)*0.22)*'Технический лист'!$M$3)+100+(((E7*0.00314)*0.21)*'Технический лист'!$O$11)+(((E6+30)*(E6+30)/1000000)*'Технический лист'!$E$18))*1.95</f>
        <v>981.93491760000006</v>
      </c>
      <c r="F12" s="16">
        <f>((((F6*0.00314)*0.22)*'Технический лист'!$M$3)+100+(((F7*0.00314)*0.21)*'Технический лист'!$O$11)+(((F6+30)*(F6+30)/1000000)*'Технический лист'!$E$18))*1.95</f>
        <v>1012.6107810000001</v>
      </c>
      <c r="G12" s="16">
        <f>((((G6*0.00314)*0.22)*'Технический лист'!$M$3)+100+(((G7*0.00314)*0.21)*'Технический лист'!$O$11)+(((G6+30)*(G6+30)/1000000)*'Технический лист'!$E$18))*1.95</f>
        <v>1043.5986444</v>
      </c>
      <c r="H12" s="16">
        <f>((((H6*0.00314)*0.22)*'Технический лист'!$M$3)+100+(((H7*0.00314)*0.21)*'Технический лист'!$O$11)+(((H6+30)*(H6+30)/1000000)*'Технический лист'!$E$18))*1.95</f>
        <v>1106.5103712</v>
      </c>
      <c r="I12" s="16">
        <f>((((I6*0.00314)*0.22)*'Технический лист'!$M$3)+100+(((I7*0.00314)*0.21)*'Технический лист'!$O$11)+(((I6+30)*(I6+30)/1000000)*'Технический лист'!$E$18))*1.95</f>
        <v>1170.6700979999998</v>
      </c>
      <c r="J12" s="16">
        <f>((((J6*0.00314)*0.22)*'Технический лист'!$M$3)+100+(((J7*0.00314)*0.21)*'Технический лист'!$O$11)+(((J6+30)*(J6+30)/1000000)*'Технический лист'!$E$18))*1.95</f>
        <v>1236.0778247999999</v>
      </c>
      <c r="K12" s="16">
        <f>((((K6*0.00314)*0.22)*'Технический лист'!$M$3)+100+(((K7*0.00314)*0.21)*'Технический лист'!$O$11)+(((K6+30)*(K6+30)/1000000)*'Технический лист'!$E$18))*1.95</f>
        <v>1370.6372783999998</v>
      </c>
      <c r="L12" s="16">
        <f>((((L6*0.00314)*0.22)*'Технический лист'!$M$3)+100+(((L7*0.00314)*0.21)*'Технический лист'!$O$11)+(((L6+30)*(L6+30)/1000000)*'Технический лист'!$E$18))*1.95</f>
        <v>1510.1887319999998</v>
      </c>
      <c r="M12" s="16">
        <f>((((M6*0.00314)*0.22)*'Технический лист'!$M$3)+100+(((M7*0.00314)*0.21)*'Технический лист'!$O$11)+(((M6+30)*(M6+30)/1000000)*'Технический лист'!$E$18))*1.95</f>
        <v>1654.7321855999999</v>
      </c>
      <c r="N12" s="16">
        <f>((((N6*0.00314)*0.22)*'Технический лист'!$M$3)+100+(((N7*0.00314)*0.21)*'Технический лист'!$O$11)+(((N6+30)*(N6+30)/1000000)*'Технический лист'!$E$18))*1.95</f>
        <v>1880.9073660000001</v>
      </c>
      <c r="O12" s="16">
        <f>((((O6*0.00314)*0.22)*'Технический лист'!$M$3)+100+(((O7*0.00314)*0.21)*'Технический лист'!$O$11)+(((O6+30)*(O6+30)/1000000)*'Технический лист'!$E$18))*1.95</f>
        <v>1958.7950928</v>
      </c>
      <c r="P12" s="16">
        <f>((((P6*0.00314)*0.22)*'Технический лист'!$M$3)+100+(((P7*0.00314)*0.21)*'Технический лист'!$O$11)+(((P6+30)*(P6+30)/1000000)*'Технический лист'!$E$18))*1.95</f>
        <v>2037.9308196000002</v>
      </c>
      <c r="Q12" s="16">
        <f>((((Q6*0.00314)*0.22)*'Технический лист'!$M$3)+100+(((Q7*0.00314)*0.21)*'Технический лист'!$O$11)+(((Q6+30)*(Q6+30)/1000000)*'Технический лист'!$E$18))*1.95</f>
        <v>2118.3145464000004</v>
      </c>
      <c r="R12" s="16">
        <f>((((R6*0.00314)*0.22)*'Технический лист'!$M$3)+100+(((R7*0.00314)*0.21)*'Технический лист'!$O$11)+(((R6+30)*(R6+30)/1000000)*'Технический лист'!$E$18))*1.95</f>
        <v>2199.9462732000002</v>
      </c>
      <c r="S12" s="16">
        <f>((((S6*0.00314)*0.22)*'Технический лист'!$M$3)+100+(((S7*0.00314)*0.21)*'Технический лист'!$O$11)+(((S6+30)*(S6+30)/1000000)*'Технический лист'!$E$18))*1.95</f>
        <v>2282.8259999999996</v>
      </c>
    </row>
    <row r="13" spans="1:19">
      <c r="A13" s="4" t="s">
        <v>7</v>
      </c>
      <c r="B13" s="9">
        <f>(B12*2.2)+24</f>
        <v>1921.1732208000001</v>
      </c>
      <c r="C13" s="9">
        <f t="shared" ref="C13:N13" si="6">(C12*2.2)+24</f>
        <v>2051.3422197600003</v>
      </c>
      <c r="D13" s="9">
        <f t="shared" si="6"/>
        <v>2117.4563192400001</v>
      </c>
      <c r="E13" s="9">
        <f t="shared" si="6"/>
        <v>2184.2568187200004</v>
      </c>
      <c r="F13" s="9">
        <f t="shared" si="6"/>
        <v>2251.7437182000003</v>
      </c>
      <c r="G13" s="9">
        <f t="shared" si="6"/>
        <v>2319.9170176800003</v>
      </c>
      <c r="H13" s="9">
        <f t="shared" si="6"/>
        <v>2458.3228166400004</v>
      </c>
      <c r="I13" s="9">
        <f t="shared" si="6"/>
        <v>2599.4742155999998</v>
      </c>
      <c r="J13" s="9">
        <f t="shared" si="6"/>
        <v>2743.3712145600002</v>
      </c>
      <c r="K13" s="9">
        <f t="shared" si="6"/>
        <v>3039.4020124799999</v>
      </c>
      <c r="L13" s="9">
        <f t="shared" si="6"/>
        <v>3346.4152104</v>
      </c>
      <c r="M13" s="9">
        <f t="shared" si="6"/>
        <v>3664.4108083199999</v>
      </c>
      <c r="N13" s="9">
        <f t="shared" si="6"/>
        <v>4161.996205200001</v>
      </c>
      <c r="O13" s="9">
        <f t="shared" ref="O13:S13" si="7">(O12*2.2)+24</f>
        <v>4333.3492041600002</v>
      </c>
      <c r="P13" s="9">
        <f t="shared" si="7"/>
        <v>4507.4478031200006</v>
      </c>
      <c r="Q13" s="9">
        <f t="shared" si="7"/>
        <v>4684.2920020800011</v>
      </c>
      <c r="R13" s="9">
        <f t="shared" si="7"/>
        <v>4863.8818010400009</v>
      </c>
      <c r="S13" s="9">
        <f t="shared" si="7"/>
        <v>5046.2171999999991</v>
      </c>
    </row>
    <row r="14" spans="1:19">
      <c r="A14" s="4" t="s">
        <v>8</v>
      </c>
      <c r="B14" s="16">
        <f>((((B6*0.00314)*0.2)*'Технический лист'!$M$3)+50+(((B7*0.00314)*0.22)*'Технический лист'!$O$11))*1.96</f>
        <v>650.05788586666665</v>
      </c>
      <c r="C14" s="16">
        <f>((((C6*0.00314)*0.2)*'Технический лист'!$M$3)+50+(((C7*0.00314)*0.22)*'Технический лист'!$O$11))*1.96</f>
        <v>690.65887296000005</v>
      </c>
      <c r="D14" s="16">
        <f>((((D6*0.00314)*0.2)*'Технический лист'!$M$3)+50+(((D7*0.00314)*0.22)*'Технический лист'!$O$11))*1.96</f>
        <v>710.9593665066667</v>
      </c>
      <c r="E14" s="16">
        <f>((((E6*0.00314)*0.2)*'Технический лист'!$M$3)+50+(((E7*0.00314)*0.22)*'Технический лист'!$O$11))*1.96</f>
        <v>731.25986005333334</v>
      </c>
      <c r="F14" s="16">
        <f>((((F6*0.00314)*0.2)*'Технический лист'!$M$3)+50+(((F7*0.00314)*0.22)*'Технический лист'!$O$11))*1.96</f>
        <v>751.5603536000001</v>
      </c>
      <c r="G14" s="16">
        <f>((((G6*0.00314)*0.2)*'Технический лист'!$M$3)+50+(((G7*0.00314)*0.22)*'Технический лист'!$O$11))*1.96</f>
        <v>771.86084714666663</v>
      </c>
      <c r="H14" s="16">
        <f>((((H6*0.00314)*0.2)*'Технический лист'!$M$3)+50+(((H7*0.00314)*0.22)*'Технический лист'!$O$11))*1.96</f>
        <v>812.46183424000003</v>
      </c>
      <c r="I14" s="16">
        <f>((((I6*0.00314)*0.2)*'Технический лист'!$M$3)+50+(((I7*0.00314)*0.22)*'Технический лист'!$O$11))*1.96</f>
        <v>853.06282133333332</v>
      </c>
      <c r="J14" s="16">
        <f>((((J6*0.00314)*0.2)*'Технический лист'!$M$3)+50+(((J7*0.00314)*0.22)*'Технический лист'!$O$11))*1.96</f>
        <v>893.66380842666661</v>
      </c>
      <c r="K14" s="16">
        <f>((((K6*0.00314)*0.2)*'Технический лист'!$M$3)+50+(((K7*0.00314)*0.22)*'Технический лист'!$O$11))*1.96</f>
        <v>974.86578261333341</v>
      </c>
      <c r="L14" s="16">
        <f>((((L6*0.00314)*0.2)*'Технический лист'!$M$3)+50+(((L7*0.00314)*0.22)*'Технический лист'!$O$11))*1.96</f>
        <v>1056.0677568000001</v>
      </c>
      <c r="M14" s="16">
        <f>((((M6*0.00314)*0.2)*'Технический лист'!$M$3)+50+(((M7*0.00314)*0.22)*'Технический лист'!$O$11))*1.96</f>
        <v>1137.2697309866667</v>
      </c>
      <c r="N14" s="16">
        <f>((((N6*0.00314)*0.2)*'Технический лист'!$M$3)+50+(((N7*0.00314)*0.22)*'Технический лист'!$O$11))*1.96</f>
        <v>1259.0726922666668</v>
      </c>
      <c r="O14" s="16">
        <f>((((O6*0.00314)*0.2)*'Технический лист'!$M$3)+50+(((O7*0.00314)*0.22)*'Технический лист'!$O$11))*1.96</f>
        <v>1299.6736793600001</v>
      </c>
      <c r="P14" s="16">
        <f>((((P6*0.00314)*0.2)*'Технический лист'!$M$3)+50+(((P7*0.00314)*0.22)*'Технический лист'!$O$11))*1.96</f>
        <v>1340.2746664533333</v>
      </c>
      <c r="Q14" s="16">
        <f>((((Q6*0.00314)*0.2)*'Технический лист'!$M$3)+50+(((Q7*0.00314)*0.22)*'Технический лист'!$O$11))*1.96</f>
        <v>1380.8756535466666</v>
      </c>
      <c r="R14" s="16">
        <f>((((R6*0.00314)*0.2)*'Технический лист'!$M$3)+50+(((R7*0.00314)*0.22)*'Технический лист'!$O$11))*1.96</f>
        <v>1421.4766406400001</v>
      </c>
      <c r="S14" s="16">
        <f>((((S6*0.00314)*0.2)*'Технический лист'!$M$3)+50+(((S7*0.00314)*0.22)*'Технический лист'!$O$11))*1.96</f>
        <v>1462.0776277333334</v>
      </c>
    </row>
    <row r="15" spans="1:19">
      <c r="A15" s="4" t="s">
        <v>9</v>
      </c>
      <c r="B15" s="9">
        <f>((((B6*0.00314)*((B6+545)/1000))*'Технический лист'!$K$3)+370+((B7*0.00314)*((B7+450)/1000))*'Технический лист'!$K$11)*1.96</f>
        <v>2007.3194829333331</v>
      </c>
      <c r="C15" s="9">
        <f>((((C6*0.00314)*((C6+545)/1000))*'Технический лист'!$K$3)+370+((C7*0.00314)*((C7+450)/1000))*'Технический лист'!$K$11)*1.96</f>
        <v>2129.75901432</v>
      </c>
      <c r="D15" s="9">
        <f>((((D6*0.00314)*((D6+545)/1000))*'Технический лист'!$K$3)+370+((D7*0.00314)*((D7+450)/1000))*'Технический лист'!$K$11)*1.96</f>
        <v>2192.151500933333</v>
      </c>
      <c r="E15" s="9">
        <f>((((E6*0.00314)*((E6+545)/1000))*'Технический лист'!$K$3)+370+((E7*0.00314)*((E7+450)/1000))*'Технический лист'!$K$11)*1.96</f>
        <v>2255.3258014933331</v>
      </c>
      <c r="F15" s="9">
        <f>((((F6*0.00314)*((F6+545)/1000))*'Технический лист'!$K$3)+370+((F7*0.00314)*((F7+450)/1000))*'Технический лист'!$K$11)*1.96</f>
        <v>2319.2819159999999</v>
      </c>
      <c r="G15" s="9">
        <f>((((G6*0.00314)*((G6+545)/1000))*'Технический лист'!$K$3)+370+((G7*0.00314)*((G7+450)/1000))*'Технический лист'!$K$11)*1.96</f>
        <v>2384.0198444533335</v>
      </c>
      <c r="H15" s="9">
        <f>((((H6*0.00314)*((H6+545)/1000))*'Технический лист'!$K$3)+370+((H7*0.00314)*((H7+450)/1000))*'Технический лист'!$K$11)*1.96</f>
        <v>2515.8411431999998</v>
      </c>
      <c r="I15" s="9">
        <f>((((I6*0.00314)*((I6+545)/1000))*'Технический лист'!$K$3)+370+((I7*0.00314)*((I7+450)/1000))*'Технический лист'!$K$11)*1.96</f>
        <v>2650.789697733333</v>
      </c>
      <c r="J15" s="9">
        <f>((((J6*0.00314)*((J6+545)/1000))*'Технический лист'!$K$3)+370+((J7*0.00314)*((J7+450)/1000))*'Технический лист'!$K$11)*1.96</f>
        <v>2788.8655080533331</v>
      </c>
      <c r="K15" s="9">
        <f>((((K6*0.00314)*((K6+545)/1000))*'Технический лист'!$K$3)+370+((K7*0.00314)*((K7+450)/1000))*'Технический лист'!$K$11)*1.96</f>
        <v>3074.3988960533329</v>
      </c>
      <c r="L15" s="9">
        <f>((((L6*0.00314)*((L6+545)/1000))*'Технический лист'!$K$3)+370+((L7*0.00314)*((L7+450)/1000))*'Технический лист'!$K$11)*1.96</f>
        <v>3372.4413071999993</v>
      </c>
      <c r="M15" s="9">
        <f>((((M6*0.00314)*((M6+545)/1000))*'Технический лист'!$K$3)+370+((M7*0.00314)*((M7+450)/1000))*'Технический лист'!$K$11)*1.96</f>
        <v>3682.9927414933327</v>
      </c>
      <c r="N15" s="9">
        <f>((((N6*0.00314)*((N6+545)/1000))*'Технический лист'!$K$3)+370+((N7*0.00314)*((N7+450)/1000))*'Технический лист'!$K$11)*1.96</f>
        <v>4172.2743113333336</v>
      </c>
      <c r="O15" s="9">
        <f>((((O6*0.00314)*((O6+545)/1000))*'Технический лист'!$K$3)+370+((O7*0.00314)*((O7+450)/1000))*'Технический лист'!$K$11)*1.96</f>
        <v>4341.62267952</v>
      </c>
      <c r="P15" s="9">
        <f>((((P6*0.00314)*((P6+545)/1000))*'Технический лист'!$K$3)+370+((P7*0.00314)*((P7+450)/1000))*'Технический лист'!$K$11)*1.96</f>
        <v>4514.0983034933324</v>
      </c>
      <c r="Q15" s="9">
        <f>((((Q6*0.00314)*((Q6+545)/1000))*'Технический лист'!$K$3)+370+((Q7*0.00314)*((Q7+450)/1000))*'Технический лист'!$K$11)*1.96</f>
        <v>4689.7011832533326</v>
      </c>
      <c r="R15" s="9">
        <f>((((R6*0.00314)*((R6+545)/1000))*'Технический лист'!$K$3)+370+((R7*0.00314)*((R7+450)/1000))*'Технический лист'!$K$11)*1.96</f>
        <v>4868.4313187999996</v>
      </c>
      <c r="S15" s="9">
        <f>((((S6*0.00314)*((S6+545)/1000))*'Технический лист'!$K$3)+370+((S7*0.00314)*((S7+450)/1000))*'Технический лист'!$K$11)*1.96</f>
        <v>5050.2887101333326</v>
      </c>
    </row>
    <row r="16" spans="1:19" ht="0.75" hidden="1" customHeight="1">
      <c r="A16" s="4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>
      <c r="A17" s="4" t="s">
        <v>118</v>
      </c>
      <c r="B17" s="16">
        <v>1800</v>
      </c>
      <c r="C17" s="16">
        <v>1800</v>
      </c>
      <c r="D17" s="16">
        <v>1800</v>
      </c>
      <c r="E17" s="16">
        <v>1800</v>
      </c>
      <c r="F17" s="16">
        <v>1800</v>
      </c>
      <c r="G17" s="16">
        <v>1800</v>
      </c>
      <c r="H17" s="16">
        <v>1800</v>
      </c>
      <c r="I17" s="16">
        <v>1800</v>
      </c>
      <c r="J17" s="16">
        <v>1800</v>
      </c>
      <c r="K17" s="16">
        <v>1800</v>
      </c>
      <c r="L17" s="16">
        <v>1800</v>
      </c>
      <c r="M17" s="16">
        <v>1800</v>
      </c>
      <c r="N17" s="16">
        <v>1800</v>
      </c>
      <c r="O17" s="16">
        <v>1800</v>
      </c>
      <c r="P17" s="16">
        <v>1800</v>
      </c>
      <c r="Q17" s="16">
        <v>1800</v>
      </c>
      <c r="R17" s="16">
        <v>1800</v>
      </c>
      <c r="S17" s="16">
        <v>1800</v>
      </c>
    </row>
    <row r="19" spans="1:19">
      <c r="A19" s="41" t="s">
        <v>58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19">
      <c r="A20" s="3" t="s">
        <v>0</v>
      </c>
      <c r="B20" s="10">
        <v>100</v>
      </c>
      <c r="C20" s="10">
        <v>110</v>
      </c>
      <c r="D20" s="10">
        <v>115</v>
      </c>
      <c r="E20" s="10">
        <v>120</v>
      </c>
      <c r="F20" s="10">
        <v>125</v>
      </c>
      <c r="G20" s="10">
        <v>130</v>
      </c>
      <c r="H20" s="10">
        <v>140</v>
      </c>
      <c r="I20" s="10">
        <v>150</v>
      </c>
      <c r="J20" s="10">
        <v>160</v>
      </c>
      <c r="K20" s="10">
        <v>180</v>
      </c>
      <c r="L20" s="10">
        <v>200</v>
      </c>
      <c r="M20" s="10">
        <v>220</v>
      </c>
      <c r="N20" s="10">
        <v>250</v>
      </c>
      <c r="O20" s="10">
        <v>260</v>
      </c>
      <c r="P20" s="10">
        <v>270</v>
      </c>
      <c r="Q20" s="10">
        <v>280</v>
      </c>
      <c r="R20" s="10">
        <v>290</v>
      </c>
      <c r="S20" s="10">
        <v>300</v>
      </c>
    </row>
    <row r="21" spans="1:19">
      <c r="A21" s="3" t="s">
        <v>1</v>
      </c>
      <c r="B21" s="10">
        <f>B20+100</f>
        <v>200</v>
      </c>
      <c r="C21" s="10">
        <f t="shared" ref="C21:N21" si="8">C20+100</f>
        <v>210</v>
      </c>
      <c r="D21" s="10">
        <f t="shared" si="8"/>
        <v>215</v>
      </c>
      <c r="E21" s="10">
        <f t="shared" si="8"/>
        <v>220</v>
      </c>
      <c r="F21" s="10">
        <f t="shared" si="8"/>
        <v>225</v>
      </c>
      <c r="G21" s="10">
        <f t="shared" si="8"/>
        <v>230</v>
      </c>
      <c r="H21" s="10">
        <f t="shared" si="8"/>
        <v>240</v>
      </c>
      <c r="I21" s="10">
        <f t="shared" si="8"/>
        <v>250</v>
      </c>
      <c r="J21" s="10">
        <f t="shared" si="8"/>
        <v>260</v>
      </c>
      <c r="K21" s="10">
        <f t="shared" si="8"/>
        <v>280</v>
      </c>
      <c r="L21" s="10">
        <f t="shared" si="8"/>
        <v>300</v>
      </c>
      <c r="M21" s="10">
        <f t="shared" si="8"/>
        <v>320</v>
      </c>
      <c r="N21" s="10">
        <f t="shared" si="8"/>
        <v>350</v>
      </c>
      <c r="O21" s="10">
        <f t="shared" ref="O21:S21" si="9">O20+100</f>
        <v>360</v>
      </c>
      <c r="P21" s="10">
        <f t="shared" si="9"/>
        <v>370</v>
      </c>
      <c r="Q21" s="10">
        <f t="shared" si="9"/>
        <v>380</v>
      </c>
      <c r="R21" s="10">
        <f t="shared" si="9"/>
        <v>390</v>
      </c>
      <c r="S21" s="10">
        <f t="shared" si="9"/>
        <v>400</v>
      </c>
    </row>
    <row r="22" spans="1:19">
      <c r="A22" s="4" t="s">
        <v>4</v>
      </c>
      <c r="B22" s="16">
        <f>(((B20*0.00314)*'Технический лист'!$G$3)+365+((B21*0.00314)*'Технический лист'!$G$5))*1.95</f>
        <v>2722.5431999999996</v>
      </c>
      <c r="C22" s="16">
        <f>(((C20*0.00314)*'Технический лист'!$G$3)+365+((C21*0.00314)*'Технический лист'!$G$5))*1.95</f>
        <v>2854.0652399999999</v>
      </c>
      <c r="D22" s="16">
        <f>(((D20*0.00314)*'Технический лист'!$G$3)+365+((D21*0.00314)*'Технический лист'!$G$5))*1.95</f>
        <v>2919.8262599999998</v>
      </c>
      <c r="E22" s="16">
        <f>(((E20*0.00314)*'Технический лист'!$G$3)+365+((E21*0.00314)*'Технический лист'!$G$5))*1.95</f>
        <v>2985.5872800000002</v>
      </c>
      <c r="F22" s="16">
        <f>(((F20*0.00314)*'Технический лист'!$G$3)+365+((F21*0.00314)*'Технический лист'!$G$5))*1.95</f>
        <v>3051.3483000000001</v>
      </c>
      <c r="G22" s="16">
        <f>(((G20*0.00314)*'Технический лист'!$G$3)+365+((G21*0.00314)*'Технический лист'!$G$5))*1.95</f>
        <v>3117.10932</v>
      </c>
      <c r="H22" s="16">
        <f>(((H20*0.00314)*'Технический лист'!$G$3)+365+((H21*0.00314)*'Технический лист'!$G$5))*1.95</f>
        <v>3248.6313599999999</v>
      </c>
      <c r="I22" s="16">
        <f>(((I20*0.00314)*'Технический лист'!$G$3)+365+((I21*0.00314)*'Технический лист'!$G$5))*1.95</f>
        <v>3380.1534000000001</v>
      </c>
      <c r="J22" s="16">
        <f>(((J20*0.00314)*'Технический лист'!$G$3)+365+((J21*0.00314)*'Технический лист'!$G$5))*1.95</f>
        <v>3511.6754399999995</v>
      </c>
      <c r="K22" s="16">
        <f>(((K20*0.00314)*'Технический лист'!$G$3)+365+((K21*0.00314)*'Технический лист'!$G$5))*1.95</f>
        <v>3774.7195200000001</v>
      </c>
      <c r="L22" s="16">
        <f>(((L20*0.00314)*'Технический лист'!$G$3)+365+((L21*0.00314)*'Технический лист'!$G$5))*1.95</f>
        <v>4037.7636000000002</v>
      </c>
      <c r="M22" s="16">
        <f>(((M20*0.00314)*'Технический лист'!$G$3)+365+((M21*0.00314)*'Технический лист'!$G$5))*1.95</f>
        <v>4300.8076799999999</v>
      </c>
      <c r="N22" s="16">
        <f>(((N20*0.00314)*'Технический лист'!$G$3)+365+((N21*0.00314)*'Технический лист'!$G$5))*1.95</f>
        <v>4695.3738000000003</v>
      </c>
      <c r="O22" s="16">
        <f>(((O20*0.00314)*'Технический лист'!$G$3)+365+((O21*0.00314)*'Технический лист'!$G$5))*1.95</f>
        <v>4826.895840000001</v>
      </c>
      <c r="P22" s="16">
        <f>(((P20*0.00314)*'Технический лист'!$G$3)+365+((P21*0.00314)*'Технический лист'!$G$5))*1.95</f>
        <v>4958.41788</v>
      </c>
      <c r="Q22" s="16">
        <f>(((Q20*0.00314)*'Технический лист'!$G$3)+365+((Q21*0.00314)*'Технический лист'!$G$5))*1.95</f>
        <v>5089.9399199999998</v>
      </c>
      <c r="R22" s="16">
        <f>(((R20*0.00314)*'Технический лист'!$G$3)+365+((R21*0.00314)*'Технический лист'!$G$5))*1.95</f>
        <v>5221.4619599999996</v>
      </c>
      <c r="S22" s="16">
        <f>(((S20*0.00314)*'Технический лист'!$G$3)+365+((S21*0.00314)*'Технический лист'!$G$5))*1.95</f>
        <v>5352.9839999999995</v>
      </c>
    </row>
    <row r="23" spans="1:19">
      <c r="A23" s="4" t="s">
        <v>3</v>
      </c>
      <c r="B23" s="9">
        <f>((B22/2)*1.07)-10</f>
        <v>1446.560612</v>
      </c>
      <c r="C23" s="9">
        <f t="shared" ref="C23:N23" si="10">((C22/2)*1.07)-10</f>
        <v>1516.9249033999999</v>
      </c>
      <c r="D23" s="9">
        <f t="shared" si="10"/>
        <v>1552.1070491</v>
      </c>
      <c r="E23" s="9">
        <f t="shared" si="10"/>
        <v>1587.2891948000001</v>
      </c>
      <c r="F23" s="9">
        <f t="shared" si="10"/>
        <v>1622.4713405000002</v>
      </c>
      <c r="G23" s="9">
        <f t="shared" si="10"/>
        <v>1657.6534862000001</v>
      </c>
      <c r="H23" s="9">
        <f t="shared" si="10"/>
        <v>1728.0177776</v>
      </c>
      <c r="I23" s="9">
        <f t="shared" si="10"/>
        <v>1798.3820690000002</v>
      </c>
      <c r="J23" s="9">
        <f t="shared" si="10"/>
        <v>1868.7463604</v>
      </c>
      <c r="K23" s="9">
        <f t="shared" si="10"/>
        <v>2009.4749432000001</v>
      </c>
      <c r="L23" s="9">
        <f t="shared" si="10"/>
        <v>2150.2035260000002</v>
      </c>
      <c r="M23" s="9">
        <f t="shared" si="10"/>
        <v>2290.9321088000002</v>
      </c>
      <c r="N23" s="9">
        <f t="shared" si="10"/>
        <v>2502.0249830000002</v>
      </c>
      <c r="O23" s="9">
        <f t="shared" ref="O23:S23" si="11">((O22/2)*1.07)-10</f>
        <v>2572.3892744000009</v>
      </c>
      <c r="P23" s="9">
        <f t="shared" si="11"/>
        <v>2642.7535658000002</v>
      </c>
      <c r="Q23" s="9">
        <f t="shared" si="11"/>
        <v>2713.1178571999999</v>
      </c>
      <c r="R23" s="9">
        <f t="shared" si="11"/>
        <v>2783.4821486000001</v>
      </c>
      <c r="S23" s="9">
        <f t="shared" si="11"/>
        <v>2853.8464399999998</v>
      </c>
    </row>
    <row r="24" spans="1:19">
      <c r="A24" s="4" t="s">
        <v>5</v>
      </c>
      <c r="B24" s="16">
        <f>((((B20*0.00314)*0.5)*'Технический лист'!$I$3)+310+(((B21*0.00314)*0.5)*'Технический лист'!$I$5))*1.96</f>
        <v>2224.3608800000002</v>
      </c>
      <c r="C24" s="16">
        <f>((((C20*0.00314)*0.5)*'Технический лист'!$I$3)+310+(((C21*0.00314)*0.5)*'Технический лист'!$I$5))*1.96</f>
        <v>2331.078176</v>
      </c>
      <c r="D24" s="16">
        <f>((((D20*0.00314)*0.5)*'Технический лист'!$I$3)+310+(((D21*0.00314)*0.5)*'Технический лист'!$I$5))*1.96</f>
        <v>2384.4368239999999</v>
      </c>
      <c r="E24" s="16">
        <f>((((E20*0.00314)*0.5)*'Технический лист'!$I$3)+310+(((E21*0.00314)*0.5)*'Технический лист'!$I$5))*1.96</f>
        <v>2437.7954720000002</v>
      </c>
      <c r="F24" s="16">
        <f>((((F20*0.00314)*0.5)*'Технический лист'!$I$3)+310+(((F21*0.00314)*0.5)*'Технический лист'!$I$5))*1.96</f>
        <v>2491.1541199999997</v>
      </c>
      <c r="G24" s="16">
        <f>((((G20*0.00314)*0.5)*'Технический лист'!$I$3)+310+(((G21*0.00314)*0.5)*'Технический лист'!$I$5))*1.96</f>
        <v>2544.5127680000001</v>
      </c>
      <c r="H24" s="16">
        <f>((((H20*0.00314)*0.5)*'Технический лист'!$I$3)+310+(((H21*0.00314)*0.5)*'Технический лист'!$I$5))*1.96</f>
        <v>2651.2300639999999</v>
      </c>
      <c r="I24" s="16">
        <f>((((I20*0.00314)*0.5)*'Технический лист'!$I$3)+310+(((I21*0.00314)*0.5)*'Технический лист'!$I$5))*1.96</f>
        <v>2757.9473600000001</v>
      </c>
      <c r="J24" s="16">
        <f>((((J20*0.00314)*0.5)*'Технический лист'!$I$3)+310+(((J21*0.00314)*0.5)*'Технический лист'!$I$5))*1.96</f>
        <v>2864.6646559999999</v>
      </c>
      <c r="K24" s="16">
        <f>((((K20*0.00314)*0.5)*'Технический лист'!$I$3)+310+(((K21*0.00314)*0.5)*'Технический лист'!$I$5))*1.96</f>
        <v>3078.0992479999995</v>
      </c>
      <c r="L24" s="16">
        <f>((((L20*0.00314)*0.5)*'Технический лист'!$I$3)+310+(((L21*0.00314)*0.5)*'Технический лист'!$I$5))*1.96</f>
        <v>3291.5338399999996</v>
      </c>
      <c r="M24" s="16">
        <f>((((M20*0.00314)*0.5)*'Технический лист'!$I$3)+310+(((M21*0.00314)*0.5)*'Технический лист'!$I$5))*1.96</f>
        <v>3504.9684319999997</v>
      </c>
      <c r="N24" s="16">
        <f>((((N20*0.00314)*0.5)*'Технический лист'!$I$3)+310+(((N21*0.00314)*0.5)*'Технический лист'!$I$5))*1.96</f>
        <v>3825.12032</v>
      </c>
      <c r="O24" s="16">
        <f>((((O20*0.00314)*0.5)*'Технический лист'!$I$3)+310+(((O21*0.00314)*0.5)*'Технический лист'!$I$5))*1.96</f>
        <v>3931.8376160000003</v>
      </c>
      <c r="P24" s="16">
        <f>((((P20*0.00314)*0.5)*'Технический лист'!$I$3)+310+(((P21*0.00314)*0.5)*'Технический лист'!$I$5))*1.96</f>
        <v>4038.5549120000001</v>
      </c>
      <c r="Q24" s="16">
        <f>((((Q20*0.00314)*0.5)*'Технический лист'!$I$3)+310+(((Q21*0.00314)*0.5)*'Технический лист'!$I$5))*1.96</f>
        <v>4145.2722080000003</v>
      </c>
      <c r="R24" s="16">
        <f>((((R20*0.00314)*0.5)*'Технический лист'!$I$3)+310+(((R21*0.00314)*0.5)*'Технический лист'!$I$5))*1.96</f>
        <v>4251.9895040000001</v>
      </c>
      <c r="S24" s="16">
        <f>((((S20*0.00314)*0.5)*'Технический лист'!$I$3)+310+(((S21*0.00314)*0.5)*'Технический лист'!$I$5))*1.96</f>
        <v>4358.7067999999999</v>
      </c>
    </row>
    <row r="25" spans="1:19">
      <c r="A25" s="4" t="s">
        <v>96</v>
      </c>
      <c r="B25" s="9">
        <f>((B24*2)/3)-6</f>
        <v>1476.9072533333335</v>
      </c>
      <c r="C25" s="9">
        <f t="shared" ref="C25:N25" si="12">((C24*2)/3)-6</f>
        <v>1548.0521173333334</v>
      </c>
      <c r="D25" s="9">
        <f t="shared" si="12"/>
        <v>1583.6245493333333</v>
      </c>
      <c r="E25" s="9">
        <f t="shared" si="12"/>
        <v>1619.1969813333335</v>
      </c>
      <c r="F25" s="9">
        <f t="shared" si="12"/>
        <v>1654.7694133333332</v>
      </c>
      <c r="G25" s="9">
        <f t="shared" si="12"/>
        <v>1690.3418453333334</v>
      </c>
      <c r="H25" s="9">
        <f t="shared" si="12"/>
        <v>1761.4867093333332</v>
      </c>
      <c r="I25" s="9">
        <f t="shared" si="12"/>
        <v>1832.6315733333333</v>
      </c>
      <c r="J25" s="9">
        <f t="shared" si="12"/>
        <v>1903.7764373333332</v>
      </c>
      <c r="K25" s="9">
        <f t="shared" si="12"/>
        <v>2046.0661653333332</v>
      </c>
      <c r="L25" s="9">
        <f t="shared" si="12"/>
        <v>2188.3558933333329</v>
      </c>
      <c r="M25" s="9">
        <f t="shared" si="12"/>
        <v>2330.6456213333331</v>
      </c>
      <c r="N25" s="9">
        <f t="shared" si="12"/>
        <v>2544.0802133333332</v>
      </c>
      <c r="O25" s="9">
        <f t="shared" ref="O25:S25" si="13">((O24*2)/3)-6</f>
        <v>2615.2250773333335</v>
      </c>
      <c r="P25" s="9">
        <f t="shared" si="13"/>
        <v>2686.3699413333334</v>
      </c>
      <c r="Q25" s="9">
        <f t="shared" si="13"/>
        <v>2757.5148053333337</v>
      </c>
      <c r="R25" s="9">
        <f t="shared" si="13"/>
        <v>2828.6596693333336</v>
      </c>
      <c r="S25" s="9">
        <f t="shared" si="13"/>
        <v>2899.8045333333334</v>
      </c>
    </row>
    <row r="26" spans="1:19">
      <c r="A26" s="4" t="s">
        <v>6</v>
      </c>
      <c r="B26" s="16">
        <f>((((B20*0.00314)*0.22)*'Технический лист'!$M$3)+100+(((B21*0.00314)*0.21)*'Технический лист'!$O$5)+(((B20+30)*(B20+30)/1000000)*'Технический лист'!$E$18))*1.96</f>
        <v>1109.0601984</v>
      </c>
      <c r="C26" s="16">
        <f>((((C20*0.00314)*0.22)*'Технический лист'!$M$3)+100+(((C21*0.00314)*0.21)*'Технический лист'!$O$5)+(((C20+30)*(C20+30)/1000000)*'Технический лист'!$E$18))*1.96</f>
        <v>1180.6456704</v>
      </c>
      <c r="D26" s="16">
        <f>((((D20*0.00314)*0.22)*'Технический лист'!$M$3)+100+(((D21*0.00314)*0.21)*'Технический лист'!$O$5)+(((D20+30)*(D20+30)/1000000)*'Технический лист'!$E$18))*1.96</f>
        <v>1216.9088064</v>
      </c>
      <c r="E26" s="16">
        <f>((((E20*0.00314)*0.22)*'Технический лист'!$M$3)+100+(((E21*0.00314)*0.21)*'Технический лист'!$O$5)+(((E20+30)*(E20+30)/1000000)*'Технический лист'!$E$18))*1.96</f>
        <v>1253.4855423999998</v>
      </c>
      <c r="F26" s="16">
        <f>((((F20*0.00314)*0.22)*'Технический лист'!$M$3)+100+(((F21*0.00314)*0.21)*'Технический лист'!$O$5)+(((F20+30)*(F20+30)/1000000)*'Технический лист'!$E$18))*1.96</f>
        <v>1290.3758784000001</v>
      </c>
      <c r="G26" s="16">
        <f>((((G20*0.00314)*0.22)*'Технический лист'!$M$3)+100+(((G21*0.00314)*0.21)*'Технический лист'!$O$5)+(((G20+30)*(G20+30)/1000000)*'Технический лист'!$E$18))*1.96</f>
        <v>1327.5798144</v>
      </c>
      <c r="H26" s="16">
        <f>((((H20*0.00314)*0.22)*'Технический лист'!$M$3)+100+(((H21*0.00314)*0.21)*'Технический лист'!$O$5)+(((H20+30)*(H20+30)/1000000)*'Технический лист'!$E$18))*1.96</f>
        <v>1402.9284864000001</v>
      </c>
      <c r="I26" s="16">
        <f>((((I20*0.00314)*0.22)*'Технический лист'!$M$3)+100+(((I21*0.00314)*0.21)*'Технический лист'!$O$5)+(((I20+30)*(I20+30)/1000000)*'Технический лист'!$E$18))*1.96</f>
        <v>1479.5315583999998</v>
      </c>
      <c r="J26" s="16">
        <f>((((J20*0.00314)*0.22)*'Технический лист'!$M$3)+100+(((J21*0.00314)*0.21)*'Технический лист'!$O$5)+(((J20+30)*(J20+30)/1000000)*'Технический лист'!$E$18))*1.96</f>
        <v>1557.3890303999997</v>
      </c>
      <c r="K26" s="16">
        <f>((((K20*0.00314)*0.22)*'Технический лист'!$M$3)+100+(((K21*0.00314)*0.21)*'Технический лист'!$O$5)+(((K20+30)*(K20+30)/1000000)*'Технический лист'!$E$18))*1.96</f>
        <v>1716.8671743999998</v>
      </c>
      <c r="L26" s="16">
        <f>((((L20*0.00314)*0.22)*'Технический лист'!$M$3)+100+(((L21*0.00314)*0.21)*'Технический лист'!$O$5)+(((L20+30)*(L20+30)/1000000)*'Технический лист'!$E$18))*1.96</f>
        <v>1881.3629183999999</v>
      </c>
      <c r="M26" s="16">
        <f>((((M20*0.00314)*0.22)*'Технический лист'!$M$3)+100+(((M21*0.00314)*0.21)*'Технический лист'!$O$5)+(((M20+30)*(M20+30)/1000000)*'Технический лист'!$E$18))*1.96</f>
        <v>2050.8762624000001</v>
      </c>
      <c r="N26" s="16">
        <f>((((N20*0.00314)*0.22)*'Технический лист'!$M$3)+100+(((N21*0.00314)*0.21)*'Технический лист'!$O$5)+(((N20+30)*(N20+30)/1000000)*'Технический лист'!$E$18))*1.96</f>
        <v>2314.5542783999999</v>
      </c>
      <c r="O26" s="16">
        <f>((((O20*0.00314)*0.22)*'Технический лист'!$M$3)+100+(((O21*0.00314)*0.21)*'Технический лист'!$O$5)+(((O20+30)*(O20+30)/1000000)*'Технический лист'!$E$18))*1.96</f>
        <v>2404.9557503999999</v>
      </c>
      <c r="P26" s="16">
        <f>((((P20*0.00314)*0.22)*'Технический лист'!$M$3)+100+(((P21*0.00314)*0.21)*'Технический лист'!$O$5)+(((P20+30)*(P20+30)/1000000)*'Технический лист'!$E$18))*1.96</f>
        <v>2496.6116223999998</v>
      </c>
      <c r="Q26" s="16">
        <f>((((Q20*0.00314)*0.22)*'Технический лист'!$M$3)+100+(((Q21*0.00314)*0.21)*'Технический лист'!$O$5)+(((Q20+30)*(Q20+30)/1000000)*'Технический лист'!$E$18))*1.96</f>
        <v>2589.5218943999998</v>
      </c>
      <c r="R26" s="16">
        <f>((((R20*0.00314)*0.22)*'Технический лист'!$M$3)+100+(((R21*0.00314)*0.21)*'Технический лист'!$O$5)+(((R20+30)*(R20+30)/1000000)*'Технический лист'!$E$18))*1.96</f>
        <v>2683.6865663999997</v>
      </c>
      <c r="S26" s="16">
        <f>((((S20*0.00314)*0.22)*'Технический лист'!$M$3)+100+(((S21*0.00314)*0.21)*'Технический лист'!$O$5)+(((S20+30)*(S20+30)/1000000)*'Технический лист'!$E$18))*1.96</f>
        <v>2779.1056383999999</v>
      </c>
    </row>
    <row r="27" spans="1:19">
      <c r="A27" s="4" t="s">
        <v>7</v>
      </c>
      <c r="B27" s="9">
        <f>(B26*2.2)+24</f>
        <v>2463.93243648</v>
      </c>
      <c r="C27" s="9">
        <f t="shared" ref="C27:N27" si="14">(C26*2.2)+24</f>
        <v>2621.4204748800003</v>
      </c>
      <c r="D27" s="9">
        <f t="shared" si="14"/>
        <v>2701.1993740800003</v>
      </c>
      <c r="E27" s="9">
        <f t="shared" si="14"/>
        <v>2781.6681932799997</v>
      </c>
      <c r="F27" s="9">
        <f t="shared" si="14"/>
        <v>2862.8269324800008</v>
      </c>
      <c r="G27" s="9">
        <f t="shared" si="14"/>
        <v>2944.6755916800003</v>
      </c>
      <c r="H27" s="9">
        <f t="shared" si="14"/>
        <v>3110.4426700800004</v>
      </c>
      <c r="I27" s="9">
        <f t="shared" si="14"/>
        <v>3278.9694284799998</v>
      </c>
      <c r="J27" s="9">
        <f t="shared" si="14"/>
        <v>3450.2558668799998</v>
      </c>
      <c r="K27" s="9">
        <f t="shared" si="14"/>
        <v>3801.10778368</v>
      </c>
      <c r="L27" s="9">
        <f t="shared" si="14"/>
        <v>4162.9984204800003</v>
      </c>
      <c r="M27" s="9">
        <f t="shared" si="14"/>
        <v>4535.9277772800006</v>
      </c>
      <c r="N27" s="9">
        <f t="shared" si="14"/>
        <v>5116.01941248</v>
      </c>
      <c r="O27" s="9">
        <f t="shared" ref="O27:S27" si="15">(O26*2.2)+24</f>
        <v>5314.9026508800007</v>
      </c>
      <c r="P27" s="9">
        <f t="shared" si="15"/>
        <v>5516.5455692799997</v>
      </c>
      <c r="Q27" s="9">
        <f t="shared" si="15"/>
        <v>5720.9481676800006</v>
      </c>
      <c r="R27" s="9">
        <f t="shared" si="15"/>
        <v>5928.1104460799997</v>
      </c>
      <c r="S27" s="9">
        <f t="shared" si="15"/>
        <v>6138.03240448</v>
      </c>
    </row>
    <row r="28" spans="1:19">
      <c r="A28" s="4" t="s">
        <v>8</v>
      </c>
      <c r="B28" s="16">
        <f>((((B20*0.00314)*0.2)*'Технический лист'!$M$3)+50+(((B21*0.00314)*0.22)*'Технический лист'!$O$5))*1.96</f>
        <v>903.88175360000002</v>
      </c>
      <c r="C28" s="16">
        <f>((((C20*0.00314)*0.2)*'Технический лист'!$M$3)+50+(((C21*0.00314)*0.22)*'Технический лист'!$O$5))*1.96</f>
        <v>957.17393408000009</v>
      </c>
      <c r="D28" s="16">
        <f>((((D20*0.00314)*0.2)*'Технический лист'!$M$3)+50+(((D21*0.00314)*0.22)*'Технический лист'!$O$5))*1.96</f>
        <v>983.82002432000002</v>
      </c>
      <c r="E28" s="16">
        <f>((((E20*0.00314)*0.2)*'Технический лист'!$M$3)+50+(((E21*0.00314)*0.22)*'Технический лист'!$O$5))*1.96</f>
        <v>1010.4661145600001</v>
      </c>
      <c r="F28" s="16">
        <f>((((F20*0.00314)*0.2)*'Технический лист'!$M$3)+50+(((F21*0.00314)*0.22)*'Технический лист'!$O$5))*1.96</f>
        <v>1037.1122048</v>
      </c>
      <c r="G28" s="16">
        <f>((((G20*0.00314)*0.2)*'Технический лист'!$M$3)+50+(((G21*0.00314)*0.22)*'Технический лист'!$O$5))*1.96</f>
        <v>1063.7582950400001</v>
      </c>
      <c r="H28" s="16">
        <f>((((H20*0.00314)*0.2)*'Технический лист'!$M$3)+50+(((H21*0.00314)*0.22)*'Технический лист'!$O$5))*1.96</f>
        <v>1117.05047552</v>
      </c>
      <c r="I28" s="16">
        <f>((((I20*0.00314)*0.2)*'Технический лист'!$M$3)+50+(((I21*0.00314)*0.22)*'Технический лист'!$O$5))*1.96</f>
        <v>1170.342656</v>
      </c>
      <c r="J28" s="16">
        <f>((((J20*0.00314)*0.2)*'Технический лист'!$M$3)+50+(((J21*0.00314)*0.22)*'Технический лист'!$O$5))*1.96</f>
        <v>1223.6348364800001</v>
      </c>
      <c r="K28" s="16">
        <f>((((K20*0.00314)*0.2)*'Технический лист'!$M$3)+50+(((K21*0.00314)*0.22)*'Технический лист'!$O$5))*1.96</f>
        <v>1330.21919744</v>
      </c>
      <c r="L28" s="16">
        <f>((((L20*0.00314)*0.2)*'Технический лист'!$M$3)+50+(((L21*0.00314)*0.22)*'Технический лист'!$O$5))*1.96</f>
        <v>1436.8035583999999</v>
      </c>
      <c r="M28" s="16">
        <f>((((M20*0.00314)*0.2)*'Технический лист'!$M$3)+50+(((M21*0.00314)*0.22)*'Технический лист'!$O$5))*1.96</f>
        <v>1543.3879193600001</v>
      </c>
      <c r="N28" s="16">
        <f>((((N20*0.00314)*0.2)*'Технический лист'!$M$3)+50+(((N21*0.00314)*0.22)*'Технический лист'!$O$5))*1.96</f>
        <v>1703.2644608000001</v>
      </c>
      <c r="O28" s="16">
        <f>((((O20*0.00314)*0.2)*'Технический лист'!$M$3)+50+(((O21*0.00314)*0.22)*'Технический лист'!$O$5))*1.96</f>
        <v>1756.5566412800001</v>
      </c>
      <c r="P28" s="16">
        <f>((((P20*0.00314)*0.2)*'Технический лист'!$M$3)+50+(((P21*0.00314)*0.22)*'Технический лист'!$O$5))*1.96</f>
        <v>1809.84882176</v>
      </c>
      <c r="Q28" s="16">
        <f>((((Q20*0.00314)*0.2)*'Технический лист'!$M$3)+50+(((Q21*0.00314)*0.22)*'Технический лист'!$O$5))*1.96</f>
        <v>1863.1410022399998</v>
      </c>
      <c r="R28" s="16">
        <f>((((R20*0.00314)*0.2)*'Технический лист'!$M$3)+50+(((R21*0.00314)*0.22)*'Технический лист'!$O$5))*1.96</f>
        <v>1916.4331827200001</v>
      </c>
      <c r="S28" s="16">
        <f>((((S20*0.00314)*0.2)*'Технический лист'!$M$3)+50+(((S21*0.00314)*0.22)*'Технический лист'!$O$5))*1.96</f>
        <v>1969.7253632000002</v>
      </c>
    </row>
    <row r="29" spans="1:19">
      <c r="A29" s="4" t="s">
        <v>9</v>
      </c>
      <c r="B29" s="9">
        <f>((((B20*0.00314)*((B20+545)/1000))*'Технический лист'!$K$3)+370+((B21*0.00314)*((B21+450)/1000))*'Технический лист'!$K$5)*1.96</f>
        <v>3037.2788375999999</v>
      </c>
      <c r="C29" s="9">
        <f>((((C20*0.00314)*((C20+545)/1000))*'Технический лист'!$K$3)+370+((C21*0.00314)*((C21+450)/1000))*'Технический лист'!$K$5)*1.96</f>
        <v>3227.8541416799999</v>
      </c>
      <c r="D29" s="9">
        <f>((((D20*0.00314)*((D20+545)/1000))*'Технический лист'!$K$3)+370+((D21*0.00314)*((D21+450)/1000))*'Технический лист'!$K$5)*1.96</f>
        <v>3324.9087219599996</v>
      </c>
      <c r="E29" s="9">
        <f>((((E20*0.00314)*((E20+545)/1000))*'Технический лист'!$K$3)+370+((E21*0.00314)*((E21+450)/1000))*'Технический лист'!$K$5)*1.96</f>
        <v>3423.1412544000004</v>
      </c>
      <c r="F29" s="9">
        <f>((((F20*0.00314)*((F20+545)/1000))*'Технический лист'!$K$3)+370+((F21*0.00314)*((F21+450)/1000))*'Технический лист'!$K$5)*1.96</f>
        <v>3522.551739</v>
      </c>
      <c r="G29" s="9">
        <f>((((G20*0.00314)*((G20+545)/1000))*'Технический лист'!$K$3)+370+((G21*0.00314)*((G21+450)/1000))*'Технический лист'!$K$5)*1.96</f>
        <v>3623.1401757600001</v>
      </c>
      <c r="H29" s="9">
        <f>((((H20*0.00314)*((H20+545)/1000))*'Технический лист'!$K$3)+370+((H21*0.00314)*((H21+450)/1000))*'Технический лист'!$K$5)*1.96</f>
        <v>3827.8509057599999</v>
      </c>
      <c r="I29" s="9">
        <f>((((I20*0.00314)*((I20+545)/1000))*'Технический лист'!$K$3)+370+((I21*0.00314)*((I21+450)/1000))*'Технический лист'!$K$5)*1.96</f>
        <v>4037.2734443999993</v>
      </c>
      <c r="J29" s="9">
        <f>((((J20*0.00314)*((J20+545)/1000))*'Технический лист'!$K$3)+370+((J21*0.00314)*((J21+450)/1000))*'Технический лист'!$K$5)*1.96</f>
        <v>4251.4077916799988</v>
      </c>
      <c r="K29" s="9">
        <f>((((K20*0.00314)*((K20+545)/1000))*'Технический лист'!$K$3)+370+((K21*0.00314)*((K21+450)/1000))*'Технический лист'!$K$5)*1.96</f>
        <v>4693.8119121600002</v>
      </c>
      <c r="L29" s="9">
        <f>((((L20*0.00314)*((L20+545)/1000))*'Технический лист'!$K$3)+370+((L21*0.00314)*((L21+450)/1000))*'Технический лист'!$K$5)*1.96</f>
        <v>5155.0632671999992</v>
      </c>
      <c r="M29" s="9">
        <f>((((M20*0.00314)*((M20+545)/1000))*'Технический лист'!$K$3)+370+((M21*0.00314)*((M21+450)/1000))*'Технический лист'!$K$5)*1.96</f>
        <v>5635.1618567999994</v>
      </c>
      <c r="N29" s="9">
        <f>((((N20*0.00314)*((N20+545)/1000))*'Технический лист'!$K$3)+370+((N21*0.00314)*((N21+450)/1000))*'Технический лист'!$K$5)*1.96</f>
        <v>6390.648306</v>
      </c>
      <c r="O29" s="9">
        <f>((((O20*0.00314)*((O20+545)/1000))*'Технический лист'!$K$3)+370+((O21*0.00314)*((O21+450)/1000))*'Технический лист'!$K$5)*1.96</f>
        <v>6651.9007396800007</v>
      </c>
      <c r="P29" s="9">
        <f>((((P20*0.00314)*((P20+545)/1000))*'Технический лист'!$K$3)+370+((P21*0.00314)*((P21+450)/1000))*'Технический лист'!$K$5)*1.96</f>
        <v>6917.8649819999991</v>
      </c>
      <c r="Q29" s="9">
        <f>((((Q20*0.00314)*((Q20+545)/1000))*'Технический лист'!$K$3)+370+((Q21*0.00314)*((Q21+450)/1000))*'Технический лист'!$K$5)*1.96</f>
        <v>7188.541032959999</v>
      </c>
      <c r="R29" s="9">
        <f>((((R20*0.00314)*((R20+545)/1000))*'Технический лист'!$K$3)+370+((R21*0.00314)*((R21+450)/1000))*'Технический лист'!$K$5)*1.96</f>
        <v>7463.9288925599985</v>
      </c>
      <c r="S29" s="9">
        <f>((((S20*0.00314)*((S20+545)/1000))*'Технический лист'!$K$3)+370+((S21*0.00314)*((S21+450)/1000))*'Технический лист'!$K$5)*1.96</f>
        <v>7744.0285607999986</v>
      </c>
    </row>
    <row r="30" spans="1:19" hidden="1">
      <c r="A30" s="4" t="s">
        <v>8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>
      <c r="A31" s="4" t="s">
        <v>119</v>
      </c>
      <c r="B31" s="16">
        <v>2100</v>
      </c>
      <c r="C31" s="16">
        <v>2100</v>
      </c>
      <c r="D31" s="16">
        <v>2100</v>
      </c>
      <c r="E31" s="16">
        <v>2100</v>
      </c>
      <c r="F31" s="16">
        <v>2100</v>
      </c>
      <c r="G31" s="16">
        <v>2100</v>
      </c>
      <c r="H31" s="16">
        <v>2100</v>
      </c>
      <c r="I31" s="16">
        <v>2100</v>
      </c>
      <c r="J31" s="16">
        <v>2100</v>
      </c>
      <c r="K31" s="16">
        <v>2100</v>
      </c>
      <c r="L31" s="16">
        <v>2100</v>
      </c>
      <c r="M31" s="16">
        <v>2100</v>
      </c>
      <c r="N31" s="16">
        <v>2100</v>
      </c>
      <c r="O31" s="16">
        <v>2100</v>
      </c>
      <c r="P31" s="16">
        <v>2100</v>
      </c>
      <c r="Q31" s="16">
        <v>2100</v>
      </c>
      <c r="R31" s="16">
        <v>2100</v>
      </c>
      <c r="S31" s="16">
        <v>2100</v>
      </c>
    </row>
  </sheetData>
  <mergeCells count="6">
    <mergeCell ref="A19:N19"/>
    <mergeCell ref="A1:C1"/>
    <mergeCell ref="D1:O1"/>
    <mergeCell ref="D2:O2"/>
    <mergeCell ref="D3:O3"/>
    <mergeCell ref="A5:O5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18</vt:i4>
      </vt:variant>
    </vt:vector>
  </HeadingPairs>
  <TitlesOfParts>
    <vt:vector size="45" baseType="lpstr">
      <vt:lpstr>Оглавление</vt:lpstr>
      <vt:lpstr>Сэндвич (430 0,5)</vt:lpstr>
      <vt:lpstr>Технический лист</vt:lpstr>
      <vt:lpstr>Сэндвич (430 0,8)</vt:lpstr>
      <vt:lpstr>Сэндвич 304 (0,5)</vt:lpstr>
      <vt:lpstr>Сэндвич 304 (0,8)</vt:lpstr>
      <vt:lpstr>Сэндвич 321 (0,5)</vt:lpstr>
      <vt:lpstr>Сэндвич 321 (0,8)</vt:lpstr>
      <vt:lpstr>Сэндвич 430 (0,5)50</vt:lpstr>
      <vt:lpstr>Сэндвич 430 (0,8)50</vt:lpstr>
      <vt:lpstr>Сэндвич 304 (0,5)50</vt:lpstr>
      <vt:lpstr>Сэндвич 304 (0,8)50</vt:lpstr>
      <vt:lpstr>Сэндвич 321 (0,5)50</vt:lpstr>
      <vt:lpstr>Сэндвич 321 (0,8)50</vt:lpstr>
      <vt:lpstr>Сэндвич оц (0,5)35</vt:lpstr>
      <vt:lpstr>Моно 430 (0,5-0,8)</vt:lpstr>
      <vt:lpstr>Моно 304 (0,5-0,8)</vt:lpstr>
      <vt:lpstr>Моно 321 (0,5-0,8)</vt:lpstr>
      <vt:lpstr>Моно оц (0,5-0,7)</vt:lpstr>
      <vt:lpstr>Моно 430 (1-1,5)</vt:lpstr>
      <vt:lpstr>Моно 304 (1-1,5)</vt:lpstr>
      <vt:lpstr>Моно 321 (1-1,5)</vt:lpstr>
      <vt:lpstr>Сэндвич оц (0,5)50</vt:lpstr>
      <vt:lpstr>Сэндвич 321 (1)50</vt:lpstr>
      <vt:lpstr>Сэндвич 304 (1)50</vt:lpstr>
      <vt:lpstr>Сэндвич 321 (1)35</vt:lpstr>
      <vt:lpstr>Сэндвич 304 (1)35</vt:lpstr>
      <vt:lpstr>'Моно 304 (0,5-0,8)'!Область_печати</vt:lpstr>
      <vt:lpstr>'Моно 321 (0,5-0,8)'!Область_печати</vt:lpstr>
      <vt:lpstr>'Моно 430 (0,5-0,8)'!Область_печати</vt:lpstr>
      <vt:lpstr>'Моно оц (0,5-0,7)'!Область_печати</vt:lpstr>
      <vt:lpstr>'Сэндвич (430 0,5)'!Область_печати</vt:lpstr>
      <vt:lpstr>'Сэндвич (430 0,8)'!Область_печати</vt:lpstr>
      <vt:lpstr>'Сэндвич 304 (0,5)'!Область_печати</vt:lpstr>
      <vt:lpstr>'Сэндвич 304 (0,5)50'!Область_печати</vt:lpstr>
      <vt:lpstr>'Сэндвич 304 (0,8)'!Область_печати</vt:lpstr>
      <vt:lpstr>'Сэндвич 304 (0,8)50'!Область_печати</vt:lpstr>
      <vt:lpstr>'Сэндвич 321 (0,5)'!Область_печати</vt:lpstr>
      <vt:lpstr>'Сэндвич 321 (0,5)50'!Область_печати</vt:lpstr>
      <vt:lpstr>'Сэндвич 321 (0,8)'!Область_печати</vt:lpstr>
      <vt:lpstr>'Сэндвич 321 (0,8)50'!Область_печати</vt:lpstr>
      <vt:lpstr>'Сэндвич 430 (0,5)50'!Область_печати</vt:lpstr>
      <vt:lpstr>'Сэндвич 430 (0,8)50'!Область_печати</vt:lpstr>
      <vt:lpstr>'Сэндвич оц (0,5)35'!Область_печати</vt:lpstr>
      <vt:lpstr>Сендвич_дымоходы___________оц_0_5_оцинк_0_5_____________оц_0_5_430_0_5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2020-12-25T14:36:04Z</dcterms:modified>
</cp:coreProperties>
</file>