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60" windowWidth="19440" windowHeight="11700" firstSheet="12" activeTab="17"/>
  </bookViews>
  <sheets>
    <sheet name="Оглавление" sheetId="8" r:id="rId1"/>
    <sheet name="Сэндвич (430 0,5)" sheetId="1" r:id="rId2"/>
    <sheet name="Технический лист" sheetId="9" r:id="rId3"/>
    <sheet name="Сэндвич (430 0,8)" sheetId="2" r:id="rId4"/>
    <sheet name="Сэндвич 304 (0,5)" sheetId="3" r:id="rId5"/>
    <sheet name="Сэндвич 304 (0,8)" sheetId="4" r:id="rId6"/>
    <sheet name="Сэндвич 321 (0,5)" sheetId="5" r:id="rId7"/>
    <sheet name="Сэндвич 321 (0,8)" sheetId="6" r:id="rId8"/>
    <sheet name="Сэндвич 430 (0,5)50" sheetId="14" r:id="rId9"/>
    <sheet name="Сэндвич 430 (0,8)50" sheetId="15" r:id="rId10"/>
    <sheet name="Сэндвич 304 (0,5)50" sheetId="16" r:id="rId11"/>
    <sheet name="Сэндвич 304 (0,8)50" sheetId="17" r:id="rId12"/>
    <sheet name="Сэндвич 321 (0,5)50" sheetId="18" r:id="rId13"/>
    <sheet name="Сэндвич 321 (0,8)50" sheetId="19" r:id="rId14"/>
    <sheet name="Сэндвич оц (0,5)35" sheetId="7" r:id="rId15"/>
    <sheet name="Моно 430 (0,5-0,8)" sheetId="11" r:id="rId16"/>
    <sheet name="Моно 304 (0,5-0,8)" sheetId="10" r:id="rId17"/>
    <sheet name="Моно 321 (0,5-0,8)" sheetId="12" r:id="rId18"/>
    <sheet name="Моно оц (0,5-0,7)" sheetId="13" r:id="rId19"/>
    <sheet name="Моно 430 (1-1,5)" sheetId="24" r:id="rId20"/>
    <sheet name="Моно 304 (1-1,5)" sheetId="27" r:id="rId21"/>
    <sheet name="Моно 321 (1-1,5)" sheetId="28" r:id="rId22"/>
    <sheet name="Сэндвич оц (0,5)50" sheetId="31" r:id="rId23"/>
    <sheet name="Сэндвич 321 (1)50" sheetId="32" r:id="rId24"/>
    <sheet name="Сэндвич 304 (1)50" sheetId="33" r:id="rId25"/>
    <sheet name="Сэндвич 321 (1)35" sheetId="34" r:id="rId26"/>
    <sheet name="Сэндвич 304 (1)35" sheetId="35" r:id="rId27"/>
  </sheets>
  <definedNames>
    <definedName name="_xlnm.Print_Area" localSheetId="16">'Моно 304 (0,5-0,8)'!$A$1:$P$42</definedName>
    <definedName name="_xlnm.Print_Area" localSheetId="17">'Моно 321 (0,5-0,8)'!$A$1:$P$40</definedName>
    <definedName name="_xlnm.Print_Area" localSheetId="15">'Моно 430 (0,5-0,8)'!$A$1:$P$46</definedName>
    <definedName name="_xlnm.Print_Area" localSheetId="18">'Моно оц (0,5-0,7)'!$A$1:$P$43</definedName>
    <definedName name="_xlnm.Print_Area" localSheetId="1">'Сэндвич (430 0,5)'!$A$1:$P$36</definedName>
    <definedName name="_xlnm.Print_Area" localSheetId="3">'Сэндвич (430 0,8)'!$A$1:$P$37</definedName>
    <definedName name="_xlnm.Print_Area" localSheetId="4">'Сэндвич 304 (0,5)'!$A$1:$P$37</definedName>
    <definedName name="_xlnm.Print_Area" localSheetId="10">'Сэндвич 304 (0,5)50'!$A$1:$P$37</definedName>
    <definedName name="_xlnm.Print_Area" localSheetId="5">'Сэндвич 304 (0,8)'!$A$1:$P$36</definedName>
    <definedName name="_xlnm.Print_Area" localSheetId="11">'Сэндвич 304 (0,8)50'!$A$1:$P$37</definedName>
    <definedName name="_xlnm.Print_Area" localSheetId="6">'Сэндвич 321 (0,5)'!$A$1:$P$37</definedName>
    <definedName name="_xlnm.Print_Area" localSheetId="12">'Сэндвич 321 (0,5)50'!$A$1:$P$36</definedName>
    <definedName name="_xlnm.Print_Area" localSheetId="7">'Сэндвич 321 (0,8)'!$A$1:$P$37</definedName>
    <definedName name="_xlnm.Print_Area" localSheetId="13">'Сэндвич 321 (0,8)50'!$A$1:$P$37</definedName>
    <definedName name="_xlnm.Print_Area" localSheetId="8">'Сэндвич 430 (0,5)50'!$A$1:$P$37</definedName>
    <definedName name="_xlnm.Print_Area" localSheetId="9">'Сэндвич 430 (0,8)50'!$A$1:$P$36</definedName>
    <definedName name="_xlnm.Print_Area" localSheetId="14">'Сэндвич оц (0,5)35'!$A$1:$P$36</definedName>
    <definedName name="Сендвич_дымоходы___________оц_0_5_оцинк_0_5_____________оц_0_5_430_0_5">'Оглавление'!$W$20</definedName>
  </definedNames>
  <calcPr calcId="124519" refMode="R1C1"/>
</workbook>
</file>

<file path=xl/sharedStrings.xml><?xml version="1.0" encoding="utf-8"?>
<sst xmlns="http://schemas.openxmlformats.org/spreadsheetml/2006/main" count="875" uniqueCount="140">
  <si>
    <t>Внутренний диаметр</t>
  </si>
  <si>
    <t>Наружний диаметр</t>
  </si>
  <si>
    <t>Прайс лист на сэндвич дымоходы (430 0,5/оцинк 0,5) изоляция Rockwool 35мм, раструбное соединение.</t>
  </si>
  <si>
    <t>Сэндвич труба 500мм</t>
  </si>
  <si>
    <t>Сэндвич труба 1000 мм</t>
  </si>
  <si>
    <t>Сэндвич отвод 90</t>
  </si>
  <si>
    <t>Оголовок зонт</t>
  </si>
  <si>
    <t>Оголовок дефлектор</t>
  </si>
  <si>
    <t>Переход моно-термо</t>
  </si>
  <si>
    <t>Сэндвич тройник 90</t>
  </si>
  <si>
    <t>Прайс лист на сэндвич дымоходы (430 0,5/430 0,5) изоляция Rockwool 35мм, раструбное соединение.</t>
  </si>
  <si>
    <t xml:space="preserve">Входные цены </t>
  </si>
  <si>
    <t>Лист 430 мат 1х2х0,5</t>
  </si>
  <si>
    <t>Лист 430 мат 1х2х0,8</t>
  </si>
  <si>
    <t>Лист 430 зер 1х2х0,8</t>
  </si>
  <si>
    <t>Лист 430 зер 1х2х0,5</t>
  </si>
  <si>
    <t>Лист 304 мат 1х2х0,5</t>
  </si>
  <si>
    <t>Лист 304 мат 1х2х0,8</t>
  </si>
  <si>
    <t>Лист 321 мат 1х2х0,5</t>
  </si>
  <si>
    <t>Лист 321 мат 1х2х0,8</t>
  </si>
  <si>
    <t>Цена за т</t>
  </si>
  <si>
    <t>кол-во листов</t>
  </si>
  <si>
    <t>цена за лист</t>
  </si>
  <si>
    <t>Найменование</t>
  </si>
  <si>
    <t>Цена за м2</t>
  </si>
  <si>
    <t>Труба м2</t>
  </si>
  <si>
    <t>Цена труба</t>
  </si>
  <si>
    <t>Отвод м2</t>
  </si>
  <si>
    <t>Цена отвода</t>
  </si>
  <si>
    <t xml:space="preserve"> тройника м2</t>
  </si>
  <si>
    <t>цена тройн</t>
  </si>
  <si>
    <t>патрубок м2</t>
  </si>
  <si>
    <t>цена патр</t>
  </si>
  <si>
    <t>Оцинковка 0,5</t>
  </si>
  <si>
    <t>м2 конуса</t>
  </si>
  <si>
    <t>цена конуса</t>
  </si>
  <si>
    <t>м2 хомута</t>
  </si>
  <si>
    <t>Роквол</t>
  </si>
  <si>
    <t>Еврофасад</t>
  </si>
  <si>
    <t>оц</t>
  </si>
  <si>
    <t>Зонты</t>
  </si>
  <si>
    <t>Прайс лист на сэндвич дымоходы (430 0,8/оцинк 0,5) изоляция Rockwool 35мм, раструбное соединение.</t>
  </si>
  <si>
    <t>Прайс лист на сэндвич дымоходы (430 0,8/430 0,5) изоляция Rockwool 35мм, раструбное соединение.</t>
  </si>
  <si>
    <t>Прайс лист на сэндвич дымоходы (304 0,5/оцинк 0,5) изоляция Rockwool 35мм, раструбное соединение.</t>
  </si>
  <si>
    <t>Прайс лист на сэндвич дымоходы (304 0,5/430 0,5) изоляция Rockwool 35мм, раструбное соединение.</t>
  </si>
  <si>
    <t>Прайс лист на сэндвич дымоходы (304 0,8/оцинк 0,5) изоляция Rockwool 35мм, раструбное соединение.</t>
  </si>
  <si>
    <t>Прайс лист на сэндвич дымоходы (304 0,8/430 0,5) изоляция Rockwool 35мм, раструбное соединение.</t>
  </si>
  <si>
    <t>Прайс лист на сэндвич дымоходы (321 0,5/оцинк 0,5) изоляция Rockwool 35мм, раструбное соединение.</t>
  </si>
  <si>
    <t>Прайс лист на сэндвич дымоходы (321 0,5/430 0,5) изоляция Rockwool 35мм, раструбное соединение.</t>
  </si>
  <si>
    <t>Сендвич дымоходы           430 0,5/оцинк 0,5-------------430 0,5/430 0,5</t>
  </si>
  <si>
    <t>Сендвич дымоходы           430 0,8/оцинк 0,5-------------430 0,8/430 0,5</t>
  </si>
  <si>
    <t>Сендвич дымоходы           304 0,5/оцинк 0,5-------------304 0,5/430 0,5</t>
  </si>
  <si>
    <t>Сендвич дымоходы           304 0,8/оцинк 0,5-------------304 0,8/430 0,5</t>
  </si>
  <si>
    <t>Прайс лист на сэндвич дымоходы (321 0,8/оцинк 0,5) изоляция Rockwool 35мм, раструбное соединение.</t>
  </si>
  <si>
    <t>Прайс лист на сэндвич дымоходы (321 0,8/430 0,5) изоляция Rockwool 35мм, раструбное соединение.</t>
  </si>
  <si>
    <t>Сендвич дымоходы          430 0,5/оцинк 0,5-------------430 0,5/430 0,5</t>
  </si>
  <si>
    <t>Изоляция Rockwool 35 мм</t>
  </si>
  <si>
    <t>Изоляция Rockwool 50 мм</t>
  </si>
  <si>
    <t>Прайс лист на сэндвич дымоходы (430 0,5/430 0,5) изоляция Rockwool 50мм, раструбное соединение.</t>
  </si>
  <si>
    <t>Прайс лист на сэндвич дымоходы (430 0,8/430 0,5) изоляция Rockwool 50мм, раструбное соединение.</t>
  </si>
  <si>
    <t>Прайс лист на сэндвич дымоходы (304 0,5/430 0,5) изоляция Rockwool 50мм, раструбное соединение.</t>
  </si>
  <si>
    <t>Прайс лист на сэндвич дымоходы (304 0,8/430 0,5) изоляция Rockwool 50мм, раструбное соединение.</t>
  </si>
  <si>
    <t>Прайс лист на сэндвич дымоходы (321 0,5/430 0,5) изоляция Rockwool 50мм, раструбное соединение.</t>
  </si>
  <si>
    <t>Сендвич дымоходы           321 0,5/оцинк 0,5-------------321 0,5/430 0,5</t>
  </si>
  <si>
    <t>Прайс лист на сэндвич дымоходы (321 0,8/430 0,5) изоляция Rockwool 50мм, раструбное соединение.</t>
  </si>
  <si>
    <t>Сендвич дымоходы           321 0,8/оцинк 0,5-------------321 0,8/430 0,5</t>
  </si>
  <si>
    <t>Моно дымоходы</t>
  </si>
  <si>
    <t>Прайс лист на моно дымоходы 430 0,5 , раструбное соединение.</t>
  </si>
  <si>
    <t>Прайс лист на моно дымоходы 430 0,8 , раструбное соединение.</t>
  </si>
  <si>
    <t xml:space="preserve"> Труба 1000 мм</t>
  </si>
  <si>
    <t xml:space="preserve"> Труба 500мм</t>
  </si>
  <si>
    <t>Отвод 90</t>
  </si>
  <si>
    <t>Отвод 45</t>
  </si>
  <si>
    <t xml:space="preserve"> Зонт</t>
  </si>
  <si>
    <t xml:space="preserve"> Дефлектор</t>
  </si>
  <si>
    <t xml:space="preserve"> Тройник 90</t>
  </si>
  <si>
    <t>Щибер выдвижной</t>
  </si>
  <si>
    <t xml:space="preserve">Хомут </t>
  </si>
  <si>
    <t>Диаметр</t>
  </si>
  <si>
    <t xml:space="preserve"> Диаметр</t>
  </si>
  <si>
    <t>Моно дымоходы 430 0,5-----------430 0,8</t>
  </si>
  <si>
    <t>Прайс лист на моно дымоходы 304 0,5 , раструбное соединение.</t>
  </si>
  <si>
    <t>Прайс лист на моно дымоходы 304 0,8 , раструбное соединение.</t>
  </si>
  <si>
    <t>Моно дымоходы 304 0,5-----------304 0,8</t>
  </si>
  <si>
    <t>Прайс лист на моно дымоходы 321 0,5 , раструбное соединение.</t>
  </si>
  <si>
    <t>Прайс лист на моно дымоходы 321 0,8 , раструбное соединение.</t>
  </si>
  <si>
    <t>Моно дымоходы 321 0,5-----------321 0,8</t>
  </si>
  <si>
    <t>Прайс лист на сэндвич дымоходы (оц 0,5/430 0,5) изоляция Rockwool 35мм, раструбное соединение.</t>
  </si>
  <si>
    <t>Сендвич дымоходы           оц 0,5/оцинк 0,5-------------оц 0,5/430 0,5</t>
  </si>
  <si>
    <t xml:space="preserve"> Труба 1250 мм</t>
  </si>
  <si>
    <t xml:space="preserve"> Труба 625 мм</t>
  </si>
  <si>
    <t>Хомут оц 0,5</t>
  </si>
  <si>
    <t>Оцинковка 0,7</t>
  </si>
  <si>
    <t>Моно дымоходы оц 0,5-----------оц 0,7</t>
  </si>
  <si>
    <t xml:space="preserve">ООО "РегионСтройБилдинг"   </t>
  </si>
  <si>
    <t xml:space="preserve"> РОССИЯ, 614058,г. Пермь, ул.Маяковского 8, Есенина 1.</t>
  </si>
  <si>
    <t>Сэндвич п/отвод 45</t>
  </si>
  <si>
    <t>Прайс лист на моно дымоходы оц 0,5 , раструбное соединение.</t>
  </si>
  <si>
    <t>Прайс лист на моно дымоходы оц 0,7 , раструбное соединение.</t>
  </si>
  <si>
    <t>Крестовина</t>
  </si>
  <si>
    <t>Экран 550*550</t>
  </si>
  <si>
    <t>Фланец 500*500</t>
  </si>
  <si>
    <t>Сэндвич тройник 45</t>
  </si>
  <si>
    <t>Тройник 45</t>
  </si>
  <si>
    <t>Выход на кровлю 45</t>
  </si>
  <si>
    <t>Щибер поворотный</t>
  </si>
  <si>
    <t>Прайс лист на сэндвич дымоходы (оц 0,5/оц 0,5) изоляция Rockwool 35мм, раструбное соединение.</t>
  </si>
  <si>
    <t>Прайс лист на сэндвич дымоходы (430 0,5/оц 0,5) изоляция Rockwool 50мм, раструбное соединение.</t>
  </si>
  <si>
    <t>Прайс лист на сэндвич дымоходы (430 0,8/оц 0,5) изоляция Rockwool 50мм, раструбное соединение.</t>
  </si>
  <si>
    <t>Прайс лист на сэндвич дымоходы (304 0,5/оц 0,5) изоляция Rockwool 50мм, раструбное соединение.</t>
  </si>
  <si>
    <t>Прайс лист на сэндвич дымоходы (304 0,8/оц 0,5) изоляция Rockwool 50мм, раструбное соединение.</t>
  </si>
  <si>
    <t>Прайс лист на сэндвич дымоходы (321 0,5/оц 0,5) изоляция Rockwool 50мм, раструбное соединение.</t>
  </si>
  <si>
    <t>Прайс лист на сэндвич дымоходы (321 0,8/оц 0,5) изоляция Rockwool 50мм, раструбное соединение.</t>
  </si>
  <si>
    <t>Прайс лист на моно дымоходы 430 1мм , раструбное соединение.</t>
  </si>
  <si>
    <t>Прайс лист на моно дымоходы 430 1.5мм , раструбное соединение.</t>
  </si>
  <si>
    <t>отдел продаж:тел:211-01-81, E-mail: rsb59@bk.ru</t>
  </si>
  <si>
    <t>Моно дымоходы 430 1----------------1,5</t>
  </si>
  <si>
    <t>Прайс лист на моно дымоходы 304 1мм , раструбное соединение.</t>
  </si>
  <si>
    <t>Прайс лист на моно дымоходы 304 1,5мм , раструбное соединение.</t>
  </si>
  <si>
    <t>Моно дымоходы 304 1-----------------1,5</t>
  </si>
  <si>
    <t>Моно дымоходы 321 1-----------------1,5</t>
  </si>
  <si>
    <t>Потолочный.оц0,5/оц0,5</t>
  </si>
  <si>
    <t>Потолочный.нерж0,5/оц0,5</t>
  </si>
  <si>
    <t>Потолочный.нерж 0,5</t>
  </si>
  <si>
    <t>Потолочный.оц0,5</t>
  </si>
  <si>
    <t>Прайс лист на моно дымоходы 321 1мм , раструбное соединение.</t>
  </si>
  <si>
    <t>Прайс лист на моно дымоходы 321 1,5мм , раструбное соединение.</t>
  </si>
  <si>
    <t>Прайс лист на сэндвич дымоходы (оц 0,5/оц 0,5) изоляция Rockwool 50мм, раструбное соединение.</t>
  </si>
  <si>
    <t>Прайс лист на сэндвич дымоходы (оц 0,5/430 0,5) изоляция Rockwool 50мм, раструбное соединение.</t>
  </si>
  <si>
    <t>Сендвич дымоходы           321 1мм/оцинк 0,5-------------321 1мм/430 0,5</t>
  </si>
  <si>
    <t>Сендвич дымоходы           304 1мм/оцинк 0,5-------------304 1мм/430 0,5</t>
  </si>
  <si>
    <t>Прайс лист на сэндвич дымоходы (321 1мм/оц 0,5) изоляция Rockwool 50мм, раструбное соединение.</t>
  </si>
  <si>
    <t>Прайс лист на сэндвич дымоходы (321 1мм/430 0,5) изоляция Rockwool 50мм, раструбное соединение.</t>
  </si>
  <si>
    <t>Прайс лист на сэндвич дымоходы (304 1мм/оц 0,5) изоляция Rockwool 50мм, раструбное соединение.</t>
  </si>
  <si>
    <t>Прайс лист на сэндвич дымоходы (304 1мм/430 0,5) изоляция Rockwool 50мм, раструбное соединение.</t>
  </si>
  <si>
    <t>Прайс лист на сэндвич дымоходы (321 1мм/оцинк 0,5) изоляция Rockwool 35мм, раструбное соединение.</t>
  </si>
  <si>
    <t>Прайс лист на сэндвич дымоходы (321 1мм/430 0,5) изоляция Rockwool 35мм, раструбное соединение.</t>
  </si>
  <si>
    <t>Прайс лист на сэндвич дымоходы (304 1мм/оцинк 0,5) изоляция Rockwool 35мм, раструбное соединение.</t>
  </si>
  <si>
    <t>Прайс лист на сэндвич дымоходы (304 1мм/430 0,5) изоляция Rockwool 35мм, раструбное соединение.</t>
  </si>
  <si>
    <t xml:space="preserve">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</si>
</sst>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4"/>
      <color theme="10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34"/>
      <color theme="1"/>
      <name val="Calibri"/>
      <family val="2"/>
      <scheme val="minor"/>
    </font>
    <font>
      <b/>
      <i/>
      <sz val="29"/>
      <color theme="1"/>
      <name val="Calibri"/>
      <family val="2"/>
      <scheme val="minor"/>
    </font>
    <font>
      <u val="single"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i/>
      <u val="single"/>
      <sz val="2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4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3" borderId="0" xfId="0" applyFill="1"/>
    <xf numFmtId="1" fontId="0" fillId="3" borderId="0" xfId="0" applyNumberFormat="1" applyFill="1"/>
    <xf numFmtId="2" fontId="0" fillId="0" borderId="1" xfId="0" applyNumberFormat="1" applyBorder="1"/>
    <xf numFmtId="1" fontId="0" fillId="0" borderId="1" xfId="0" applyNumberFormat="1" applyBorder="1"/>
    <xf numFmtId="0" fontId="0" fillId="4" borderId="1" xfId="0" applyFill="1" applyBorder="1"/>
    <xf numFmtId="1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0" fontId="0" fillId="6" borderId="0" xfId="0" applyFill="1"/>
    <xf numFmtId="1" fontId="0" fillId="6" borderId="0" xfId="0" applyNumberFormat="1" applyFill="1"/>
    <xf numFmtId="1" fontId="0" fillId="2" borderId="1" xfId="0" applyNumberFormat="1" applyFill="1" applyBorder="1"/>
    <xf numFmtId="1" fontId="2" fillId="2" borderId="1" xfId="0" applyNumberFormat="1" applyFont="1" applyFill="1" applyBorder="1"/>
    <xf numFmtId="0" fontId="6" fillId="0" borderId="0" xfId="2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/>
    <xf numFmtId="0" fontId="8" fillId="0" borderId="0" xfId="0" applyFont="1"/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2" fillId="0" borderId="0" xfId="20" applyFont="1" applyAlignment="1" applyProtection="1">
      <alignment/>
      <protection/>
    </xf>
    <xf numFmtId="0" fontId="13" fillId="0" borderId="0" xfId="0" applyFont="1"/>
    <xf numFmtId="0" fontId="12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center"/>
      <protection/>
    </xf>
    <xf numFmtId="0" fontId="12" fillId="0" borderId="0" xfId="2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4;&#1075;&#1083;&#1072;&#1074;&#1083;&#1077;&#1085;&#1080;&#1077;!R1C1" /><Relationship Id="rId3" Type="http://schemas.openxmlformats.org/officeDocument/2006/relationships/hyperlink" Target="#&#1054;&#1075;&#1083;&#1072;&#1074;&#1083;&#1077;&#1085;&#1080;&#1077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38100</xdr:rowOff>
    </xdr:from>
    <xdr:to>
      <xdr:col>3</xdr:col>
      <xdr:colOff>152400</xdr:colOff>
      <xdr:row>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38100"/>
          <a:ext cx="1085850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4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409575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715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409575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715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409575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715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409575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715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2</xdr:col>
      <xdr:colOff>266700</xdr:colOff>
      <xdr:row>3</xdr:row>
      <xdr:rowOff>95250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12192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1026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2</xdr:col>
      <xdr:colOff>352425</xdr:colOff>
      <xdr:row>4</xdr:row>
      <xdr:rowOff>123825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133350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2</xdr:col>
      <xdr:colOff>409575</xdr:colOff>
      <xdr:row>4</xdr:row>
      <xdr:rowOff>76200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139065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1162050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0"/>
          <a:ext cx="838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0</xdr:col>
      <xdr:colOff>1400175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0"/>
          <a:ext cx="9810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0</xdr:col>
      <xdr:colOff>1466850</xdr:colOff>
      <xdr:row>4</xdr:row>
      <xdr:rowOff>38100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0"/>
          <a:ext cx="10191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0</xdr:col>
      <xdr:colOff>1323975</xdr:colOff>
      <xdr:row>4</xdr:row>
      <xdr:rowOff>38100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0"/>
          <a:ext cx="9525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1438275</xdr:colOff>
      <xdr:row>4</xdr:row>
      <xdr:rowOff>38100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9715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28575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1781175</xdr:colOff>
      <xdr:row>4</xdr:row>
      <xdr:rowOff>38100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0"/>
          <a:ext cx="962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="70" zoomScaleNormal="70" workbookViewId="0" topLeftCell="A11">
      <selection activeCell="I29" sqref="I29:X29"/>
    </sheetView>
  </sheetViews>
  <sheetFormatPr defaultColWidth="9.140625" defaultRowHeight="15"/>
  <cols>
    <col min="1" max="1" width="11.7109375" style="0" customWidth="1"/>
    <col min="2" max="2" width="3.00390625" style="0" customWidth="1"/>
    <col min="3" max="3" width="11.00390625" style="0" customWidth="1"/>
    <col min="4" max="4" width="8.8515625" style="0" customWidth="1"/>
    <col min="5" max="5" width="9.140625" style="0" customWidth="1"/>
    <col min="6" max="6" width="7.00390625" style="0" customWidth="1"/>
    <col min="7" max="8" width="9.28125" style="0" bestFit="1" customWidth="1"/>
    <col min="9" max="12" width="9.57421875" style="0" bestFit="1" customWidth="1"/>
    <col min="13" max="13" width="1.57421875" style="0" customWidth="1"/>
    <col min="14" max="14" width="0.9921875" style="0" customWidth="1"/>
    <col min="15" max="15" width="4.421875" style="0" customWidth="1"/>
    <col min="16" max="16" width="2.140625" style="0" customWidth="1"/>
    <col min="17" max="17" width="1.57421875" style="0" customWidth="1"/>
    <col min="18" max="18" width="0.2890625" style="0" hidden="1" customWidth="1"/>
    <col min="19" max="22" width="9.140625" style="0" hidden="1" customWidth="1"/>
  </cols>
  <sheetData>
    <row r="1" spans="1:15" ht="38.25" customHeight="1">
      <c r="A1" s="35" t="s">
        <v>139</v>
      </c>
      <c r="B1" s="35"/>
      <c r="C1" s="35"/>
      <c r="D1" s="36" t="s">
        <v>94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4:15" ht="25.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4:15" ht="18.75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5" hidden="1"/>
    <row r="5" spans="1:15" ht="0.7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32" ht="36">
      <c r="A6" s="34" t="s">
        <v>56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3" t="s">
        <v>57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8" spans="1:33" s="29" customFormat="1" ht="18.75" customHeight="1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 t="s">
        <v>49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28"/>
    </row>
    <row r="9" s="29" customFormat="1" ht="15" customHeight="1"/>
    <row r="10" spans="1:33" s="29" customFormat="1" ht="18.75" customHeight="1">
      <c r="A10" s="32" t="s">
        <v>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 t="s">
        <v>50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28"/>
    </row>
    <row r="11" s="29" customFormat="1" ht="15" customHeight="1"/>
    <row r="12" spans="1:33" s="29" customFormat="1" ht="18.75" customHeight="1">
      <c r="A12" s="32" t="s">
        <v>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 t="s">
        <v>51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28"/>
    </row>
    <row r="13" s="29" customFormat="1" ht="15" customHeight="1"/>
    <row r="14" spans="1:33" s="29" customFormat="1" ht="18.75" customHeight="1">
      <c r="A14" s="32" t="s">
        <v>52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 t="s">
        <v>52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28"/>
    </row>
    <row r="15" s="29" customFormat="1" ht="15" customHeight="1"/>
    <row r="16" spans="1:33" s="29" customFormat="1" ht="15" customHeight="1">
      <c r="A16" s="32" t="s">
        <v>63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 t="s">
        <v>63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8"/>
    </row>
    <row r="17" spans="1:33" s="29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AG17" s="28"/>
    </row>
    <row r="18" spans="1:32" s="29" customFormat="1" ht="21">
      <c r="A18" s="32" t="s">
        <v>65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 t="s">
        <v>65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16" s="29" customFormat="1" ht="2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32" s="29" customFormat="1" ht="21">
      <c r="A20" s="32" t="s">
        <v>88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W20" s="32" t="s">
        <v>88</v>
      </c>
      <c r="X20" s="32"/>
      <c r="Y20" s="32"/>
      <c r="Z20" s="32"/>
      <c r="AA20" s="32"/>
      <c r="AB20" s="32"/>
      <c r="AC20" s="32"/>
      <c r="AD20" s="32"/>
      <c r="AE20" s="32"/>
      <c r="AF20" s="32"/>
    </row>
    <row r="21" spans="1:16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ht="15">
      <c r="Q22" s="1"/>
    </row>
    <row r="23" spans="9:24" ht="36">
      <c r="I23" s="33" t="s">
        <v>66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5" spans="9:24" s="29" customFormat="1" ht="21">
      <c r="I25" s="32" t="s">
        <v>80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="29" customFormat="1" ht="21"/>
    <row r="27" spans="9:24" s="29" customFormat="1" ht="21">
      <c r="I27" s="32" t="s">
        <v>83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="29" customFormat="1" ht="21"/>
    <row r="29" spans="9:24" s="29" customFormat="1" ht="21">
      <c r="I29" s="32" t="s">
        <v>86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="29" customFormat="1" ht="21"/>
    <row r="31" spans="9:24" s="29" customFormat="1" ht="21">
      <c r="I31" s="32" t="s">
        <v>93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="29" customFormat="1" ht="21"/>
    <row r="33" spans="9:24" s="29" customFormat="1" ht="21">
      <c r="I33" s="32" t="s">
        <v>116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="29" customFormat="1" ht="21"/>
    <row r="35" spans="9:24" s="29" customFormat="1" ht="21">
      <c r="I35" s="32" t="s">
        <v>119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="29" customFormat="1" ht="21"/>
    <row r="37" spans="9:24" s="29" customFormat="1" ht="21">
      <c r="I37" s="32" t="s">
        <v>120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9" spans="8:25" ht="20.25" customHeight="1">
      <c r="H39" s="31" t="s">
        <v>129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1" spans="8:25" ht="18.75">
      <c r="H41" s="31" t="s">
        <v>130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3" spans="8:25" ht="18.75">
      <c r="H43" s="31" t="s">
        <v>129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5" spans="8:25" ht="18.75">
      <c r="H45" s="31" t="s">
        <v>130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</sheetData>
  <mergeCells count="33">
    <mergeCell ref="A18:P18"/>
    <mergeCell ref="A16:P16"/>
    <mergeCell ref="A20:P20"/>
    <mergeCell ref="Q16:AF16"/>
    <mergeCell ref="Q18:AF18"/>
    <mergeCell ref="A1:C1"/>
    <mergeCell ref="D1:O1"/>
    <mergeCell ref="D2:O2"/>
    <mergeCell ref="D3:O3"/>
    <mergeCell ref="A5:O5"/>
    <mergeCell ref="A6:P6"/>
    <mergeCell ref="A8:P8"/>
    <mergeCell ref="A10:P10"/>
    <mergeCell ref="A12:P12"/>
    <mergeCell ref="A14:P14"/>
    <mergeCell ref="Q6:AF6"/>
    <mergeCell ref="Q8:AF8"/>
    <mergeCell ref="Q10:AF10"/>
    <mergeCell ref="Q12:AF12"/>
    <mergeCell ref="Q14:AF14"/>
    <mergeCell ref="H43:Y43"/>
    <mergeCell ref="H45:Y45"/>
    <mergeCell ref="W20:AF20"/>
    <mergeCell ref="H39:Y39"/>
    <mergeCell ref="H41:Y41"/>
    <mergeCell ref="I37:X37"/>
    <mergeCell ref="I29:X29"/>
    <mergeCell ref="I27:X27"/>
    <mergeCell ref="I25:X25"/>
    <mergeCell ref="I23:X23"/>
    <mergeCell ref="I31:X31"/>
    <mergeCell ref="I33:X33"/>
    <mergeCell ref="I35:X35"/>
  </mergeCells>
  <hyperlinks>
    <hyperlink ref="A8:H8" location="'Сэндвич (430 0,5)'!R1C1" display="Сендвич дымоходы 430 0,5/оцинк 0,5-430 0,5/оцинк 0,5"/>
    <hyperlink ref="A14:H14" location="'Сэндвич 304 (0,8)'!R1C1" display="Сендвич дымоходы           304 0,8/оцинк 0,5-------------304 0,8/оцинк 0,5"/>
    <hyperlink ref="A12:H12" location="'Сэндвич 304 (0,5)'!R1C1" display="Сендвич дымоходы           304 0,5/оцинк 0,5-------------304 0,5/оцинк 0,5"/>
    <hyperlink ref="A10:H10" location="'Сэндвич (430 0,8)'!R1C1" display="Сендвич дымоходы           430 0,5/оцинк 0,5-------------430 0,5/оцинк 0,5"/>
    <hyperlink ref="A16:N16" location="'Сэндвич 321 (0,5)'!R1C1" display="Сендвич дымоходы           321 0,8/оцинк 0,5-------------321 0,5/430 0,5"/>
    <hyperlink ref="Q8:AD8" location="'Сэндвич 321 (0,5)'!R1C1" display="Сендвич дымоходы           321 0,8/оцинк 0,5-------------321 0,5/430 0,5"/>
    <hyperlink ref="Q8:AF8" location="'Сэндвич 430 (0,5)50'!R1C1" display="Сендвич дымоходы           321 0,8/оцинк 0,5-------------321 0,5/430 0,5"/>
    <hyperlink ref="Q10:AD10" location="'Сэндвич 321 (0,5)'!R1C1" display="Сендвич дымоходы           321 0,8/оцинк 0,5-------------321 0,5/430 0,5"/>
    <hyperlink ref="Q10:AF10" location="'Сэндвич 430 (0,8)50'!R1C1" display="Сендвич дымоходы           430 0,8/оцинк 0,5-------------430 0,8/430 0,5"/>
    <hyperlink ref="Q12:AD12" location="'Сэндвич 321 (0,5)'!R1C1" display="Сендвич дымоходы           321 0,8/оцинк 0,5-------------321 0,5/430 0,5"/>
    <hyperlink ref="Q12:AF12" location="'Сэндвич 304 (0,5)50'!R1C1" display="Сендвич дымоходы           430 0,8/оцинк 0,5-------------430 0,8/430 0,5"/>
    <hyperlink ref="Q14:AD14" location="'Сэндвич 321 (0,5)'!R1C1" display="Сендвич дымоходы           321 0,8/оцинк 0,5-------------321 0,5/430 0,5"/>
    <hyperlink ref="Q14:AF14" location="'Сэндвич 304 (0,8)50'!R1C1" display="Сендвич дымоходы           304 0,8/оцинк 0,5-------------304 0,8/430 0,5"/>
    <hyperlink ref="Q16:AD16" location="'Сэндвич 321 (0,5)'!R1C1" display="Сендвич дымоходы           321 0,8/оцинк 0,5-------------321 0,5/430 0,5"/>
    <hyperlink ref="Q16:AF16" location="'Сэндвич 321 (0,5)50'!R1C1" display="Сендвич дымоходы           321 0,5/оцинк 0,5-------------321 0,5/430 0,5"/>
    <hyperlink ref="Q18:AD18" location="'Сэндвич 321 (0,5)'!R1C1" display="Сендвич дымоходы           321 0,8/оцинк 0,5-------------321 0,5/430 0,5"/>
    <hyperlink ref="Q18:AF18" location="'Сэндвич 321 (0,8)50'!R1C1" display="Сендвич дымоходы           321 0,8/оцинк 0,5-------------321 0,8/430 0,5"/>
    <hyperlink ref="A18:N18" location="'Сэндвич 321 (0,5)'!R1C1" display="Сендвич дымоходы           321 0,8/оцинк 0,5-------------321 0,5/430 0,5"/>
    <hyperlink ref="A16:P16" location="'Сэндвич 321 (0,5)'!R1C1" display="Сендвич дымоходы           321 0,5/оцинк 0,5-------------321 0,5/430 0,5"/>
    <hyperlink ref="A18:P18" location="'Сэндвич 321 (0,8)'!R1C1" display="Сендвич дымоходы           321 0,8/оцинк 0,5-------------321 0,5/430 0,5"/>
    <hyperlink ref="I25:X25" location="'Моно 430 (0,5-0,8)'!R1C1" display="Моно дымоходы 430 0,5-----------430 0,8"/>
    <hyperlink ref="I27:X27" location="'Моно 304 (0,5-0,8)'!R1C1" display="Моно дымоходы 304 0,5-----------304 0,8"/>
    <hyperlink ref="I29:X29" location="'Моно 321 (0,5-0,8)'!R1C1" display="Моно дымоходы 321 0,5-----------321 0,8"/>
    <hyperlink ref="A20:N20" location="'Сэндвич 321 (0,5)'!R1C1" display="Сендвич дымоходы           321 0,8/оцинк 0,5-------------321 0,5/430 0,5"/>
    <hyperlink ref="A20:P20" location="'Сэндвич оц (0,5)35'!Область_печати" display="Сендвич дымоходы           оц 0,5/оцинк 0,5-------------оц 0,5/430 0,5"/>
    <hyperlink ref="I31:X31" location="'Моно оц (0,5-0,7)'!R1C1" display="Моно дымоходы оц 0,5-----------оц 0,7"/>
    <hyperlink ref="I33:X33" location="'Моно 430 (1-1,5)'!R1C1" display="Моно дымоходы 430 1----------------1,5"/>
    <hyperlink ref="I35:X35" location="'Моно 304 (1-1,5)'!R1C1" display="Моно дымоходы 304 1-----------------1,5"/>
    <hyperlink ref="I37:X37" location="'Моно 321 (1-1,5)'!R1C1" display="Моно дымоходы 321 1-----------------1,5"/>
    <hyperlink ref="W20:AF20" location="'Сэндвич оц (0,5)50'!R1C1" display="Сендвич дымоходы           оц 0,5/оцинк 0,5-------------оц 0,5/430 0,5"/>
    <hyperlink ref="H39:Y39" location="'Сэндвич 321 (1)50'!R1C1" display="Сендвич дымоходы           321 1мм/оцинк 0,5-------------321 1мм/430 0,5"/>
    <hyperlink ref="H41:Y41" location="'Сэндвич 304 (1)50'!R1C1" display="Сендвич дымоходы           304 1мм/оцинк 0,5-------------304 1мм/430 0,5"/>
    <hyperlink ref="H43:Y43" location="'Сэндвич 321 (1)35'!R1C1" display="Сендвич дымоходы           321 1мм/оцинк 0,5-------------321 1мм/430 0,5"/>
    <hyperlink ref="H45:Y45" location="'Сэндвич 304 (1)35'!R1C1" display="Сендвич дымоходы           304 1мм/оцинк 0,5-------------304 1мм/430 0,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L35" sqref="L35:S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108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лист'!$G$4)+365+((B7*0.00314)*'Технический лист'!$G$11))*1.51</f>
        <v>1581.7251045887444</v>
      </c>
      <c r="C8" s="16">
        <f>(((C6*0.00314)*'Технический лист'!$G$4)+365+((C7*0.00314)*'Технический лист'!$G$11))*1.51</f>
        <v>1668.0138637142854</v>
      </c>
      <c r="D8" s="16">
        <f>(((D6*0.00314)*'Технический лист'!$G$4)+365+((D7*0.00314)*'Технический лист'!$G$11))*1.51</f>
        <v>1711.158243277056</v>
      </c>
      <c r="E8" s="16">
        <f>(((E6*0.00314)*'Технический лист'!$G$4)+365+((E7*0.00314)*'Технический лист'!$G$11))*1.51</f>
        <v>1754.3026228398269</v>
      </c>
      <c r="F8" s="16">
        <f>(((F6*0.00314)*'Технический лист'!$G$4)+365+((F7*0.00314)*'Технический лист'!$G$11))*1.51</f>
        <v>1797.4470024025973</v>
      </c>
      <c r="G8" s="16">
        <f>(((G6*0.00314)*'Технический лист'!$G$4)+365+((G7*0.00314)*'Технический лист'!$G$11))*1.51</f>
        <v>1840.591381965368</v>
      </c>
      <c r="H8" s="16">
        <f>(((H6*0.00314)*'Технический лист'!$G$4)+365+((H7*0.00314)*'Технический лист'!$G$11))*1.51</f>
        <v>1926.880141090909</v>
      </c>
      <c r="I8" s="16">
        <f>(((I6*0.00314)*'Технический лист'!$G$4)+365+((I7*0.00314)*'Технический лист'!$G$11))*1.51</f>
        <v>2013.1689002164505</v>
      </c>
      <c r="J8" s="16">
        <f>(((J6*0.00314)*'Технический лист'!$G$4)+365+((J7*0.00314)*'Технический лист'!$G$11))*1.51</f>
        <v>2099.457659341991</v>
      </c>
      <c r="K8" s="16">
        <f>(((K6*0.00314)*'Технический лист'!$G$4)+365+((K7*0.00314)*'Технический лист'!$G$11))*1.51</f>
        <v>2272.035177593074</v>
      </c>
      <c r="L8" s="16">
        <f>(((L6*0.00314)*'Технический лист'!$G$4)+365+((L7*0.00314)*'Технический лист'!$G$11))*1.51</f>
        <v>2444.612695844156</v>
      </c>
      <c r="M8" s="16">
        <f>(((M6*0.00314)*'Технический лист'!$G$4)+365+((M7*0.00314)*'Технический лист'!$G$11))*1.51</f>
        <v>2617.190214095238</v>
      </c>
      <c r="N8" s="16">
        <f>(((N6*0.00314)*'Технический лист'!$G$4)+365+((N7*0.00314)*'Технический лист'!$G$11))*1.51</f>
        <v>2876.0564914718616</v>
      </c>
      <c r="O8" s="16">
        <f>(((O6*0.00314)*'Технический лист'!$G$4)+365+((O7*0.00314)*'Технический лист'!$G$11))*1.51</f>
        <v>2962.345250597403</v>
      </c>
      <c r="P8" s="16">
        <f>(((P6*0.00314)*'Технический лист'!$G$4)+365+((P7*0.00314)*'Технический лист'!$G$11))*1.51</f>
        <v>3048.634009722944</v>
      </c>
      <c r="Q8" s="16">
        <f>(((Q6*0.00314)*'Технический лист'!$G$4)+365+((Q7*0.00314)*'Технический лист'!$G$11))*1.51</f>
        <v>3134.922768848485</v>
      </c>
      <c r="R8" s="16">
        <f>(((R6*0.00314)*'Технический лист'!$G$4)+365+((R7*0.00314)*'Технический лист'!$G$11))*1.51</f>
        <v>3221.211527974026</v>
      </c>
      <c r="S8" s="16">
        <f>(((S6*0.00314)*'Технический лист'!$G$4)+365+((S7*0.00314)*'Технический лист'!$G$11))*1.51</f>
        <v>3307.500287099567</v>
      </c>
    </row>
    <row r="9" spans="1:19" ht="15">
      <c r="A9" s="4" t="s">
        <v>3</v>
      </c>
      <c r="B9" s="9">
        <f>((B8/2)*1.07)-10</f>
        <v>836.2229309549783</v>
      </c>
      <c r="C9" s="9">
        <f aca="true" t="shared" si="2" ref="C9:N9">((C8/2)*1.07)-10</f>
        <v>882.3874170871428</v>
      </c>
      <c r="D9" s="9">
        <f t="shared" si="2"/>
        <v>905.469660153225</v>
      </c>
      <c r="E9" s="9">
        <f t="shared" si="2"/>
        <v>928.5519032193074</v>
      </c>
      <c r="F9" s="9">
        <f t="shared" si="2"/>
        <v>951.6341462853896</v>
      </c>
      <c r="G9" s="9">
        <f t="shared" si="2"/>
        <v>974.716389351472</v>
      </c>
      <c r="H9" s="9">
        <f t="shared" si="2"/>
        <v>1020.8808754836364</v>
      </c>
      <c r="I9" s="9">
        <f t="shared" si="2"/>
        <v>1067.045361615801</v>
      </c>
      <c r="J9" s="9">
        <f t="shared" si="2"/>
        <v>1113.2098477479653</v>
      </c>
      <c r="K9" s="9">
        <f t="shared" si="2"/>
        <v>1205.5388200122945</v>
      </c>
      <c r="L9" s="9">
        <f t="shared" si="2"/>
        <v>1297.8677922766235</v>
      </c>
      <c r="M9" s="9">
        <f t="shared" si="2"/>
        <v>1390.1967645409525</v>
      </c>
      <c r="N9" s="9">
        <f t="shared" si="2"/>
        <v>1528.6902229374462</v>
      </c>
      <c r="O9" s="9">
        <f aca="true" t="shared" si="3" ref="O9:S9">((O8/2)*1.07)-10</f>
        <v>1574.8547090696106</v>
      </c>
      <c r="P9" s="9">
        <f t="shared" si="3"/>
        <v>1621.0191952017751</v>
      </c>
      <c r="Q9" s="9">
        <f t="shared" si="3"/>
        <v>1667.1836813339394</v>
      </c>
      <c r="R9" s="9">
        <f t="shared" si="3"/>
        <v>1713.348167466104</v>
      </c>
      <c r="S9" s="9">
        <f t="shared" si="3"/>
        <v>1759.5126535982683</v>
      </c>
    </row>
    <row r="10" spans="1:19" ht="15">
      <c r="A10" s="4" t="s">
        <v>5</v>
      </c>
      <c r="B10" s="16">
        <f>((((B6*0.00314)*0.5)*'Технический лист'!$I$4)+310+(((B7*0.00314)*0.5)*'Технический лист'!$I$11))*1.58</f>
        <v>1381.2202547186148</v>
      </c>
      <c r="C10" s="16">
        <f>((((C6*0.00314)*0.5)*'Технический лист'!$I$4)+310+(((C7*0.00314)*0.5)*'Технический лист'!$I$11))*1.58</f>
        <v>1453.5272748571429</v>
      </c>
      <c r="D10" s="16">
        <f>((((D6*0.00314)*0.5)*'Технический лист'!$I$4)+310+(((D7*0.00314)*0.5)*'Технический лист'!$I$11))*1.58</f>
        <v>1489.6807849264071</v>
      </c>
      <c r="E10" s="16">
        <f>((((E6*0.00314)*0.5)*'Технический лист'!$I$4)+310+(((E7*0.00314)*0.5)*'Технический лист'!$I$11))*1.58</f>
        <v>1525.8342949956711</v>
      </c>
      <c r="F10" s="16">
        <f>((((F6*0.00314)*0.5)*'Технический лист'!$I$4)+310+(((F7*0.00314)*0.5)*'Технический лист'!$I$11))*1.58</f>
        <v>1561.9878050649354</v>
      </c>
      <c r="G10" s="16">
        <f>((((G6*0.00314)*0.5)*'Технический лист'!$I$4)+310+(((G7*0.00314)*0.5)*'Технический лист'!$I$11))*1.58</f>
        <v>1598.1413151341992</v>
      </c>
      <c r="H10" s="16">
        <f>((((H6*0.00314)*0.5)*'Технический лист'!$I$4)+310+(((H7*0.00314)*0.5)*'Технический лист'!$I$11))*1.58</f>
        <v>1670.4483352727275</v>
      </c>
      <c r="I10" s="16">
        <f>((((I6*0.00314)*0.5)*'Технический лист'!$I$4)+310+(((I7*0.00314)*0.5)*'Технический лист'!$I$11))*1.58</f>
        <v>1742.7553554112556</v>
      </c>
      <c r="J10" s="16">
        <f>((((J6*0.00314)*0.5)*'Технический лист'!$I$4)+310+(((J7*0.00314)*0.5)*'Технический лист'!$I$11))*1.58</f>
        <v>1815.0623755497834</v>
      </c>
      <c r="K10" s="16">
        <f>((((K6*0.00314)*0.5)*'Технический лист'!$I$4)+310+(((K7*0.00314)*0.5)*'Технический лист'!$I$11))*1.58</f>
        <v>1959.67641582684</v>
      </c>
      <c r="L10" s="16">
        <f>((((L6*0.00314)*0.5)*'Технический лист'!$I$4)+310+(((L7*0.00314)*0.5)*'Технический лист'!$I$11))*1.58</f>
        <v>2104.2904561038963</v>
      </c>
      <c r="M10" s="16">
        <f>((((M6*0.00314)*0.5)*'Технический лист'!$I$4)+310+(((M7*0.00314)*0.5)*'Технический лист'!$I$11))*1.58</f>
        <v>2248.9044963809524</v>
      </c>
      <c r="N10" s="16">
        <f>((((N6*0.00314)*0.5)*'Технический лист'!$I$4)+310+(((N7*0.00314)*0.5)*'Технический лист'!$I$11))*1.58</f>
        <v>2465.825556796537</v>
      </c>
      <c r="O10" s="16">
        <f>((((O6*0.00314)*0.5)*'Технический лист'!$I$4)+310+(((O7*0.00314)*0.5)*'Технический лист'!$I$11))*1.58</f>
        <v>2538.132576935065</v>
      </c>
      <c r="P10" s="16">
        <f>((((P6*0.00314)*0.5)*'Технический лист'!$I$4)+310+(((P7*0.00314)*0.5)*'Технический лист'!$I$11))*1.58</f>
        <v>2610.439597073593</v>
      </c>
      <c r="Q10" s="16">
        <f>((((Q6*0.00314)*0.5)*'Технический лист'!$I$4)+310+(((Q7*0.00314)*0.5)*'Технический лист'!$I$11))*1.58</f>
        <v>2682.7466172121217</v>
      </c>
      <c r="R10" s="16">
        <f>((((R6*0.00314)*0.5)*'Технический лист'!$I$4)+310+(((R7*0.00314)*0.5)*'Технический лист'!$I$11))*1.58</f>
        <v>2755.0536373506493</v>
      </c>
      <c r="S10" s="16">
        <f>((((S6*0.00314)*0.5)*'Технический лист'!$I$4)+310+(((S7*0.00314)*0.5)*'Технический лист'!$I$11))*1.58</f>
        <v>2827.3606574891774</v>
      </c>
    </row>
    <row r="11" spans="1:19" ht="15">
      <c r="A11" s="4" t="s">
        <v>96</v>
      </c>
      <c r="B11" s="9">
        <f>((B10*2)/3)-6</f>
        <v>914.8135031457432</v>
      </c>
      <c r="C11" s="9">
        <f aca="true" t="shared" si="4" ref="C11:N11">((C10*2)/3)-6</f>
        <v>963.0181832380953</v>
      </c>
      <c r="D11" s="9">
        <f t="shared" si="4"/>
        <v>987.1205232842714</v>
      </c>
      <c r="E11" s="9">
        <f t="shared" si="4"/>
        <v>1011.2228633304475</v>
      </c>
      <c r="F11" s="9">
        <f t="shared" si="4"/>
        <v>1035.3252033766237</v>
      </c>
      <c r="G11" s="9">
        <f t="shared" si="4"/>
        <v>1059.4275434227995</v>
      </c>
      <c r="H11" s="9">
        <f t="shared" si="4"/>
        <v>1107.6322235151517</v>
      </c>
      <c r="I11" s="9">
        <f t="shared" si="4"/>
        <v>1155.8369036075037</v>
      </c>
      <c r="J11" s="9">
        <f t="shared" si="4"/>
        <v>1204.0415836998557</v>
      </c>
      <c r="K11" s="9">
        <f t="shared" si="4"/>
        <v>1300.45094388456</v>
      </c>
      <c r="L11" s="9">
        <f t="shared" si="4"/>
        <v>1396.8603040692642</v>
      </c>
      <c r="M11" s="9">
        <f t="shared" si="4"/>
        <v>1493.2696642539684</v>
      </c>
      <c r="N11" s="9">
        <f t="shared" si="4"/>
        <v>1637.8837045310247</v>
      </c>
      <c r="O11" s="9">
        <f aca="true" t="shared" si="5" ref="O11:S11">((O10*2)/3)-6</f>
        <v>1686.0883846233767</v>
      </c>
      <c r="P11" s="9">
        <f t="shared" si="5"/>
        <v>1734.2930647157289</v>
      </c>
      <c r="Q11" s="9">
        <f t="shared" si="5"/>
        <v>1782.497744808081</v>
      </c>
      <c r="R11" s="9">
        <f t="shared" si="5"/>
        <v>1830.7024249004328</v>
      </c>
      <c r="S11" s="9">
        <f t="shared" si="5"/>
        <v>1878.907104992785</v>
      </c>
    </row>
    <row r="12" spans="1:19" ht="15">
      <c r="A12" s="4" t="s">
        <v>6</v>
      </c>
      <c r="B12" s="16">
        <f>((((B6*0.00314)*0.22)*'Технический лист'!$M$4)+100+(((B7*0.00314)*0.21)*'Технический лист'!$O$11)+(((B6+30)*(B6+30)/1000000)*'Технический лист'!$E$18))*1.58</f>
        <v>753.7611019428571</v>
      </c>
      <c r="C12" s="16">
        <f>((((C6*0.00314)*0.22)*'Технический лист'!$M$4)+100+(((C7*0.00314)*0.21)*'Технический лист'!$O$11)+(((C6+30)*(C6+30)/1000000)*'Технический лист'!$E$18))*1.58</f>
        <v>807.2056618971429</v>
      </c>
      <c r="D12" s="16">
        <f>((((D6*0.00314)*0.22)*'Технический лист'!$M$4)+100+(((D7*0.00314)*0.21)*'Технический лист'!$O$11)+(((D6+30)*(D6+30)/1000000)*'Технический лист'!$E$18))*1.58</f>
        <v>834.3071418742858</v>
      </c>
      <c r="E12" s="16">
        <f>((((E6*0.00314)*0.22)*'Технический лист'!$M$4)+100+(((E7*0.00314)*0.21)*'Технический лист'!$O$11)+(((E6+30)*(E6+30)/1000000)*'Технический лист'!$E$18))*1.58</f>
        <v>861.6614218514287</v>
      </c>
      <c r="F12" s="16">
        <f>((((F6*0.00314)*0.22)*'Технический лист'!$M$4)+100+(((F7*0.00314)*0.21)*'Технический лист'!$O$11)+(((F6+30)*(F6+30)/1000000)*'Технический лист'!$E$18))*1.58</f>
        <v>889.2685018285715</v>
      </c>
      <c r="G12" s="16">
        <f>((((G6*0.00314)*0.22)*'Технический лист'!$M$4)+100+(((G7*0.00314)*0.21)*'Технический лист'!$O$11)+(((G6+30)*(G6+30)/1000000)*'Технический лист'!$E$18))*1.58</f>
        <v>917.1283818057144</v>
      </c>
      <c r="H12" s="16">
        <f>((((H6*0.00314)*0.22)*'Технический лист'!$M$4)+100+(((H7*0.00314)*0.21)*'Технический лист'!$O$11)+(((H6+30)*(H6+30)/1000000)*'Технический лист'!$E$18))*1.58</f>
        <v>973.6065417600001</v>
      </c>
      <c r="I12" s="16">
        <f>((((I6*0.00314)*0.22)*'Технический лист'!$M$4)+100+(((I7*0.00314)*0.21)*'Технический лист'!$O$11)+(((I6+30)*(I6+30)/1000000)*'Технический лист'!$E$18))*1.58</f>
        <v>1031.0959017142857</v>
      </c>
      <c r="J12" s="16">
        <f>((((J6*0.00314)*0.22)*'Технический лист'!$M$4)+100+(((J7*0.00314)*0.21)*'Технический лист'!$O$11)+(((J6+30)*(J6+30)/1000000)*'Технический лист'!$E$18))*1.58</f>
        <v>1089.5964616685715</v>
      </c>
      <c r="K12" s="16">
        <f>((((K6*0.00314)*0.22)*'Технический лист'!$M$4)+100+(((K7*0.00314)*0.21)*'Технический лист'!$O$11)+(((K6+30)*(K6+30)/1000000)*'Технический лист'!$E$18))*1.58</f>
        <v>1209.631181577143</v>
      </c>
      <c r="L12" s="16">
        <f>((((L6*0.00314)*0.22)*'Технический лист'!$M$4)+100+(((L7*0.00314)*0.21)*'Технический лист'!$O$11)+(((L6+30)*(L6+30)/1000000)*'Технический лист'!$E$18))*1.58</f>
        <v>1333.7107014857143</v>
      </c>
      <c r="M12" s="16">
        <f>((((M6*0.00314)*0.22)*'Технический лист'!$M$4)+100+(((M7*0.00314)*0.21)*'Технический лист'!$O$11)+(((M6+30)*(M6+30)/1000000)*'Технический лист'!$E$18))*1.58</f>
        <v>1461.8350213942858</v>
      </c>
      <c r="N12" s="16">
        <f>((((N6*0.00314)*0.22)*'Технический лист'!$M$4)+100+(((N7*0.00314)*0.21)*'Технический лист'!$O$11)+(((N6+30)*(N6+30)/1000000)*'Технический лист'!$E$18))*1.58</f>
        <v>1661.605501257143</v>
      </c>
      <c r="O12" s="16">
        <f>((((O6*0.00314)*0.22)*'Технический лист'!$M$4)+100+(((O7*0.00314)*0.21)*'Технический лист'!$O$11)+(((O6+30)*(O6+30)/1000000)*'Технический лист'!$E$18))*1.58</f>
        <v>1730.218061211429</v>
      </c>
      <c r="P12" s="16">
        <f>((((P6*0.00314)*0.22)*'Технический лист'!$M$4)+100+(((P7*0.00314)*0.21)*'Технический лист'!$O$11)+(((P6+30)*(P6+30)/1000000)*'Технический лист'!$E$18))*1.58</f>
        <v>1799.8418211657145</v>
      </c>
      <c r="Q12" s="16">
        <f>((((Q6*0.00314)*0.22)*'Технический лист'!$M$4)+100+(((Q7*0.00314)*0.21)*'Технический лист'!$O$11)+(((Q6+30)*(Q6+30)/1000000)*'Технический лист'!$E$18))*1.58</f>
        <v>1870.4767811200002</v>
      </c>
      <c r="R12" s="16">
        <f>((((R6*0.00314)*0.22)*'Технический лист'!$M$4)+100+(((R7*0.00314)*0.21)*'Технический лист'!$O$11)+(((R6+30)*(R6+30)/1000000)*'Технический лист'!$E$18))*1.58</f>
        <v>1942.1229410742858</v>
      </c>
      <c r="S12" s="16">
        <f>((((S6*0.00314)*0.22)*'Технический лист'!$M$4)+100+(((S7*0.00314)*0.21)*'Технический лист'!$O$11)+(((S6+30)*(S6+30)/1000000)*'Технический лист'!$E$18))*1.58</f>
        <v>2014.7803010285716</v>
      </c>
    </row>
    <row r="13" spans="1:19" ht="15">
      <c r="A13" s="4" t="s">
        <v>7</v>
      </c>
      <c r="B13" s="9">
        <f>(B12*2.2)+24</f>
        <v>1682.2744242742856</v>
      </c>
      <c r="C13" s="9">
        <f aca="true" t="shared" si="6" ref="C13:N13">(C12*2.2)+24</f>
        <v>1799.8524561737147</v>
      </c>
      <c r="D13" s="9">
        <f t="shared" si="6"/>
        <v>1859.4757121234288</v>
      </c>
      <c r="E13" s="9">
        <f t="shared" si="6"/>
        <v>1919.6551280731433</v>
      </c>
      <c r="F13" s="9">
        <f t="shared" si="6"/>
        <v>1980.3907040228576</v>
      </c>
      <c r="G13" s="9">
        <f t="shared" si="6"/>
        <v>2041.682439972572</v>
      </c>
      <c r="H13" s="9">
        <f t="shared" si="6"/>
        <v>2165.9343918720006</v>
      </c>
      <c r="I13" s="9">
        <f t="shared" si="6"/>
        <v>2292.4109837714286</v>
      </c>
      <c r="J13" s="9">
        <f t="shared" si="6"/>
        <v>2421.1122156708575</v>
      </c>
      <c r="K13" s="9">
        <f t="shared" si="6"/>
        <v>2685.188599469715</v>
      </c>
      <c r="L13" s="9">
        <f t="shared" si="6"/>
        <v>2958.1635432685716</v>
      </c>
      <c r="M13" s="9">
        <f t="shared" si="6"/>
        <v>3240.0370470674293</v>
      </c>
      <c r="N13" s="9">
        <f t="shared" si="6"/>
        <v>3679.532102765715</v>
      </c>
      <c r="O13" s="9">
        <f aca="true" t="shared" si="7" ref="O13:S13">(O12*2.2)+24</f>
        <v>3830.479734665144</v>
      </c>
      <c r="P13" s="9">
        <f t="shared" si="7"/>
        <v>3983.6520065645723</v>
      </c>
      <c r="Q13" s="9">
        <f t="shared" si="7"/>
        <v>4139.048918464001</v>
      </c>
      <c r="R13" s="9">
        <f t="shared" si="7"/>
        <v>4296.670470363429</v>
      </c>
      <c r="S13" s="9">
        <f t="shared" si="7"/>
        <v>4456.516662262858</v>
      </c>
    </row>
    <row r="14" spans="1:19" ht="15">
      <c r="A14" s="4" t="s">
        <v>8</v>
      </c>
      <c r="B14" s="16">
        <f>((((B6*0.00314)*0.2)*'Технический лист'!$M$4)+50+(((B7*0.00314)*0.22)*'Технический лист'!$O$11))*1.58</f>
        <v>574.0583461541127</v>
      </c>
      <c r="C14" s="16">
        <f>((((C6*0.00314)*0.2)*'Технический лист'!$M$4)+50+(((C7*0.00314)*0.22)*'Технический лист'!$O$11))*1.58</f>
        <v>611.7909224228572</v>
      </c>
      <c r="D14" s="16">
        <f>((((D6*0.00314)*0.2)*'Технический лист'!$M$4)+50+(((D7*0.00314)*0.22)*'Технический лист'!$O$11))*1.58</f>
        <v>630.6572105572295</v>
      </c>
      <c r="E14" s="16">
        <f>((((E6*0.00314)*0.2)*'Технический лист'!$M$4)+50+(((E7*0.00314)*0.22)*'Технический лист'!$O$11))*1.58</f>
        <v>649.5234986916018</v>
      </c>
      <c r="F14" s="16">
        <f>((((F6*0.00314)*0.2)*'Технический лист'!$M$4)+50+(((F7*0.00314)*0.22)*'Технический лист'!$O$11))*1.58</f>
        <v>668.3897868259742</v>
      </c>
      <c r="G14" s="16">
        <f>((((G6*0.00314)*0.2)*'Технический лист'!$M$4)+50+(((G7*0.00314)*0.22)*'Технический лист'!$O$11))*1.58</f>
        <v>687.2560749603464</v>
      </c>
      <c r="H14" s="16">
        <f>((((H6*0.00314)*0.2)*'Технический лист'!$M$4)+50+(((H7*0.00314)*0.22)*'Технический лист'!$O$11))*1.58</f>
        <v>724.988651229091</v>
      </c>
      <c r="I14" s="16">
        <f>((((I6*0.00314)*0.2)*'Технический лист'!$M$4)+50+(((I7*0.00314)*0.22)*'Технический лист'!$O$11))*1.58</f>
        <v>762.7212274978357</v>
      </c>
      <c r="J14" s="16">
        <f>((((J6*0.00314)*0.2)*'Технический лист'!$M$4)+50+(((J7*0.00314)*0.22)*'Технический лист'!$O$11))*1.58</f>
        <v>800.4538037665801</v>
      </c>
      <c r="K14" s="16">
        <f>((((K6*0.00314)*0.2)*'Технический лист'!$M$4)+50+(((K7*0.00314)*0.22)*'Технический лист'!$O$11))*1.58</f>
        <v>875.9189563040695</v>
      </c>
      <c r="L14" s="16">
        <f>((((L6*0.00314)*0.2)*'Технический лист'!$M$4)+50+(((L7*0.00314)*0.22)*'Технический лист'!$O$11))*1.58</f>
        <v>951.3841088415585</v>
      </c>
      <c r="M14" s="16">
        <f>((((M6*0.00314)*0.2)*'Технический лист'!$M$4)+50+(((M7*0.00314)*0.22)*'Технический лист'!$O$11))*1.58</f>
        <v>1026.8492613790477</v>
      </c>
      <c r="N14" s="16">
        <f>((((N6*0.00314)*0.2)*'Технический лист'!$M$4)+50+(((N7*0.00314)*0.22)*'Технический лист'!$O$11))*1.58</f>
        <v>1140.0469901852816</v>
      </c>
      <c r="O14" s="16">
        <f>((((O6*0.00314)*0.2)*'Технический лист'!$M$4)+50+(((O7*0.00314)*0.22)*'Технический лист'!$O$11))*1.58</f>
        <v>1177.7795664540263</v>
      </c>
      <c r="P14" s="16">
        <f>((((P6*0.00314)*0.2)*'Технический лист'!$M$4)+50+(((P7*0.00314)*0.22)*'Технический лист'!$O$11))*1.58</f>
        <v>1215.512142722771</v>
      </c>
      <c r="Q14" s="16">
        <f>((((Q6*0.00314)*0.2)*'Технический лист'!$M$4)+50+(((Q7*0.00314)*0.22)*'Технический лист'!$O$11))*1.58</f>
        <v>1253.2447189915151</v>
      </c>
      <c r="R14" s="16">
        <f>((((R6*0.00314)*0.2)*'Технический лист'!$M$4)+50+(((R7*0.00314)*0.22)*'Технический лист'!$O$11))*1.58</f>
        <v>1290.9772952602598</v>
      </c>
      <c r="S14" s="16">
        <f>((((S6*0.00314)*0.2)*'Технический лист'!$M$4)+50+(((S7*0.00314)*0.22)*'Технический лист'!$O$11))*1.58</f>
        <v>1328.7098715290044</v>
      </c>
    </row>
    <row r="15" spans="1:19" ht="15">
      <c r="A15" s="4" t="s">
        <v>99</v>
      </c>
      <c r="B15" s="16">
        <v>2775</v>
      </c>
      <c r="C15" s="16">
        <v>2955</v>
      </c>
      <c r="D15" s="16">
        <v>3045</v>
      </c>
      <c r="E15" s="16">
        <v>3143</v>
      </c>
      <c r="F15" s="16">
        <v>3240</v>
      </c>
      <c r="G15" s="16">
        <v>3338</v>
      </c>
      <c r="H15" s="16">
        <v>3533</v>
      </c>
      <c r="I15" s="16">
        <v>3728</v>
      </c>
      <c r="J15" s="16">
        <v>3945</v>
      </c>
      <c r="K15" s="16">
        <v>4365</v>
      </c>
      <c r="L15" s="16">
        <v>4808</v>
      </c>
      <c r="M15" s="16">
        <v>5273</v>
      </c>
      <c r="N15" s="16">
        <v>6000</v>
      </c>
      <c r="O15" s="16">
        <v>6255</v>
      </c>
      <c r="P15" s="16">
        <v>6510</v>
      </c>
      <c r="Q15" s="16">
        <v>6772</v>
      </c>
      <c r="R15" s="16">
        <v>7043</v>
      </c>
      <c r="S15" s="16">
        <v>7313</v>
      </c>
    </row>
    <row r="16" spans="1:19" ht="15">
      <c r="A16" s="4" t="s">
        <v>102</v>
      </c>
      <c r="B16" s="16">
        <v>2775</v>
      </c>
      <c r="C16" s="16">
        <v>2955</v>
      </c>
      <c r="D16" s="16">
        <v>3045</v>
      </c>
      <c r="E16" s="16">
        <v>3143</v>
      </c>
      <c r="F16" s="16">
        <v>3240</v>
      </c>
      <c r="G16" s="16">
        <v>3338</v>
      </c>
      <c r="H16" s="16">
        <v>3533</v>
      </c>
      <c r="I16" s="16">
        <v>3728</v>
      </c>
      <c r="J16" s="16">
        <v>3945</v>
      </c>
      <c r="K16" s="16">
        <v>4365</v>
      </c>
      <c r="L16" s="16">
        <v>4808</v>
      </c>
      <c r="M16" s="16">
        <v>5273</v>
      </c>
      <c r="N16" s="16">
        <v>6000</v>
      </c>
      <c r="O16" s="16">
        <v>6255</v>
      </c>
      <c r="P16" s="16">
        <v>6510</v>
      </c>
      <c r="Q16" s="16">
        <v>6772</v>
      </c>
      <c r="R16" s="16">
        <v>7043</v>
      </c>
      <c r="S16" s="16">
        <v>7313</v>
      </c>
    </row>
    <row r="17" spans="1:19" ht="15">
      <c r="A17" s="4" t="s">
        <v>9</v>
      </c>
      <c r="B17" s="9">
        <f>((((B6*0.00314)*((B6+545)/1000))*'Технический лист'!$K$4)+370+((B7*0.00314)*((B7+450)/1000))*'Технический лист'!$K$11)*1.64</f>
        <v>1837.110219134199</v>
      </c>
      <c r="C17" s="9">
        <f>((((C6*0.00314)*((C6+545)/1000))*'Технический лист'!$K$4)+370+((C7*0.00314)*((C7+450)/1000))*'Технический лист'!$K$11)*1.64</f>
        <v>1957.9975851771428</v>
      </c>
      <c r="D17" s="9">
        <f>((((D6*0.00314)*((D6+545)/1000))*'Технический лист'!$K$4)+370+((D7*0.00314)*((D7+450)/1000))*'Технический лист'!$K$11)*1.64</f>
        <v>2019.6056830438094</v>
      </c>
      <c r="E17" s="9">
        <f>((((E6*0.00314)*((E6+545)/1000))*'Технический лист'!$K$4)+370+((E7*0.00314)*((E7+450)/1000))*'Технический лист'!$K$11)*1.64</f>
        <v>2081.9900574739395</v>
      </c>
      <c r="F17" s="9">
        <f>((((F6*0.00314)*((F6+545)/1000))*'Технический лист'!$K$4)+370+((F7*0.00314)*((F7+450)/1000))*'Технический лист'!$K$11)*1.64</f>
        <v>2145.1507084675327</v>
      </c>
      <c r="G17" s="9">
        <f>((((G6*0.00314)*((G6+545)/1000))*'Технический лист'!$K$4)+370+((G7*0.00314)*((G7+450)/1000))*'Технический лист'!$K$11)*1.64</f>
        <v>2209.087636024589</v>
      </c>
      <c r="H17" s="9">
        <f>((((H6*0.00314)*((H6+545)/1000))*'Технический лист'!$K$4)+370+((H7*0.00314)*((H7+450)/1000))*'Технический лист'!$K$11)*1.64</f>
        <v>2339.290320829091</v>
      </c>
      <c r="I17" s="9">
        <f>((((I6*0.00314)*((I6+545)/1000))*'Технический лист'!$K$4)+370+((I7*0.00314)*((I7+450)/1000))*'Технический лист'!$K$11)*1.64</f>
        <v>2472.5981118874456</v>
      </c>
      <c r="J17" s="9">
        <f>((((J6*0.00314)*((J6+545)/1000))*'Технический лист'!$K$4)+370+((J7*0.00314)*((J7+450)/1000))*'Технический лист'!$K$11)*1.64</f>
        <v>2609.011009199654</v>
      </c>
      <c r="K17" s="9">
        <f>((((K6*0.00314)*((K6+545)/1000))*'Технический лист'!$K$4)+370+((K7*0.00314)*((K7+450)/1000))*'Технический лист'!$K$11)*1.64</f>
        <v>2891.1521225856277</v>
      </c>
      <c r="L17" s="9">
        <f>((((L6*0.00314)*((L6+545)/1000))*'Технический лист'!$K$4)+370+((L7*0.00314)*((L7+450)/1000))*'Технический лист'!$K$11)*1.64</f>
        <v>3185.7136609870126</v>
      </c>
      <c r="M17" s="9">
        <f>((((M6*0.00314)*((M6+545)/1000))*'Технический лист'!$K$4)+370+((M7*0.00314)*((M7+450)/1000))*'Технический лист'!$K$11)*1.64</f>
        <v>3492.6956244038092</v>
      </c>
      <c r="N17" s="9">
        <f>((((N6*0.00314)*((N6+545)/1000))*'Технический лист'!$K$4)+370+((N7*0.00314)*((N7+450)/1000))*'Технический лист'!$K$11)*1.64</f>
        <v>3976.4568664329004</v>
      </c>
      <c r="O17" s="9">
        <f>((((O6*0.00314)*((O6+545)/1000))*'Технический лист'!$K$4)+370+((O7*0.00314)*((O7+450)/1000))*'Технический лист'!$K$11)*1.64</f>
        <v>4143.920826283636</v>
      </c>
      <c r="P17" s="9">
        <f>((((P6*0.00314)*((P6+545)/1000))*'Технический лист'!$K$4)+370+((P7*0.00314)*((P7+450)/1000))*'Технический лист'!$K$11)*1.64</f>
        <v>4314.489892388225</v>
      </c>
      <c r="Q17" s="9">
        <f>((((Q6*0.00314)*((Q6+545)/1000))*'Технический лист'!$K$4)+370+((Q7*0.00314)*((Q7+450)/1000))*'Технический лист'!$K$11)*1.64</f>
        <v>4488.164064746667</v>
      </c>
      <c r="R17" s="9">
        <f>((((R6*0.00314)*((R6+545)/1000))*'Технический лист'!$K$4)+370+((R7*0.00314)*((R7+450)/1000))*'Технический лист'!$K$11)*1.64</f>
        <v>4664.94334335896</v>
      </c>
      <c r="S17" s="9">
        <f>((((S6*0.00314)*((S6+545)/1000))*'Технический лист'!$K$4)+370+((S7*0.00314)*((S7+450)/1000))*'Технический лист'!$K$11)*1.64</f>
        <v>4844.827728225107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59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v>210</v>
      </c>
      <c r="D23" s="10">
        <v>215</v>
      </c>
      <c r="E23" s="10">
        <v>220</v>
      </c>
      <c r="F23" s="10">
        <v>225</v>
      </c>
      <c r="G23" s="10">
        <v>230</v>
      </c>
      <c r="H23" s="10">
        <v>240</v>
      </c>
      <c r="I23" s="10">
        <v>250</v>
      </c>
      <c r="J23" s="10">
        <v>260</v>
      </c>
      <c r="K23" s="10">
        <v>280</v>
      </c>
      <c r="L23" s="10">
        <v>300</v>
      </c>
      <c r="M23" s="10">
        <v>320</v>
      </c>
      <c r="N23" s="10">
        <v>350</v>
      </c>
      <c r="O23" s="10">
        <v>360</v>
      </c>
      <c r="P23" s="10">
        <v>370</v>
      </c>
      <c r="Q23" s="10">
        <v>380</v>
      </c>
      <c r="R23" s="10">
        <v>390</v>
      </c>
      <c r="S23" s="10">
        <v>400</v>
      </c>
    </row>
    <row r="24" spans="1:19" ht="15">
      <c r="A24" s="4" t="s">
        <v>4</v>
      </c>
      <c r="B24" s="16">
        <f>(((B22*0.00314)*'Технический лист'!$G$4)+365+((B23*0.00314)*'Технический лист'!$G$5))*1.52</f>
        <v>2338.984211948052</v>
      </c>
      <c r="C24" s="16">
        <f>(((C22*0.00314)*'Технический лист'!$G$4)+365+((C23*0.00314)*'Технический лист'!$G$5))*1.52</f>
        <v>2463.183625142857</v>
      </c>
      <c r="D24" s="16">
        <f>(((D22*0.00314)*'Технический лист'!$G$4)+365+((D23*0.00314)*'Технический лист'!$G$5))*1.52</f>
        <v>2525.2833317402597</v>
      </c>
      <c r="E24" s="16">
        <f>(((E22*0.00314)*'Технический лист'!$G$4)+365+((E23*0.00314)*'Технический лист'!$G$5))*1.52</f>
        <v>2587.3830383376626</v>
      </c>
      <c r="F24" s="16">
        <f>(((F22*0.00314)*'Технический лист'!$G$4)+365+((F23*0.00314)*'Технический лист'!$G$5))*1.52</f>
        <v>2649.482744935065</v>
      </c>
      <c r="G24" s="16">
        <f>(((G22*0.00314)*'Технический лист'!$G$4)+365+((G23*0.00314)*'Технический лист'!$G$5))*1.52</f>
        <v>2711.5824515324675</v>
      </c>
      <c r="H24" s="16">
        <f>(((H22*0.00314)*'Технический лист'!$G$4)+365+((H23*0.00314)*'Технический лист'!$G$5))*1.52</f>
        <v>2835.781864727273</v>
      </c>
      <c r="I24" s="16">
        <f>(((I22*0.00314)*'Технический лист'!$G$4)+365+((I23*0.00314)*'Технический лист'!$G$5))*1.52</f>
        <v>2959.9812779220783</v>
      </c>
      <c r="J24" s="16">
        <f>(((J22*0.00314)*'Технический лист'!$G$4)+365+((J23*0.00314)*'Технический лист'!$G$5))*1.52</f>
        <v>3084.180691116883</v>
      </c>
      <c r="K24" s="16">
        <f>(((K22*0.00314)*'Технический лист'!$G$4)+365+((K23*0.00314)*'Технический лист'!$G$5))*1.52</f>
        <v>3332.5795175064936</v>
      </c>
      <c r="L24" s="16">
        <f>(((L22*0.00314)*'Технический лист'!$G$4)+365+((L23*0.00314)*'Технический лист'!$G$5))*1.52</f>
        <v>3580.978343896104</v>
      </c>
      <c r="M24" s="16">
        <f>(((M22*0.00314)*'Технический лист'!$G$4)+365+((M23*0.00314)*'Технический лист'!$G$5))*1.52</f>
        <v>3829.3771702857134</v>
      </c>
      <c r="N24" s="16">
        <f>(((N22*0.00314)*'Технический лист'!$G$4)+365+((N23*0.00314)*'Технический лист'!$G$5))*1.52</f>
        <v>4201.97540987013</v>
      </c>
      <c r="O24" s="16">
        <f>(((O22*0.00314)*'Технический лист'!$G$4)+365+((O23*0.00314)*'Технический лист'!$G$5))*1.52</f>
        <v>4326.1748230649355</v>
      </c>
      <c r="P24" s="16">
        <f>(((P22*0.00314)*'Технический лист'!$G$4)+365+((P23*0.00314)*'Технический лист'!$G$5))*1.52</f>
        <v>4450.37423625974</v>
      </c>
      <c r="Q24" s="16">
        <f>(((Q22*0.00314)*'Технический лист'!$G$4)+365+((Q23*0.00314)*'Технический лист'!$G$5))*1.52</f>
        <v>4574.573649454545</v>
      </c>
      <c r="R24" s="16">
        <f>(((R22*0.00314)*'Технический лист'!$G$4)+365+((R23*0.00314)*'Технический лист'!$G$5))*1.52</f>
        <v>4698.77306264935</v>
      </c>
      <c r="S24" s="16">
        <f>(((S22*0.00314)*'Технический лист'!$G$4)+365+((S23*0.00314)*'Технический лист'!$G$5))*1.52</f>
        <v>4822.972475844156</v>
      </c>
    </row>
    <row r="25" spans="1:19" ht="15">
      <c r="A25" s="4" t="s">
        <v>3</v>
      </c>
      <c r="B25" s="9">
        <f>((B24/2)*1.07)-10</f>
        <v>1241.3565533922078</v>
      </c>
      <c r="C25" s="9">
        <f aca="true" t="shared" si="8" ref="C25:N25">((C24/2)*1.07)-10</f>
        <v>1307.8032394514287</v>
      </c>
      <c r="D25" s="9">
        <f t="shared" si="8"/>
        <v>1341.026582481039</v>
      </c>
      <c r="E25" s="9">
        <f t="shared" si="8"/>
        <v>1374.2499255106495</v>
      </c>
      <c r="F25" s="9">
        <f t="shared" si="8"/>
        <v>1407.4732685402598</v>
      </c>
      <c r="G25" s="9">
        <f t="shared" si="8"/>
        <v>1440.6966115698701</v>
      </c>
      <c r="H25" s="9">
        <f t="shared" si="8"/>
        <v>1507.1432976290912</v>
      </c>
      <c r="I25" s="9">
        <f t="shared" si="8"/>
        <v>1573.589983688312</v>
      </c>
      <c r="J25" s="9">
        <f t="shared" si="8"/>
        <v>1640.0366697475324</v>
      </c>
      <c r="K25" s="9">
        <f t="shared" si="8"/>
        <v>1772.930041865974</v>
      </c>
      <c r="L25" s="9">
        <f t="shared" si="8"/>
        <v>1905.8234139844158</v>
      </c>
      <c r="M25" s="9">
        <f t="shared" si="8"/>
        <v>2038.716786102857</v>
      </c>
      <c r="N25" s="9">
        <f t="shared" si="8"/>
        <v>2238.0568442805193</v>
      </c>
      <c r="O25" s="9">
        <f aca="true" t="shared" si="9" ref="O25:S25">((O24/2)*1.07)-10</f>
        <v>2304.503530339741</v>
      </c>
      <c r="P25" s="9">
        <f t="shared" si="9"/>
        <v>2370.9502163989614</v>
      </c>
      <c r="Q25" s="9">
        <f t="shared" si="9"/>
        <v>2437.396902458182</v>
      </c>
      <c r="R25" s="9">
        <f t="shared" si="9"/>
        <v>2503.8435885174026</v>
      </c>
      <c r="S25" s="9">
        <f t="shared" si="9"/>
        <v>2570.2902745766237</v>
      </c>
    </row>
    <row r="26" spans="1:19" ht="15">
      <c r="A26" s="4" t="s">
        <v>5</v>
      </c>
      <c r="B26" s="16">
        <f>((((B22*0.00314)*0.5)*'Технический лист'!$I$4)+310+(((B23*0.00314)*0.5)*'Технический лист'!$I$5))*1.58</f>
        <v>1930.5904680519484</v>
      </c>
      <c r="C26" s="16">
        <f>((((C22*0.00314)*0.5)*'Технический лист'!$I$4)+310+(((C23*0.00314)*0.5)*'Технический лист'!$I$5))*1.58</f>
        <v>2030.3659988571428</v>
      </c>
      <c r="D26" s="16">
        <f>((((D22*0.00314)*0.5)*'Технический лист'!$I$4)+310+(((D23*0.00314)*0.5)*'Технический лист'!$I$5))*1.58</f>
        <v>2080.253764259741</v>
      </c>
      <c r="E26" s="16">
        <f>((((E22*0.00314)*0.5)*'Технический лист'!$I$4)+310+(((E23*0.00314)*0.5)*'Технический лист'!$I$5))*1.58</f>
        <v>2130.141529662338</v>
      </c>
      <c r="F26" s="16">
        <f>((((F22*0.00314)*0.5)*'Технический лист'!$I$4)+310+(((F23*0.00314)*0.5)*'Технический лист'!$I$5))*1.58</f>
        <v>2180.029295064935</v>
      </c>
      <c r="G26" s="16">
        <f>((((G22*0.00314)*0.5)*'Технический лист'!$I$4)+310+(((G23*0.00314)*0.5)*'Технический лист'!$I$5))*1.58</f>
        <v>2229.9170604675323</v>
      </c>
      <c r="H26" s="16">
        <f>((((H22*0.00314)*0.5)*'Технический лист'!$I$4)+310+(((H23*0.00314)*0.5)*'Технический лист'!$I$5))*1.58</f>
        <v>2329.6925912727274</v>
      </c>
      <c r="I26" s="16">
        <f>((((I22*0.00314)*0.5)*'Технический лист'!$I$4)+310+(((I23*0.00314)*0.5)*'Технический лист'!$I$5))*1.58</f>
        <v>2429.468122077922</v>
      </c>
      <c r="J26" s="16">
        <f>((((J22*0.00314)*0.5)*'Технический лист'!$I$4)+310+(((J23*0.00314)*0.5)*'Технический лист'!$I$5))*1.58</f>
        <v>2529.2436528831167</v>
      </c>
      <c r="K26" s="16">
        <f>((((K22*0.00314)*0.5)*'Технический лист'!$I$4)+310+(((K23*0.00314)*0.5)*'Технический лист'!$I$5))*1.58</f>
        <v>2728.7947144935065</v>
      </c>
      <c r="L26" s="16">
        <f>((((L22*0.00314)*0.5)*'Технический лист'!$I$4)+310+(((L23*0.00314)*0.5)*'Технический лист'!$I$5))*1.58</f>
        <v>2928.345776103896</v>
      </c>
      <c r="M26" s="16">
        <f>((((M22*0.00314)*0.5)*'Технический лист'!$I$4)+310+(((M23*0.00314)*0.5)*'Технический лист'!$I$5))*1.58</f>
        <v>3127.896837714286</v>
      </c>
      <c r="N26" s="16">
        <f>((((N22*0.00314)*0.5)*'Технический лист'!$I$4)+310+(((N23*0.00314)*0.5)*'Технический лист'!$I$5))*1.58</f>
        <v>3427.22343012987</v>
      </c>
      <c r="O26" s="16">
        <f>((((O22*0.00314)*0.5)*'Технический лист'!$I$4)+310+(((O23*0.00314)*0.5)*'Технический лист'!$I$5))*1.58</f>
        <v>3526.998960935065</v>
      </c>
      <c r="P26" s="16">
        <f>((((P22*0.00314)*0.5)*'Технический лист'!$I$4)+310+(((P23*0.00314)*0.5)*'Технический лист'!$I$5))*1.58</f>
        <v>3626.77449174026</v>
      </c>
      <c r="Q26" s="16">
        <f>((((Q22*0.00314)*0.5)*'Технический лист'!$I$4)+310+(((Q23*0.00314)*0.5)*'Технический лист'!$I$5))*1.58</f>
        <v>3726.550022545455</v>
      </c>
      <c r="R26" s="16">
        <f>((((R22*0.00314)*0.5)*'Технический лист'!$I$4)+310+(((R23*0.00314)*0.5)*'Технический лист'!$I$5))*1.58</f>
        <v>3826.325553350649</v>
      </c>
      <c r="S26" s="16">
        <f>((((S22*0.00314)*0.5)*'Технический лист'!$I$4)+310+(((S23*0.00314)*0.5)*'Технический лист'!$I$5))*1.58</f>
        <v>3926.101084155844</v>
      </c>
    </row>
    <row r="27" spans="1:19" ht="15">
      <c r="A27" s="4" t="s">
        <v>96</v>
      </c>
      <c r="B27" s="9">
        <f>((B26*2)/3)-6</f>
        <v>1281.0603120346323</v>
      </c>
      <c r="C27" s="9">
        <f aca="true" t="shared" si="10" ref="C27:N27">((C26*2)/3)-6</f>
        <v>1347.5773325714285</v>
      </c>
      <c r="D27" s="9">
        <f t="shared" si="10"/>
        <v>1380.8358428398271</v>
      </c>
      <c r="E27" s="9">
        <f t="shared" si="10"/>
        <v>1414.0943531082255</v>
      </c>
      <c r="F27" s="9">
        <f t="shared" si="10"/>
        <v>1447.3528633766234</v>
      </c>
      <c r="G27" s="9">
        <f t="shared" si="10"/>
        <v>1480.6113736450216</v>
      </c>
      <c r="H27" s="9">
        <f t="shared" si="10"/>
        <v>1547.1283941818183</v>
      </c>
      <c r="I27" s="9">
        <f t="shared" si="10"/>
        <v>1613.6454147186148</v>
      </c>
      <c r="J27" s="9">
        <f t="shared" si="10"/>
        <v>1680.162435255411</v>
      </c>
      <c r="K27" s="9">
        <f t="shared" si="10"/>
        <v>1813.1964763290043</v>
      </c>
      <c r="L27" s="9">
        <f t="shared" si="10"/>
        <v>1946.2305174025971</v>
      </c>
      <c r="M27" s="9">
        <f t="shared" si="10"/>
        <v>2079.264558476191</v>
      </c>
      <c r="N27" s="9">
        <f t="shared" si="10"/>
        <v>2278.81562008658</v>
      </c>
      <c r="O27" s="9">
        <f aca="true" t="shared" si="11" ref="O27:S27">((O26*2)/3)-6</f>
        <v>2345.332640623377</v>
      </c>
      <c r="P27" s="9">
        <f t="shared" si="11"/>
        <v>2411.8496611601736</v>
      </c>
      <c r="Q27" s="9">
        <f t="shared" si="11"/>
        <v>2478.36668169697</v>
      </c>
      <c r="R27" s="9">
        <f t="shared" si="11"/>
        <v>2544.883702233766</v>
      </c>
      <c r="S27" s="9">
        <f t="shared" si="11"/>
        <v>2611.400722770563</v>
      </c>
    </row>
    <row r="28" spans="1:19" ht="15">
      <c r="A28" s="4" t="s">
        <v>6</v>
      </c>
      <c r="B28" s="16">
        <f>((((B22*0.00314)*0.22)*'Технический лист'!$M$4)+100+(((B23*0.00314)*0.21)*'Технический лист'!$O$5)+(((B22+30)*(B22+30)/1000000)*'Технический лист'!$E$18))*1.58</f>
        <v>949.0736235428571</v>
      </c>
      <c r="C28" s="16">
        <f>((((C22*0.00314)*0.22)*'Технический лист'!$M$4)+100+(((C23*0.00314)*0.21)*'Технический лист'!$O$5)+(((C22+30)*(C22+30)/1000000)*'Технический лист'!$E$18))*1.58</f>
        <v>1012.2838095771427</v>
      </c>
      <c r="D28" s="16">
        <f>((((D22*0.00314)*0.22)*'Технический лист'!$M$4)+100+(((D23*0.00314)*0.21)*'Технический лист'!$O$5)+(((D22+30)*(D22+30)/1000000)*'Технический лист'!$E$18))*1.58</f>
        <v>1044.2681025942857</v>
      </c>
      <c r="E28" s="16">
        <f>((((E22*0.00314)*0.22)*'Технический лист'!$M$4)+100+(((E23*0.00314)*0.21)*'Технический лист'!$O$5)+(((E22+30)*(E22+30)/1000000)*'Технический лист'!$E$18))*1.58</f>
        <v>1076.5051956114287</v>
      </c>
      <c r="F28" s="16">
        <f>((((F22*0.00314)*0.22)*'Технический лист'!$M$4)+100+(((F23*0.00314)*0.21)*'Технический лист'!$O$5)+(((F22+30)*(F22+30)/1000000)*'Технический лист'!$E$18))*1.58</f>
        <v>1108.9950886285715</v>
      </c>
      <c r="G28" s="16">
        <f>((((G22*0.00314)*0.22)*'Технический лист'!$M$4)+100+(((G23*0.00314)*0.21)*'Технический лист'!$O$5)+(((G22+30)*(G22+30)/1000000)*'Технический лист'!$E$18))*1.58</f>
        <v>1141.7377816457142</v>
      </c>
      <c r="H28" s="16">
        <f>((((H22*0.00314)*0.22)*'Технический лист'!$M$4)+100+(((H23*0.00314)*0.21)*'Технический лист'!$O$5)+(((H22+30)*(H22+30)/1000000)*'Технический лист'!$E$18))*1.58</f>
        <v>1207.9815676800001</v>
      </c>
      <c r="I28" s="16">
        <f>((((I22*0.00314)*0.22)*'Технический лист'!$M$4)+100+(((I23*0.00314)*0.21)*'Технический лист'!$O$5)+(((I22+30)*(I22+30)/1000000)*'Технический лист'!$E$18))*1.58</f>
        <v>1275.2365537142857</v>
      </c>
      <c r="J28" s="16">
        <f>((((J22*0.00314)*0.22)*'Технический лист'!$M$4)+100+(((J23*0.00314)*0.21)*'Технический лист'!$O$5)+(((J22+30)*(J22+30)/1000000)*'Технический лист'!$E$18))*1.58</f>
        <v>1343.5027397485712</v>
      </c>
      <c r="K28" s="16">
        <f>((((K22*0.00314)*0.22)*'Технический лист'!$M$4)+100+(((K23*0.00314)*0.21)*'Технический лист'!$O$5)+(((K22+30)*(K22+30)/1000000)*'Технический лист'!$E$18))*1.58</f>
        <v>1483.0687118171431</v>
      </c>
      <c r="L28" s="16">
        <f>((((L22*0.00314)*0.22)*'Технический лист'!$M$4)+100+(((L23*0.00314)*0.21)*'Технический лист'!$O$5)+(((L22+30)*(L22+30)/1000000)*'Технический лист'!$E$18))*1.58</f>
        <v>1626.6794838857143</v>
      </c>
      <c r="M28" s="16">
        <f>((((M22*0.00314)*0.22)*'Технический лист'!$M$4)+100+(((M23*0.00314)*0.21)*'Технический лист'!$O$5)+(((M22+30)*(M22+30)/1000000)*'Технический лист'!$E$18))*1.58</f>
        <v>1774.3350559542857</v>
      </c>
      <c r="N28" s="16">
        <f>((((N22*0.00314)*0.22)*'Технический лист'!$M$4)+100+(((N23*0.00314)*0.21)*'Технический лист'!$O$5)+(((N22+30)*(N22+30)/1000000)*'Технический лист'!$E$18))*1.58</f>
        <v>2003.4024140571428</v>
      </c>
      <c r="O28" s="16">
        <f>((((O22*0.00314)*0.22)*'Технический лист'!$M$4)+100+(((O23*0.00314)*0.21)*'Технический лист'!$O$5)+(((O22+30)*(O22+30)/1000000)*'Технический лист'!$E$18))*1.58</f>
        <v>2081.780600091429</v>
      </c>
      <c r="P28" s="16">
        <f>((((P22*0.00314)*0.22)*'Технический лист'!$M$4)+100+(((P23*0.00314)*0.21)*'Технический лист'!$O$5)+(((P22+30)*(P22+30)/1000000)*'Технический лист'!$E$18))*1.58</f>
        <v>2161.1699861257143</v>
      </c>
      <c r="Q28" s="16">
        <f>((((Q22*0.00314)*0.22)*'Технический лист'!$M$4)+100+(((Q23*0.00314)*0.21)*'Технический лист'!$O$5)+(((Q22+30)*(Q22+30)/1000000)*'Технический лист'!$E$18))*1.58</f>
        <v>2241.57057216</v>
      </c>
      <c r="R28" s="16">
        <f>((((R22*0.00314)*0.22)*'Технический лист'!$M$4)+100+(((R23*0.00314)*0.21)*'Технический лист'!$O$5)+(((R22+30)*(R22+30)/1000000)*'Технический лист'!$E$18))*1.58</f>
        <v>2322.9823581942856</v>
      </c>
      <c r="S28" s="16">
        <f>((((S22*0.00314)*0.22)*'Технический лист'!$M$4)+100+(((S23*0.00314)*0.21)*'Технический лист'!$O$5)+(((S22+30)*(S22+30)/1000000)*'Технический лист'!$E$18))*1.58</f>
        <v>2405.4053442285717</v>
      </c>
    </row>
    <row r="29" spans="1:19" ht="15">
      <c r="A29" s="4" t="s">
        <v>7</v>
      </c>
      <c r="B29" s="9">
        <f>(B28*2.2)+24</f>
        <v>2111.961971794286</v>
      </c>
      <c r="C29" s="9">
        <f aca="true" t="shared" si="12" ref="C29:N29">(C28*2.2)+24</f>
        <v>2251.0243810697143</v>
      </c>
      <c r="D29" s="9">
        <f t="shared" si="12"/>
        <v>2321.389825707429</v>
      </c>
      <c r="E29" s="9">
        <f t="shared" si="12"/>
        <v>2392.3114303451434</v>
      </c>
      <c r="F29" s="9">
        <f t="shared" si="12"/>
        <v>2463.789194982857</v>
      </c>
      <c r="G29" s="9">
        <f t="shared" si="12"/>
        <v>2535.8231196205716</v>
      </c>
      <c r="H29" s="9">
        <f t="shared" si="12"/>
        <v>2681.5594488960005</v>
      </c>
      <c r="I29" s="9">
        <f t="shared" si="12"/>
        <v>2829.520418171429</v>
      </c>
      <c r="J29" s="9">
        <f t="shared" si="12"/>
        <v>2979.7060274468568</v>
      </c>
      <c r="K29" s="9">
        <f t="shared" si="12"/>
        <v>3286.7511659977154</v>
      </c>
      <c r="L29" s="9">
        <f t="shared" si="12"/>
        <v>3602.694864548572</v>
      </c>
      <c r="M29" s="9">
        <f t="shared" si="12"/>
        <v>3927.5371230994288</v>
      </c>
      <c r="N29" s="9">
        <f t="shared" si="12"/>
        <v>4431.485310925715</v>
      </c>
      <c r="O29" s="9">
        <f aca="true" t="shared" si="13" ref="O29:S29">(O28*2.2)+24</f>
        <v>4603.917320201143</v>
      </c>
      <c r="P29" s="9">
        <f t="shared" si="13"/>
        <v>4778.573969476572</v>
      </c>
      <c r="Q29" s="9">
        <f t="shared" si="13"/>
        <v>4955.455258752001</v>
      </c>
      <c r="R29" s="9">
        <f t="shared" si="13"/>
        <v>5134.561188027428</v>
      </c>
      <c r="S29" s="9">
        <f t="shared" si="13"/>
        <v>5315.891757302858</v>
      </c>
    </row>
    <row r="30" spans="1:19" ht="15">
      <c r="A30" s="4" t="s">
        <v>8</v>
      </c>
      <c r="B30" s="16">
        <f>((((B22*0.00314)*0.2)*'Технический лист'!$M$4)+50+(((B23*0.00314)*0.22)*'Технический лист'!$O$5))*1.57</f>
        <v>773.7431636155845</v>
      </c>
      <c r="C30" s="16">
        <f>((((C22*0.00314)*0.2)*'Технический лист'!$M$4)+50+(((C23*0.00314)*0.22)*'Технический лист'!$O$5))*1.57</f>
        <v>821.4028310171428</v>
      </c>
      <c r="D30" s="16">
        <f>((((D22*0.00314)*0.2)*'Технический лист'!$M$4)+50+(((D23*0.00314)*0.22)*'Технический лист'!$O$5))*1.57</f>
        <v>845.2326647179223</v>
      </c>
      <c r="E30" s="16">
        <f>((((E22*0.00314)*0.2)*'Технический лист'!$M$4)+50+(((E23*0.00314)*0.22)*'Технический лист'!$O$5))*1.57</f>
        <v>869.0624984187015</v>
      </c>
      <c r="F30" s="16">
        <f>((((F22*0.00314)*0.2)*'Технический лист'!$M$4)+50+(((F23*0.00314)*0.22)*'Технический лист'!$O$5))*1.57</f>
        <v>892.8923321194806</v>
      </c>
      <c r="G30" s="16">
        <f>((((G22*0.00314)*0.2)*'Технический лист'!$M$4)+50+(((G23*0.00314)*0.22)*'Технический лист'!$O$5))*1.57</f>
        <v>916.7221658202598</v>
      </c>
      <c r="H30" s="16">
        <f>((((H22*0.00314)*0.2)*'Технический лист'!$M$4)+50+(((H23*0.00314)*0.22)*'Технический лист'!$O$5))*1.57</f>
        <v>964.3818332218183</v>
      </c>
      <c r="I30" s="16">
        <f>((((I22*0.00314)*0.2)*'Технический лист'!$M$4)+50+(((I23*0.00314)*0.22)*'Технический лист'!$O$5))*1.57</f>
        <v>1012.0415006233768</v>
      </c>
      <c r="J30" s="16">
        <f>((((J22*0.00314)*0.2)*'Технический лист'!$M$4)+50+(((J23*0.00314)*0.22)*'Технический лист'!$O$5))*1.57</f>
        <v>1059.7011680249352</v>
      </c>
      <c r="K30" s="16">
        <f>((((K22*0.00314)*0.2)*'Технический лист'!$M$4)+50+(((K23*0.00314)*0.22)*'Технический лист'!$O$5))*1.57</f>
        <v>1155.020502828052</v>
      </c>
      <c r="L30" s="16">
        <f>((((L22*0.00314)*0.2)*'Технический лист'!$M$4)+50+(((L23*0.00314)*0.22)*'Технический лист'!$O$5))*1.57</f>
        <v>1250.3398376311688</v>
      </c>
      <c r="M30" s="16">
        <f>((((M22*0.00314)*0.2)*'Технический лист'!$M$4)+50+(((M23*0.00314)*0.22)*'Технический лист'!$O$5))*1.57</f>
        <v>1345.6591724342857</v>
      </c>
      <c r="N30" s="16">
        <f>((((N22*0.00314)*0.2)*'Технический лист'!$M$4)+50+(((N23*0.00314)*0.22)*'Технический лист'!$O$5))*1.57</f>
        <v>1488.6381746389613</v>
      </c>
      <c r="O30" s="16">
        <f>((((O22*0.00314)*0.2)*'Технический лист'!$M$4)+50+(((O23*0.00314)*0.22)*'Технический лист'!$O$5))*1.57</f>
        <v>1536.2978420405198</v>
      </c>
      <c r="P30" s="16">
        <f>((((P22*0.00314)*0.2)*'Технический лист'!$M$4)+50+(((P23*0.00314)*0.22)*'Технический лист'!$O$5))*1.57</f>
        <v>1583.9575094420782</v>
      </c>
      <c r="Q30" s="16">
        <f>((((Q22*0.00314)*0.2)*'Технический лист'!$M$4)+50+(((Q23*0.00314)*0.22)*'Технический лист'!$O$5))*1.57</f>
        <v>1631.6171768436366</v>
      </c>
      <c r="R30" s="16">
        <f>((((R22*0.00314)*0.2)*'Технический лист'!$M$4)+50+(((R23*0.00314)*0.22)*'Технический лист'!$O$5))*1.57</f>
        <v>1679.2768442451952</v>
      </c>
      <c r="S30" s="16">
        <f>((((S22*0.00314)*0.2)*'Технический лист'!$M$4)+50+(((S23*0.00314)*0.22)*'Технический лист'!$O$5))*1.57</f>
        <v>1726.9365116467536</v>
      </c>
    </row>
    <row r="31" spans="1:19" ht="15">
      <c r="A31" s="4" t="s">
        <v>99</v>
      </c>
      <c r="B31" s="16">
        <v>4073</v>
      </c>
      <c r="C31" s="16">
        <v>4343</v>
      </c>
      <c r="D31" s="16">
        <v>4478</v>
      </c>
      <c r="E31" s="16">
        <v>4620</v>
      </c>
      <c r="F31" s="16">
        <v>3255</v>
      </c>
      <c r="G31" s="16">
        <v>4896</v>
      </c>
      <c r="H31" s="16">
        <v>5190</v>
      </c>
      <c r="I31" s="16">
        <v>5482</v>
      </c>
      <c r="J31" s="16">
        <v>5782</v>
      </c>
      <c r="K31" s="16">
        <v>6405</v>
      </c>
      <c r="L31" s="16">
        <v>7058</v>
      </c>
      <c r="M31" s="16">
        <v>7733</v>
      </c>
      <c r="N31" s="16">
        <v>8805</v>
      </c>
      <c r="O31" s="16">
        <v>9176</v>
      </c>
      <c r="P31" s="16">
        <v>9547</v>
      </c>
      <c r="Q31" s="16">
        <v>9930</v>
      </c>
      <c r="R31" s="16">
        <v>10320</v>
      </c>
      <c r="S31" s="16">
        <v>10710</v>
      </c>
    </row>
    <row r="32" spans="1:19" ht="15">
      <c r="A32" s="4" t="s">
        <v>102</v>
      </c>
      <c r="B32" s="16">
        <v>4073</v>
      </c>
      <c r="C32" s="16">
        <v>4343</v>
      </c>
      <c r="D32" s="16">
        <v>4478</v>
      </c>
      <c r="E32" s="16">
        <v>4620</v>
      </c>
      <c r="F32" s="16">
        <v>3255</v>
      </c>
      <c r="G32" s="16">
        <v>4896</v>
      </c>
      <c r="H32" s="16">
        <v>5190</v>
      </c>
      <c r="I32" s="16">
        <v>5482</v>
      </c>
      <c r="J32" s="16">
        <v>5782</v>
      </c>
      <c r="K32" s="16">
        <v>6405</v>
      </c>
      <c r="L32" s="16">
        <v>7058</v>
      </c>
      <c r="M32" s="16">
        <v>7733</v>
      </c>
      <c r="N32" s="16">
        <v>8805</v>
      </c>
      <c r="O32" s="16">
        <v>9176</v>
      </c>
      <c r="P32" s="16">
        <v>9547</v>
      </c>
      <c r="Q32" s="16">
        <v>9930</v>
      </c>
      <c r="R32" s="16">
        <v>10320</v>
      </c>
      <c r="S32" s="16">
        <v>10710</v>
      </c>
    </row>
    <row r="33" spans="1:19" ht="15">
      <c r="A33" s="4" t="s">
        <v>9</v>
      </c>
      <c r="B33" s="9">
        <f>((((B22*0.00314)*((B22+545)/1000))*'Технический лист'!$K$4)+370+((B23*0.00314)*((B23+450)/1000))*'Технический лист'!$K$5)*1.63</f>
        <v>2682.4561582207793</v>
      </c>
      <c r="C33" s="9">
        <f>((((C22*0.00314)*((C22+545)/1000))*'Технический лист'!$K$4)+370+((C23*0.00314)*((C23+450)/1000))*'Технический лист'!$K$5)*1.63</f>
        <v>2859.2703395914286</v>
      </c>
      <c r="D33" s="9">
        <f>((((D22*0.00314)*((D22+545)/1000))*'Технический лист'!$K$4)+370+((D23*0.00314)*((D23+450)/1000))*'Технический лист'!$K$5)*1.63</f>
        <v>2949.3289072414286</v>
      </c>
      <c r="E33" s="9">
        <f>((((E22*0.00314)*((E22+545)/1000))*'Технический лист'!$K$4)+370+((E23*0.00314)*((E23+450)/1000))*'Технический лист'!$K$5)*1.63</f>
        <v>3040.4884595345457</v>
      </c>
      <c r="F33" s="9">
        <f>((((F22*0.00314)*((F22+545)/1000))*'Технический лист'!$K$4)+370+((F23*0.00314)*((F23+450)/1000))*'Технический лист'!$K$5)*1.63</f>
        <v>3132.7489964707793</v>
      </c>
      <c r="G33" s="9">
        <f>((((G22*0.00314)*((G22+545)/1000))*'Технический лист'!$K$4)+370+((G23*0.00314)*((G23+450)/1000))*'Технический лист'!$K$5)*1.63</f>
        <v>3226.1105180501295</v>
      </c>
      <c r="H33" s="9">
        <f>((((H22*0.00314)*((H22+545)/1000))*'Технический лист'!$K$4)+370+((H23*0.00314)*((H23+450)/1000))*'Технический лист'!$K$5)*1.63</f>
        <v>3416.136515138181</v>
      </c>
      <c r="I33" s="9">
        <f>((((I22*0.00314)*((I22+545)/1000))*'Технический лист'!$K$4)+370+((I23*0.00314)*((I23+450)/1000))*'Технический лист'!$K$5)*1.63</f>
        <v>3610.566450798701</v>
      </c>
      <c r="J33" s="9">
        <f>((((J22*0.00314)*((J22+545)/1000))*'Технический лист'!$K$4)+370+((J23*0.00314)*((J23+450)/1000))*'Технический лист'!$K$5)*1.63</f>
        <v>3809.4003250316878</v>
      </c>
      <c r="K33" s="9">
        <f>((((K22*0.00314)*((K22+545)/1000))*'Технический лист'!$K$4)+370+((K23*0.00314)*((K23+450)/1000))*'Технический лист'!$K$5)*1.63</f>
        <v>4220.279889215065</v>
      </c>
      <c r="L33" s="9">
        <f>((((L22*0.00314)*((L22+545)/1000))*'Технический лист'!$K$4)+370+((L23*0.00314)*((L23+450)/1000))*'Технический лист'!$K$5)*1.63</f>
        <v>4648.775207688311</v>
      </c>
      <c r="M33" s="9">
        <f>((((M22*0.00314)*((M22+545)/1000))*'Технический лист'!$K$4)+370+((M23*0.00314)*((M23+450)/1000))*'Технический лист'!$K$5)*1.63</f>
        <v>5094.886280451428</v>
      </c>
      <c r="N33" s="9">
        <f>((((N22*0.00314)*((N22+545)/1000))*'Технический лист'!$K$4)+370+((N23*0.00314)*((N23+450)/1000))*'Технический лист'!$K$5)*1.63</f>
        <v>5797.08242888961</v>
      </c>
      <c r="O33" s="9">
        <f>((((O22*0.00314)*((O22+545)/1000))*'Технический лист'!$K$4)+370+((O23*0.00314)*((O23+450)/1000))*'Технический лист'!$K$5)*1.63</f>
        <v>6039.9556888472725</v>
      </c>
      <c r="P33" s="9">
        <f>((((P22*0.00314)*((P22+545)/1000))*'Технический лист'!$K$4)+370+((P23*0.00314)*((P23+450)/1000))*'Технический лист'!$K$5)*1.63</f>
        <v>6287.232887377402</v>
      </c>
      <c r="Q33" s="9">
        <f>((((Q22*0.00314)*((Q22+545)/1000))*'Технический лист'!$K$4)+370+((Q23*0.00314)*((Q23+450)/1000))*'Технический лист'!$K$5)*1.63</f>
        <v>6538.91402448</v>
      </c>
      <c r="R33" s="9">
        <f>((((R22*0.00314)*((R22+545)/1000))*'Технический лист'!$K$4)+370+((R23*0.00314)*((R23+450)/1000))*'Технический лист'!$K$5)*1.63</f>
        <v>6794.999100155064</v>
      </c>
      <c r="S33" s="9">
        <f>((((S22*0.00314)*((S22+545)/1000))*'Технический лист'!$K$4)+370+((S23*0.00314)*((S23+450)/1000))*'Технический лист'!$K$5)*1.63</f>
        <v>7055.488114402597</v>
      </c>
    </row>
    <row r="34" spans="1:19" ht="15" hidden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S41" sqref="S4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109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лист'!$G$7)+365+((B7*0.00314)*'Технический лист'!$G$11))*1.53</f>
        <v>1563.744864</v>
      </c>
      <c r="C8" s="16">
        <f>(((C6*0.00314)*'Технический лист'!$G$7)+365+((C7*0.00314)*'Технический лист'!$G$11))*1.53</f>
        <v>1647.2834964</v>
      </c>
      <c r="D8" s="16">
        <f>(((D6*0.00314)*'Технический лист'!$G$7)+365+((D7*0.00314)*'Технический лист'!$G$11))*1.53</f>
        <v>1689.0528126</v>
      </c>
      <c r="E8" s="16">
        <f>(((E6*0.00314)*'Технический лист'!$G$7)+365+((E7*0.00314)*'Технический лист'!$G$11))*1.53</f>
        <v>1730.8221288</v>
      </c>
      <c r="F8" s="16">
        <f>(((F6*0.00314)*'Технический лист'!$G$7)+365+((F7*0.00314)*'Технический лист'!$G$11))*1.53</f>
        <v>1772.5914449999998</v>
      </c>
      <c r="G8" s="16">
        <f>(((G6*0.00314)*'Технический лист'!$G$7)+365+((G7*0.00314)*'Технический лист'!$G$11))*1.53</f>
        <v>1814.3607612</v>
      </c>
      <c r="H8" s="16">
        <f>(((H6*0.00314)*'Технический лист'!$G$7)+365+((H7*0.00314)*'Технический лист'!$G$11))*1.53</f>
        <v>1897.8993936000002</v>
      </c>
      <c r="I8" s="16">
        <f>(((I6*0.00314)*'Технический лист'!$G$7)+365+((I7*0.00314)*'Технический лист'!$G$11))*1.53</f>
        <v>1981.438026</v>
      </c>
      <c r="J8" s="16">
        <f>(((J6*0.00314)*'Технический лист'!$G$7)+365+((J7*0.00314)*'Технический лист'!$G$11))*1.53</f>
        <v>2064.9766584</v>
      </c>
      <c r="K8" s="16">
        <f>(((K6*0.00314)*'Технический лист'!$G$7)+365+((K7*0.00314)*'Технический лист'!$G$11))*1.53</f>
        <v>2232.0539232</v>
      </c>
      <c r="L8" s="16">
        <f>(((L6*0.00314)*'Технический лист'!$G$7)+365+((L7*0.00314)*'Технический лист'!$G$11))*1.53</f>
        <v>2399.1311880000003</v>
      </c>
      <c r="M8" s="16">
        <f>(((M6*0.00314)*'Технический лист'!$G$7)+365+((M7*0.00314)*'Технический лист'!$G$11))*1.53</f>
        <v>2566.2084528</v>
      </c>
      <c r="N8" s="16">
        <f>(((N6*0.00314)*'Технический лист'!$G$7)+365+((N7*0.00314)*'Технический лист'!$G$11))*1.53</f>
        <v>2816.8243500000003</v>
      </c>
      <c r="O8" s="16">
        <f>(((O6*0.00314)*'Технический лист'!$G$7)+365+((O7*0.00314)*'Технический лист'!$G$11))*1.53</f>
        <v>2900.3629824</v>
      </c>
      <c r="P8" s="16">
        <f>(((P6*0.00314)*'Технический лист'!$G$7)+365+((P7*0.00314)*'Технический лист'!$G$11))*1.53</f>
        <v>2983.9016147999996</v>
      </c>
      <c r="Q8" s="16">
        <f>(((Q6*0.00314)*'Технический лист'!$G$7)+365+((Q7*0.00314)*'Технический лист'!$G$11))*1.53</f>
        <v>3067.4402472</v>
      </c>
      <c r="R8" s="16">
        <f>(((R6*0.00314)*'Технический лист'!$G$7)+365+((R7*0.00314)*'Технический лист'!$G$11))*1.53</f>
        <v>3150.9788796</v>
      </c>
      <c r="S8" s="16">
        <f>(((S6*0.00314)*'Технический лист'!$G$7)+365+((S7*0.00314)*'Технический лист'!$G$11))*1.53</f>
        <v>3234.5175120000004</v>
      </c>
    </row>
    <row r="9" spans="1:19" ht="15">
      <c r="A9" s="4" t="s">
        <v>3</v>
      </c>
      <c r="B9" s="9">
        <f>((B8/2)*1.07)-10</f>
        <v>826.60350224</v>
      </c>
      <c r="C9" s="9">
        <f aca="true" t="shared" si="2" ref="C9:N9">((C8/2)*1.07)-10</f>
        <v>871.2966705740001</v>
      </c>
      <c r="D9" s="9">
        <f t="shared" si="2"/>
        <v>893.643254741</v>
      </c>
      <c r="E9" s="9">
        <f t="shared" si="2"/>
        <v>915.989838908</v>
      </c>
      <c r="F9" s="9">
        <f t="shared" si="2"/>
        <v>938.336423075</v>
      </c>
      <c r="G9" s="9">
        <f t="shared" si="2"/>
        <v>960.6830072420001</v>
      </c>
      <c r="H9" s="9">
        <f t="shared" si="2"/>
        <v>1005.3761755760002</v>
      </c>
      <c r="I9" s="9">
        <f t="shared" si="2"/>
        <v>1050.06934391</v>
      </c>
      <c r="J9" s="9">
        <f t="shared" si="2"/>
        <v>1094.762512244</v>
      </c>
      <c r="K9" s="9">
        <f t="shared" si="2"/>
        <v>1184.1488489120002</v>
      </c>
      <c r="L9" s="9">
        <f t="shared" si="2"/>
        <v>1273.5351855800002</v>
      </c>
      <c r="M9" s="9">
        <f t="shared" si="2"/>
        <v>1362.9215222480002</v>
      </c>
      <c r="N9" s="9">
        <f t="shared" si="2"/>
        <v>1497.0010272500003</v>
      </c>
      <c r="O9" s="9">
        <f aca="true" t="shared" si="3" ref="O9:S9">((O8/2)*1.07)-10</f>
        <v>1541.694195584</v>
      </c>
      <c r="P9" s="9">
        <f t="shared" si="3"/>
        <v>1586.387363918</v>
      </c>
      <c r="Q9" s="9">
        <f t="shared" si="3"/>
        <v>1631.0805322520002</v>
      </c>
      <c r="R9" s="9">
        <f t="shared" si="3"/>
        <v>1675.773700586</v>
      </c>
      <c r="S9" s="9">
        <f t="shared" si="3"/>
        <v>1720.4668689200003</v>
      </c>
    </row>
    <row r="10" spans="1:19" ht="15">
      <c r="A10" s="4" t="s">
        <v>5</v>
      </c>
      <c r="B10" s="16">
        <f>((((B6*0.00314)*0.5)*'Технический лист'!$I$7)+310+(((B7*0.00314)*0.5)*'Технический лист'!$I$11))*1.6</f>
        <v>1353.2283733333334</v>
      </c>
      <c r="C10" s="16">
        <f>((((C6*0.00314)*0.5)*'Технический лист'!$I$7)+310+(((C7*0.00314)*0.5)*'Технический лист'!$I$11))*1.6</f>
        <v>1421.903104</v>
      </c>
      <c r="D10" s="16">
        <f>((((D6*0.00314)*0.5)*'Технический лист'!$I$7)+310+(((D7*0.00314)*0.5)*'Технический лист'!$I$11))*1.6</f>
        <v>1456.2404693333333</v>
      </c>
      <c r="E10" s="16">
        <f>((((E6*0.00314)*0.5)*'Технический лист'!$I$7)+310+(((E7*0.00314)*0.5)*'Технический лист'!$I$11))*1.6</f>
        <v>1490.5778346666666</v>
      </c>
      <c r="F10" s="16">
        <f>((((F6*0.00314)*0.5)*'Технический лист'!$I$7)+310+(((F7*0.00314)*0.5)*'Технический лист'!$I$11))*1.6</f>
        <v>1524.9152000000001</v>
      </c>
      <c r="G10" s="16">
        <f>((((G6*0.00314)*0.5)*'Технический лист'!$I$7)+310+(((G7*0.00314)*0.5)*'Технический лист'!$I$11))*1.6</f>
        <v>1559.2525653333332</v>
      </c>
      <c r="H10" s="16">
        <f>((((H6*0.00314)*0.5)*'Технический лист'!$I$7)+310+(((H7*0.00314)*0.5)*'Технический лист'!$I$11))*1.6</f>
        <v>1627.9272959999998</v>
      </c>
      <c r="I10" s="16">
        <f>((((I6*0.00314)*0.5)*'Технический лист'!$I$7)+310+(((I7*0.00314)*0.5)*'Технический лист'!$I$11))*1.6</f>
        <v>1696.6020266666667</v>
      </c>
      <c r="J10" s="16">
        <f>((((J6*0.00314)*0.5)*'Технический лист'!$I$7)+310+(((J7*0.00314)*0.5)*'Технический лист'!$I$11))*1.6</f>
        <v>1765.276757333333</v>
      </c>
      <c r="K10" s="16">
        <f>((((K6*0.00314)*0.5)*'Технический лист'!$I$7)+310+(((K7*0.00314)*0.5)*'Технический лист'!$I$11))*1.6</f>
        <v>1902.6262186666668</v>
      </c>
      <c r="L10" s="16">
        <f>((((L6*0.00314)*0.5)*'Технический лист'!$I$7)+310+(((L7*0.00314)*0.5)*'Технический лист'!$I$11))*1.6</f>
        <v>2039.97568</v>
      </c>
      <c r="M10" s="16">
        <f>((((M6*0.00314)*0.5)*'Технический лист'!$I$7)+310+(((M7*0.00314)*0.5)*'Технический лист'!$I$11))*1.6</f>
        <v>2177.3251413333332</v>
      </c>
      <c r="N10" s="16">
        <f>((((N6*0.00314)*0.5)*'Технический лист'!$I$7)+310+(((N7*0.00314)*0.5)*'Технический лист'!$I$11))*1.6</f>
        <v>2383.349333333333</v>
      </c>
      <c r="O10" s="16">
        <f>((((O6*0.00314)*0.5)*'Технический лист'!$I$7)+310+(((O7*0.00314)*0.5)*'Технический лист'!$I$11))*1.6</f>
        <v>2452.024064</v>
      </c>
      <c r="P10" s="16">
        <f>((((P6*0.00314)*0.5)*'Технический лист'!$I$7)+310+(((P7*0.00314)*0.5)*'Технический лист'!$I$11))*1.6</f>
        <v>2520.698794666667</v>
      </c>
      <c r="Q10" s="16">
        <f>((((Q6*0.00314)*0.5)*'Технический лист'!$I$7)+310+(((Q7*0.00314)*0.5)*'Технический лист'!$I$11))*1.6</f>
        <v>2589.3735253333334</v>
      </c>
      <c r="R10" s="16">
        <f>((((R6*0.00314)*0.5)*'Технический лист'!$I$7)+310+(((R7*0.00314)*0.5)*'Технический лист'!$I$11))*1.6</f>
        <v>2658.048256</v>
      </c>
      <c r="S10" s="16">
        <f>((((S6*0.00314)*0.5)*'Технический лист'!$I$7)+310+(((S7*0.00314)*0.5)*'Технический лист'!$I$11))*1.6</f>
        <v>2726.722986666666</v>
      </c>
    </row>
    <row r="11" spans="1:19" ht="15">
      <c r="A11" s="4" t="s">
        <v>96</v>
      </c>
      <c r="B11" s="9">
        <f>((B10*2)/3)-6</f>
        <v>896.152248888889</v>
      </c>
      <c r="C11" s="9">
        <f aca="true" t="shared" si="4" ref="C11:N11">((C10*2)/3)-6</f>
        <v>941.9354026666666</v>
      </c>
      <c r="D11" s="9">
        <f t="shared" si="4"/>
        <v>964.8269795555556</v>
      </c>
      <c r="E11" s="9">
        <f t="shared" si="4"/>
        <v>987.7185564444444</v>
      </c>
      <c r="F11" s="9">
        <f t="shared" si="4"/>
        <v>1010.6101333333335</v>
      </c>
      <c r="G11" s="9">
        <f t="shared" si="4"/>
        <v>1033.501710222222</v>
      </c>
      <c r="H11" s="9">
        <f t="shared" si="4"/>
        <v>1079.284864</v>
      </c>
      <c r="I11" s="9">
        <f t="shared" si="4"/>
        <v>1125.0680177777779</v>
      </c>
      <c r="J11" s="9">
        <f t="shared" si="4"/>
        <v>1170.8511715555553</v>
      </c>
      <c r="K11" s="9">
        <f t="shared" si="4"/>
        <v>1262.417479111111</v>
      </c>
      <c r="L11" s="9">
        <f t="shared" si="4"/>
        <v>1353.9837866666667</v>
      </c>
      <c r="M11" s="9">
        <f t="shared" si="4"/>
        <v>1445.5500942222222</v>
      </c>
      <c r="N11" s="9">
        <f t="shared" si="4"/>
        <v>1582.8995555555555</v>
      </c>
      <c r="O11" s="9">
        <f aca="true" t="shared" si="5" ref="O11:S11">((O10*2)/3)-6</f>
        <v>1628.6827093333334</v>
      </c>
      <c r="P11" s="9">
        <f t="shared" si="5"/>
        <v>1674.4658631111113</v>
      </c>
      <c r="Q11" s="9">
        <f t="shared" si="5"/>
        <v>1720.249016888889</v>
      </c>
      <c r="R11" s="9">
        <f t="shared" si="5"/>
        <v>1766.0321706666666</v>
      </c>
      <c r="S11" s="9">
        <f t="shared" si="5"/>
        <v>1811.815324444444</v>
      </c>
    </row>
    <row r="12" spans="1:19" ht="15">
      <c r="A12" s="4" t="s">
        <v>6</v>
      </c>
      <c r="B12" s="16">
        <f>((((B6*0.00314)*0.22)*'Технический лист'!$M$7)+100+(((B7*0.00314)*0.21)*'Технический лист'!$O$11)+(((B6+30)*(B6+30)/1000000)*'Технический лист'!$E$20))*1.57</f>
        <v>756.0055163200001</v>
      </c>
      <c r="C12" s="16">
        <f>((((C6*0.00314)*0.22)*'Технический лист'!$M$7)+100+(((C7*0.00314)*0.21)*'Технический лист'!$O$11)+(((C6+30)*(C6+30)/1000000)*'Технический лист'!$E$20))*1.57</f>
        <v>811.081884992</v>
      </c>
      <c r="D12" s="16">
        <f>((((D6*0.00314)*0.22)*'Технический лист'!$M$7)+100+(((D7*0.00314)*0.21)*'Технический лист'!$O$11)+(((D6+30)*(D6+30)/1000000)*'Технический лист'!$E$20))*1.57</f>
        <v>839.0910693280001</v>
      </c>
      <c r="E12" s="16">
        <f>((((E6*0.00314)*0.22)*'Технический лист'!$M$7)+100+(((E7*0.00314)*0.21)*'Технический лист'!$O$11)+(((E6+30)*(E6+30)/1000000)*'Технический лист'!$E$20))*1.57</f>
        <v>867.4142536640001</v>
      </c>
      <c r="F12" s="16">
        <f>((((F6*0.00314)*0.22)*'Технический лист'!$M$7)+100+(((F7*0.00314)*0.21)*'Технический лист'!$O$11)+(((F6+30)*(F6+30)/1000000)*'Технический лист'!$E$20))*1.57</f>
        <v>896.0514380000002</v>
      </c>
      <c r="G12" s="16">
        <f>((((G6*0.00314)*0.22)*'Технический лист'!$M$7)+100+(((G7*0.00314)*0.21)*'Технический лист'!$O$11)+(((G6+30)*(G6+30)/1000000)*'Технический лист'!$E$20))*1.57</f>
        <v>925.0026223360001</v>
      </c>
      <c r="H12" s="16">
        <f>((((H6*0.00314)*0.22)*'Технический лист'!$M$7)+100+(((H7*0.00314)*0.21)*'Технический лист'!$O$11)+(((H6+30)*(H6+30)/1000000)*'Технический лист'!$E$20))*1.57</f>
        <v>983.846991008</v>
      </c>
      <c r="I12" s="16">
        <f>((((I6*0.00314)*0.22)*'Технический лист'!$M$7)+100+(((I7*0.00314)*0.21)*'Технический лист'!$O$11)+(((I6+30)*(I6+30)/1000000)*'Технический лист'!$E$20))*1.57</f>
        <v>1043.94735968</v>
      </c>
      <c r="J12" s="16">
        <f>((((J6*0.00314)*0.22)*'Технический лист'!$M$7)+100+(((J7*0.00314)*0.21)*'Технический лист'!$O$11)+(((J6+30)*(J6+30)/1000000)*'Технический лист'!$E$20))*1.57</f>
        <v>1105.3037283519998</v>
      </c>
      <c r="K12" s="16">
        <f>((((K6*0.00314)*0.22)*'Технический лист'!$M$7)+100+(((K7*0.00314)*0.21)*'Технический лист'!$O$11)+(((K6+30)*(K6+30)/1000000)*'Технический лист'!$E$20))*1.57</f>
        <v>1231.784465696</v>
      </c>
      <c r="L12" s="16">
        <f>((((L6*0.00314)*0.22)*'Технический лист'!$M$7)+100+(((L7*0.00314)*0.21)*'Технический лист'!$O$11)+(((L6+30)*(L6+30)/1000000)*'Технический лист'!$E$20))*1.57</f>
        <v>1363.28920304</v>
      </c>
      <c r="M12" s="16">
        <f>((((M6*0.00314)*0.22)*'Технический лист'!$M$7)+100+(((M7*0.00314)*0.21)*'Технический лист'!$O$11)+(((M6+30)*(M6+30)/1000000)*'Технический лист'!$E$20))*1.57</f>
        <v>1499.817940384</v>
      </c>
      <c r="N12" s="16">
        <f>((((N6*0.00314)*0.22)*'Технический лист'!$M$7)+100+(((N7*0.00314)*0.21)*'Технический лист'!$O$11)+(((N6+30)*(N6+30)/1000000)*'Технический лист'!$E$20))*1.57</f>
        <v>1714.0310464000002</v>
      </c>
      <c r="O12" s="16">
        <f>((((O6*0.00314)*0.22)*'Технический лист'!$M$7)+100+(((O7*0.00314)*0.21)*'Технический лист'!$O$11)+(((O6+30)*(O6+30)/1000000)*'Технический лист'!$E$20))*1.57</f>
        <v>1787.9474150720002</v>
      </c>
      <c r="P12" s="16">
        <f>((((P6*0.00314)*0.22)*'Технический лист'!$M$7)+100+(((P7*0.00314)*0.21)*'Технический лист'!$O$11)+(((P6+30)*(P6+30)/1000000)*'Технический лист'!$E$20))*1.57</f>
        <v>1863.119783744</v>
      </c>
      <c r="Q12" s="16">
        <f>((((Q6*0.00314)*0.22)*'Технический лист'!$M$7)+100+(((Q7*0.00314)*0.21)*'Технический лист'!$O$11)+(((Q6+30)*(Q6+30)/1000000)*'Технический лист'!$E$20))*1.57</f>
        <v>1939.5481524160002</v>
      </c>
      <c r="R12" s="16">
        <f>((((R6*0.00314)*0.22)*'Технический лист'!$M$7)+100+(((R7*0.00314)*0.21)*'Технический лист'!$O$11)+(((R6+30)*(R6+30)/1000000)*'Технический лист'!$E$20))*1.57</f>
        <v>2017.2325210879999</v>
      </c>
      <c r="S12" s="16">
        <f>((((S6*0.00314)*0.22)*'Технический лист'!$M$7)+100+(((S7*0.00314)*0.21)*'Технический лист'!$O$11)+(((S6+30)*(S6+30)/1000000)*'Технический лист'!$E$20))*1.57</f>
        <v>2096.17288976</v>
      </c>
    </row>
    <row r="13" spans="1:19" ht="15">
      <c r="A13" s="4" t="s">
        <v>7</v>
      </c>
      <c r="B13" s="9">
        <f>(B12*2.2)+24</f>
        <v>1687.2121359040002</v>
      </c>
      <c r="C13" s="9">
        <f aca="true" t="shared" si="6" ref="C13:N13">(C12*2.2)+24</f>
        <v>1808.3801469824002</v>
      </c>
      <c r="D13" s="9">
        <f t="shared" si="6"/>
        <v>1870.0003525216005</v>
      </c>
      <c r="E13" s="9">
        <f t="shared" si="6"/>
        <v>1932.3113580608003</v>
      </c>
      <c r="F13" s="9">
        <f t="shared" si="6"/>
        <v>1995.3131636000005</v>
      </c>
      <c r="G13" s="9">
        <f t="shared" si="6"/>
        <v>2059.0057691392003</v>
      </c>
      <c r="H13" s="9">
        <f t="shared" si="6"/>
        <v>2188.4633802176004</v>
      </c>
      <c r="I13" s="9">
        <f t="shared" si="6"/>
        <v>2320.6841912960003</v>
      </c>
      <c r="J13" s="9">
        <f t="shared" si="6"/>
        <v>2455.6682023743997</v>
      </c>
      <c r="K13" s="9">
        <f t="shared" si="6"/>
        <v>2733.9258245312003</v>
      </c>
      <c r="L13" s="9">
        <f t="shared" si="6"/>
        <v>3023.2362466880004</v>
      </c>
      <c r="M13" s="9">
        <f t="shared" si="6"/>
        <v>3323.5994688448</v>
      </c>
      <c r="N13" s="9">
        <f t="shared" si="6"/>
        <v>3794.868302080001</v>
      </c>
      <c r="O13" s="9">
        <f aca="true" t="shared" si="7" ref="O13:S13">(O12*2.2)+24</f>
        <v>3957.4843131584007</v>
      </c>
      <c r="P13" s="9">
        <f t="shared" si="7"/>
        <v>4122.8635242368</v>
      </c>
      <c r="Q13" s="9">
        <f t="shared" si="7"/>
        <v>4291.005935315201</v>
      </c>
      <c r="R13" s="9">
        <f t="shared" si="7"/>
        <v>4461.9115463936005</v>
      </c>
      <c r="S13" s="9">
        <f t="shared" si="7"/>
        <v>4635.580357472</v>
      </c>
    </row>
    <row r="14" spans="1:19" ht="15">
      <c r="A14" s="4" t="s">
        <v>8</v>
      </c>
      <c r="B14" s="16">
        <f>((((B6*0.00314)*0.2)*'Технический лист'!$M$7)+50+(((B7*0.00314)*0.22)*'Технический лист'!$O$11))*1.57</f>
        <v>557.5056602666667</v>
      </c>
      <c r="C14" s="16">
        <f>((((C6*0.00314)*0.2)*'Технический лист'!$M$7)+50+(((C7*0.00314)*0.22)*'Технический лист'!$O$11))*1.57</f>
        <v>593.7074822400001</v>
      </c>
      <c r="D14" s="16">
        <f>((((D6*0.00314)*0.2)*'Технический лист'!$M$7)+50+(((D7*0.00314)*0.22)*'Технический лист'!$O$11))*1.57</f>
        <v>611.8083932266667</v>
      </c>
      <c r="E14" s="16">
        <f>((((E6*0.00314)*0.2)*'Технический лист'!$M$7)+50+(((E7*0.00314)*0.22)*'Технический лист'!$O$11))*1.57</f>
        <v>629.9093042133335</v>
      </c>
      <c r="F14" s="16">
        <f>((((F6*0.00314)*0.2)*'Технический лист'!$M$7)+50+(((F7*0.00314)*0.22)*'Технический лист'!$O$11))*1.57</f>
        <v>648.0102152000002</v>
      </c>
      <c r="G14" s="16">
        <f>((((G6*0.00314)*0.2)*'Технический лист'!$M$7)+50+(((G7*0.00314)*0.22)*'Технический лист'!$O$11))*1.57</f>
        <v>666.1111261866668</v>
      </c>
      <c r="H14" s="16">
        <f>((((H6*0.00314)*0.2)*'Технический лист'!$M$7)+50+(((H7*0.00314)*0.22)*'Технический лист'!$O$11))*1.57</f>
        <v>702.3129481600001</v>
      </c>
      <c r="I14" s="16">
        <f>((((I6*0.00314)*0.2)*'Технический лист'!$M$7)+50+(((I7*0.00314)*0.22)*'Технический лист'!$O$11))*1.57</f>
        <v>738.5147701333334</v>
      </c>
      <c r="J14" s="16">
        <f>((((J6*0.00314)*0.2)*'Технический лист'!$M$7)+50+(((J7*0.00314)*0.22)*'Технический лист'!$O$11))*1.57</f>
        <v>774.7165921066667</v>
      </c>
      <c r="K14" s="16">
        <f>((((K6*0.00314)*0.2)*'Технический лист'!$M$7)+50+(((K7*0.00314)*0.22)*'Технический лист'!$O$11))*1.57</f>
        <v>847.1202360533333</v>
      </c>
      <c r="L14" s="16">
        <f>((((L6*0.00314)*0.2)*'Технический лист'!$M$7)+50+(((L7*0.00314)*0.22)*'Технический лист'!$O$11))*1.57</f>
        <v>919.52388</v>
      </c>
      <c r="M14" s="16">
        <f>((((M6*0.00314)*0.2)*'Технический лист'!$M$7)+50+(((M7*0.00314)*0.22)*'Технический лист'!$O$11))*1.57</f>
        <v>991.9275239466667</v>
      </c>
      <c r="N14" s="16">
        <f>((((N6*0.00314)*0.2)*'Технический лист'!$M$7)+50+(((N7*0.00314)*0.22)*'Технический лист'!$O$11))*1.57</f>
        <v>1100.5329898666669</v>
      </c>
      <c r="O14" s="16">
        <f>((((O6*0.00314)*0.2)*'Технический лист'!$M$7)+50+(((O7*0.00314)*0.22)*'Технический лист'!$O$11))*1.57</f>
        <v>1136.7348118400002</v>
      </c>
      <c r="P14" s="16">
        <f>((((P6*0.00314)*0.2)*'Технический лист'!$M$7)+50+(((P7*0.00314)*0.22)*'Технический лист'!$O$11))*1.57</f>
        <v>1172.9366338133334</v>
      </c>
      <c r="Q14" s="16">
        <f>((((Q6*0.00314)*0.2)*'Технический лист'!$M$7)+50+(((Q7*0.00314)*0.22)*'Технический лист'!$O$11))*1.57</f>
        <v>1209.1384557866668</v>
      </c>
      <c r="R14" s="16">
        <f>((((R6*0.00314)*0.2)*'Технический лист'!$M$7)+50+(((R7*0.00314)*0.22)*'Технический лист'!$O$11))*1.57</f>
        <v>1245.3402777600002</v>
      </c>
      <c r="S14" s="16">
        <f>((((S6*0.00314)*0.2)*'Технический лист'!$M$7)+50+(((S7*0.00314)*0.22)*'Технический лист'!$O$11))*1.57</f>
        <v>1281.5420997333335</v>
      </c>
    </row>
    <row r="15" spans="1:19" ht="15">
      <c r="A15" s="4" t="s">
        <v>99</v>
      </c>
      <c r="B15" s="16">
        <v>2722</v>
      </c>
      <c r="C15" s="16">
        <v>2903</v>
      </c>
      <c r="D15" s="16">
        <v>2993</v>
      </c>
      <c r="E15" s="16">
        <v>3383</v>
      </c>
      <c r="F15" s="16">
        <v>3173</v>
      </c>
      <c r="G15" s="16">
        <v>3270</v>
      </c>
      <c r="H15" s="16">
        <v>3458</v>
      </c>
      <c r="I15" s="16">
        <v>3203</v>
      </c>
      <c r="J15" s="16">
        <v>3855</v>
      </c>
      <c r="K15" s="16">
        <v>4260</v>
      </c>
      <c r="L15" s="16">
        <v>4695</v>
      </c>
      <c r="M15" s="16">
        <v>5145</v>
      </c>
      <c r="N15" s="16">
        <v>5850</v>
      </c>
      <c r="O15" s="16">
        <v>6090</v>
      </c>
      <c r="P15" s="16">
        <v>6338</v>
      </c>
      <c r="Q15" s="16">
        <v>6593</v>
      </c>
      <c r="R15" s="16">
        <v>6855</v>
      </c>
      <c r="S15" s="16">
        <v>7118</v>
      </c>
    </row>
    <row r="16" spans="1:19" ht="15">
      <c r="A16" s="4" t="s">
        <v>102</v>
      </c>
      <c r="B16" s="16">
        <v>2722</v>
      </c>
      <c r="C16" s="16">
        <v>2903</v>
      </c>
      <c r="D16" s="16">
        <v>2993</v>
      </c>
      <c r="E16" s="16">
        <v>3383</v>
      </c>
      <c r="F16" s="16">
        <v>3173</v>
      </c>
      <c r="G16" s="16">
        <v>3270</v>
      </c>
      <c r="H16" s="16">
        <v>3458</v>
      </c>
      <c r="I16" s="16">
        <v>3203</v>
      </c>
      <c r="J16" s="16">
        <v>3855</v>
      </c>
      <c r="K16" s="16">
        <v>4260</v>
      </c>
      <c r="L16" s="16">
        <v>4695</v>
      </c>
      <c r="M16" s="16">
        <v>5145</v>
      </c>
      <c r="N16" s="16">
        <v>5850</v>
      </c>
      <c r="O16" s="16">
        <v>6090</v>
      </c>
      <c r="P16" s="16">
        <v>6338</v>
      </c>
      <c r="Q16" s="16">
        <v>6593</v>
      </c>
      <c r="R16" s="16">
        <v>6855</v>
      </c>
      <c r="S16" s="16">
        <v>7118</v>
      </c>
    </row>
    <row r="17" spans="1:19" ht="15">
      <c r="A17" s="4" t="s">
        <v>9</v>
      </c>
      <c r="B17" s="9">
        <f>((((B6*0.00314)*((B6+545)/1000))*'Технический лист'!$K$7)+370+((B7*0.00314)*((B7+450)/1000))*'Технический лист'!$K$11)*1.64</f>
        <v>1803.5519345066664</v>
      </c>
      <c r="C17" s="9">
        <f>((((C6*0.00314)*((C6+545)/1000))*'Технический лист'!$K$7)+370+((C7*0.00314)*((C7+450)/1000))*'Технический лист'!$K$11)*1.64</f>
        <v>1920.5111602559998</v>
      </c>
      <c r="D17" s="9">
        <f>((((D6*0.00314)*((D6+545)/1000))*'Технический лист'!$K$7)+370+((D7*0.00314)*((D7+450)/1000))*'Технический лист'!$K$11)*1.64</f>
        <v>1980.1161667146664</v>
      </c>
      <c r="E17" s="9">
        <f>((((E6*0.00314)*((E6+545)/1000))*'Технический лист'!$K$7)+370+((E7*0.00314)*((E7+450)/1000))*'Технический лист'!$K$11)*1.64</f>
        <v>2040.4714355626666</v>
      </c>
      <c r="F17" s="9">
        <f>((((F6*0.00314)*((F6+545)/1000))*'Технический лист'!$K$7)+370+((F7*0.00314)*((F7+450)/1000))*'Технический лист'!$K$11)*1.64</f>
        <v>2101.5769667999994</v>
      </c>
      <c r="G17" s="9">
        <f>((((G6*0.00314)*((G6+545)/1000))*'Технический лист'!$K$7)+370+((G7*0.00314)*((G7+450)/1000))*'Технический лист'!$K$11)*1.64</f>
        <v>2163.4327604266664</v>
      </c>
      <c r="H17" s="9">
        <f>((((H6*0.00314)*((H6+545)/1000))*'Технический лист'!$K$7)+370+((H7*0.00314)*((H7+450)/1000))*'Технический лист'!$K$11)*1.64</f>
        <v>2289.395134848</v>
      </c>
      <c r="I17" s="9">
        <f>((((I6*0.00314)*((I6+545)/1000))*'Технический лист'!$K$7)+370+((I7*0.00314)*((I7+450)/1000))*'Технический лист'!$K$11)*1.64</f>
        <v>2418.358558826666</v>
      </c>
      <c r="J17" s="9">
        <f>((((J6*0.00314)*((J6+545)/1000))*'Технический лист'!$K$7)+370+((J7*0.00314)*((J7+450)/1000))*'Технический лист'!$K$11)*1.64</f>
        <v>2550.3230323626663</v>
      </c>
      <c r="K17" s="9">
        <f>((((K6*0.00314)*((K6+545)/1000))*'Технический лист'!$K$7)+370+((K7*0.00314)*((K7+450)/1000))*'Технический лист'!$K$11)*1.64</f>
        <v>2823.2551281066662</v>
      </c>
      <c r="L17" s="9">
        <f>((((L6*0.00314)*((L6+545)/1000))*'Технический лист'!$K$7)+370+((L7*0.00314)*((L7+450)/1000))*'Технический лист'!$K$11)*1.64</f>
        <v>3108.1914220799995</v>
      </c>
      <c r="M17" s="9">
        <f>((((M6*0.00314)*((M6+545)/1000))*'Технический лист'!$K$7)+370+((M7*0.00314)*((M7+450)/1000))*'Технический лист'!$K$11)*1.64</f>
        <v>3405.1319142826665</v>
      </c>
      <c r="N17" s="9">
        <f>((((N6*0.00314)*((N6+545)/1000))*'Технический лист'!$K$7)+370+((N7*0.00314)*((N7+450)/1000))*'Технический лист'!$K$11)*1.64</f>
        <v>3873.0505242666663</v>
      </c>
      <c r="O17" s="9">
        <f>((((O6*0.00314)*((O6+545)/1000))*'Технический лист'!$K$7)+370+((O7*0.00314)*((O7+450)/1000))*'Технический лист'!$K$11)*1.64</f>
        <v>4035.0254933759993</v>
      </c>
      <c r="P17" s="9">
        <f>((((P6*0.00314)*((P6+545)/1000))*'Технический лист'!$K$7)+370+((P7*0.00314)*((P7+450)/1000))*'Технический лист'!$K$11)*1.64</f>
        <v>4200.001512042666</v>
      </c>
      <c r="Q17" s="9">
        <f>((((Q6*0.00314)*((Q6+545)/1000))*'Технический лист'!$K$7)+370+((Q7*0.00314)*((Q7+450)/1000))*'Технический лист'!$K$11)*1.64</f>
        <v>4367.978580266666</v>
      </c>
      <c r="R17" s="9">
        <f>((((R6*0.00314)*((R6+545)/1000))*'Технический лист'!$K$7)+370+((R7*0.00314)*((R7+450)/1000))*'Технический лист'!$K$11)*1.64</f>
        <v>4538.9566980479985</v>
      </c>
      <c r="S17" s="9">
        <f>((((S6*0.00314)*((S6+545)/1000))*'Технический лист'!$K$7)+370+((S7*0.00314)*((S7+450)/1000))*'Технический лист'!$K$11)*1.64</f>
        <v>4712.935865386666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60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8" ref="C23:N23">C22+100</f>
        <v>210</v>
      </c>
      <c r="D23" s="10">
        <f t="shared" si="8"/>
        <v>215</v>
      </c>
      <c r="E23" s="10">
        <f t="shared" si="8"/>
        <v>220</v>
      </c>
      <c r="F23" s="10">
        <f t="shared" si="8"/>
        <v>225</v>
      </c>
      <c r="G23" s="10">
        <f t="shared" si="8"/>
        <v>230</v>
      </c>
      <c r="H23" s="10">
        <f t="shared" si="8"/>
        <v>240</v>
      </c>
      <c r="I23" s="10">
        <f t="shared" si="8"/>
        <v>250</v>
      </c>
      <c r="J23" s="10">
        <f t="shared" si="8"/>
        <v>260</v>
      </c>
      <c r="K23" s="10">
        <f t="shared" si="8"/>
        <v>280</v>
      </c>
      <c r="L23" s="10">
        <f t="shared" si="8"/>
        <v>300</v>
      </c>
      <c r="M23" s="10">
        <f t="shared" si="8"/>
        <v>320</v>
      </c>
      <c r="N23" s="10">
        <f t="shared" si="8"/>
        <v>350</v>
      </c>
      <c r="O23" s="10">
        <f aca="true" t="shared" si="9" ref="O23:S23">O22+100</f>
        <v>360</v>
      </c>
      <c r="P23" s="10">
        <f t="shared" si="9"/>
        <v>370</v>
      </c>
      <c r="Q23" s="10">
        <f t="shared" si="9"/>
        <v>380</v>
      </c>
      <c r="R23" s="10">
        <f t="shared" si="9"/>
        <v>390</v>
      </c>
      <c r="S23" s="10">
        <f t="shared" si="9"/>
        <v>400</v>
      </c>
    </row>
    <row r="24" spans="1:19" ht="15">
      <c r="A24" s="4" t="s">
        <v>4</v>
      </c>
      <c r="B24" s="16">
        <f>(((B22*0.00314)*'Технический лист'!$G$7)+365+((B23*0.00314)*'Технический лист'!$G$5))*1.52</f>
        <v>2300.308416</v>
      </c>
      <c r="C24" s="16">
        <f>(((C22*0.00314)*'Технический лист'!$G$7)+365+((C23*0.00314)*'Технический лист'!$G$5))*1.52</f>
        <v>2420.6402496</v>
      </c>
      <c r="D24" s="16">
        <f>(((D22*0.00314)*'Технический лист'!$G$7)+365+((D23*0.00314)*'Технический лист'!$G$5))*1.52</f>
        <v>2480.8061664</v>
      </c>
      <c r="E24" s="16">
        <f>(((E22*0.00314)*'Технический лист'!$G$7)+365+((E23*0.00314)*'Технический лист'!$G$5))*1.52</f>
        <v>2540.9720832000003</v>
      </c>
      <c r="F24" s="16">
        <f>(((F22*0.00314)*'Технический лист'!$G$7)+365+((F23*0.00314)*'Технический лист'!$G$5))*1.52</f>
        <v>2601.1380000000004</v>
      </c>
      <c r="G24" s="16">
        <f>(((G22*0.00314)*'Технический лист'!$G$7)+365+((G23*0.00314)*'Технический лист'!$G$5))*1.52</f>
        <v>2661.3039168</v>
      </c>
      <c r="H24" s="16">
        <f>(((H22*0.00314)*'Технический лист'!$G$7)+365+((H23*0.00314)*'Технический лист'!$G$5))*1.52</f>
        <v>2781.6357504000002</v>
      </c>
      <c r="I24" s="16">
        <f>(((I22*0.00314)*'Технический лист'!$G$7)+365+((I23*0.00314)*'Технический лист'!$G$5))*1.52</f>
        <v>2901.967584</v>
      </c>
      <c r="J24" s="16">
        <f>(((J22*0.00314)*'Технический лист'!$G$7)+365+((J23*0.00314)*'Технический лист'!$G$5))*1.52</f>
        <v>3022.2994176</v>
      </c>
      <c r="K24" s="16">
        <f>(((K22*0.00314)*'Технический лист'!$G$7)+365+((K23*0.00314)*'Технический лист'!$G$5))*1.52</f>
        <v>3262.9630848</v>
      </c>
      <c r="L24" s="16">
        <f>(((L22*0.00314)*'Технический лист'!$G$7)+365+((L23*0.00314)*'Технический лист'!$G$5))*1.52</f>
        <v>3503.626752</v>
      </c>
      <c r="M24" s="16">
        <f>(((M22*0.00314)*'Технический лист'!$G$7)+365+((M23*0.00314)*'Технический лист'!$G$5))*1.52</f>
        <v>3744.2904191999996</v>
      </c>
      <c r="N24" s="16">
        <f>(((N22*0.00314)*'Технический лист'!$G$7)+365+((N23*0.00314)*'Технический лист'!$G$5))*1.52</f>
        <v>4105.28592</v>
      </c>
      <c r="O24" s="16">
        <f>(((O22*0.00314)*'Технический лист'!$G$7)+365+((O23*0.00314)*'Технический лист'!$G$5))*1.52</f>
        <v>4225.6177536000005</v>
      </c>
      <c r="P24" s="16">
        <f>(((P22*0.00314)*'Технический лист'!$G$7)+365+((P23*0.00314)*'Технический лист'!$G$5))*1.52</f>
        <v>4345.9495872</v>
      </c>
      <c r="Q24" s="16">
        <f>(((Q22*0.00314)*'Технический лист'!$G$7)+365+((Q23*0.00314)*'Технический лист'!$G$5))*1.52</f>
        <v>4466.2814208</v>
      </c>
      <c r="R24" s="16">
        <f>(((R22*0.00314)*'Технический лист'!$G$7)+365+((R23*0.00314)*'Технический лист'!$G$5))*1.52</f>
        <v>4586.6132544</v>
      </c>
      <c r="S24" s="16">
        <f>(((S22*0.00314)*'Технический лист'!$G$7)+365+((S23*0.00314)*'Технический лист'!$G$5))*1.52</f>
        <v>4706.9450879999995</v>
      </c>
    </row>
    <row r="25" spans="1:19" ht="15">
      <c r="A25" s="4" t="s">
        <v>3</v>
      </c>
      <c r="B25" s="9">
        <f>((B24/2)*1.07)-10</f>
        <v>1220.66500256</v>
      </c>
      <c r="C25" s="9">
        <f aca="true" t="shared" si="10" ref="C25:N25">((C24/2)*1.07)-10</f>
        <v>1285.042533536</v>
      </c>
      <c r="D25" s="9">
        <f t="shared" si="10"/>
        <v>1317.2312990240002</v>
      </c>
      <c r="E25" s="9">
        <f t="shared" si="10"/>
        <v>1349.4200645120002</v>
      </c>
      <c r="F25" s="9">
        <f t="shared" si="10"/>
        <v>1381.6088300000004</v>
      </c>
      <c r="G25" s="9">
        <f t="shared" si="10"/>
        <v>1413.797595488</v>
      </c>
      <c r="H25" s="9">
        <f t="shared" si="10"/>
        <v>1478.1751264640002</v>
      </c>
      <c r="I25" s="9">
        <f t="shared" si="10"/>
        <v>1542.55265744</v>
      </c>
      <c r="J25" s="9">
        <f t="shared" si="10"/>
        <v>1606.9301884160002</v>
      </c>
      <c r="K25" s="9">
        <f t="shared" si="10"/>
        <v>1735.6852503680002</v>
      </c>
      <c r="L25" s="9">
        <f t="shared" si="10"/>
        <v>1864.4403123200002</v>
      </c>
      <c r="M25" s="9">
        <f t="shared" si="10"/>
        <v>1993.195374272</v>
      </c>
      <c r="N25" s="9">
        <f t="shared" si="10"/>
        <v>2186.3279672000003</v>
      </c>
      <c r="O25" s="9">
        <f aca="true" t="shared" si="11" ref="O25:S25">((O24/2)*1.07)-10</f>
        <v>2250.705498176</v>
      </c>
      <c r="P25" s="9">
        <f t="shared" si="11"/>
        <v>2315.083029152</v>
      </c>
      <c r="Q25" s="9">
        <f t="shared" si="11"/>
        <v>2379.460560128</v>
      </c>
      <c r="R25" s="9">
        <f t="shared" si="11"/>
        <v>2443.8380911040003</v>
      </c>
      <c r="S25" s="9">
        <f t="shared" si="11"/>
        <v>2508.21562208</v>
      </c>
    </row>
    <row r="26" spans="1:19" ht="15">
      <c r="A26" s="4" t="s">
        <v>5</v>
      </c>
      <c r="B26" s="16">
        <f>((((B22*0.00314)*0.5)*'Технический лист'!$I$7)+310+(((B23*0.00314)*0.5)*'Технический лист'!$I$5))*1.58</f>
        <v>1885.6832319999999</v>
      </c>
      <c r="C26" s="16">
        <f>((((C22*0.00314)*0.5)*'Технический лист'!$I$7)+310+(((C23*0.00314)*0.5)*'Технический лист'!$I$5))*1.58</f>
        <v>1980.9680392</v>
      </c>
      <c r="D26" s="16">
        <f>((((D22*0.00314)*0.5)*'Технический лист'!$I$7)+310+(((D23*0.00314)*0.5)*'Технический лист'!$I$5))*1.58</f>
        <v>2028.6104428</v>
      </c>
      <c r="E26" s="16">
        <f>((((E22*0.00314)*0.5)*'Технический лист'!$I$7)+310+(((E23*0.00314)*0.5)*'Технический лист'!$I$5))*1.58</f>
        <v>2076.2528464</v>
      </c>
      <c r="F26" s="16">
        <f>((((F22*0.00314)*0.5)*'Технический лист'!$I$7)+310+(((F23*0.00314)*0.5)*'Технический лист'!$I$5))*1.58</f>
        <v>2123.89525</v>
      </c>
      <c r="G26" s="16">
        <f>((((G22*0.00314)*0.5)*'Технический лист'!$I$7)+310+(((G23*0.00314)*0.5)*'Технический лист'!$I$5))*1.58</f>
        <v>2171.5376536</v>
      </c>
      <c r="H26" s="16">
        <f>((((H22*0.00314)*0.5)*'Технический лист'!$I$7)+310+(((H23*0.00314)*0.5)*'Технический лист'!$I$5))*1.58</f>
        <v>2266.8224608</v>
      </c>
      <c r="I26" s="16">
        <f>((((I22*0.00314)*0.5)*'Технический лист'!$I$7)+310+(((I23*0.00314)*0.5)*'Технический лист'!$I$5))*1.58</f>
        <v>2362.1072679999997</v>
      </c>
      <c r="J26" s="16">
        <f>((((J22*0.00314)*0.5)*'Технический лист'!$I$7)+310+(((J23*0.00314)*0.5)*'Технический лист'!$I$5))*1.58</f>
        <v>2457.3920752</v>
      </c>
      <c r="K26" s="16">
        <f>((((K22*0.00314)*0.5)*'Технический лист'!$I$7)+310+(((K23*0.00314)*0.5)*'Технический лист'!$I$5))*1.58</f>
        <v>2647.9616895999998</v>
      </c>
      <c r="L26" s="16">
        <f>((((L22*0.00314)*0.5)*'Технический лист'!$I$7)+310+(((L23*0.00314)*0.5)*'Технический лист'!$I$5))*1.58</f>
        <v>2838.5313039999996</v>
      </c>
      <c r="M26" s="16">
        <f>((((M22*0.00314)*0.5)*'Технический лист'!$I$7)+310+(((M23*0.00314)*0.5)*'Технический лист'!$I$5))*1.58</f>
        <v>3029.1009183999995</v>
      </c>
      <c r="N26" s="16">
        <f>((((N22*0.00314)*0.5)*'Технический лист'!$I$7)+310+(((N23*0.00314)*0.5)*'Технический лист'!$I$5))*1.58</f>
        <v>3314.95534</v>
      </c>
      <c r="O26" s="16">
        <f>((((O22*0.00314)*0.5)*'Технический лист'!$I$7)+310+(((O23*0.00314)*0.5)*'Технический лист'!$I$5))*1.58</f>
        <v>3410.2401472</v>
      </c>
      <c r="P26" s="16">
        <f>((((P22*0.00314)*0.5)*'Технический лист'!$I$7)+310+(((P23*0.00314)*0.5)*'Технический лист'!$I$5))*1.58</f>
        <v>3505.5249544</v>
      </c>
      <c r="Q26" s="16">
        <f>((((Q22*0.00314)*0.5)*'Технический лист'!$I$7)+310+(((Q23*0.00314)*0.5)*'Технический лист'!$I$5))*1.58</f>
        <v>3600.8097616</v>
      </c>
      <c r="R26" s="16">
        <f>((((R22*0.00314)*0.5)*'Технический лист'!$I$7)+310+(((R23*0.00314)*0.5)*'Технический лист'!$I$5))*1.58</f>
        <v>3696.0945688000006</v>
      </c>
      <c r="S26" s="16">
        <f>((((S22*0.00314)*0.5)*'Технический лист'!$I$7)+310+(((S23*0.00314)*0.5)*'Технический лист'!$I$5))*1.58</f>
        <v>3791.3793759999994</v>
      </c>
    </row>
    <row r="27" spans="1:19" ht="15">
      <c r="A27" s="4" t="s">
        <v>96</v>
      </c>
      <c r="B27" s="9">
        <f>((B26*2)/3)-6</f>
        <v>1251.1221546666666</v>
      </c>
      <c r="C27" s="9">
        <f aca="true" t="shared" si="12" ref="C27:N27">((C26*2)/3)-6</f>
        <v>1314.6453594666666</v>
      </c>
      <c r="D27" s="9">
        <f t="shared" si="12"/>
        <v>1346.4069618666667</v>
      </c>
      <c r="E27" s="9">
        <f t="shared" si="12"/>
        <v>1378.1685642666669</v>
      </c>
      <c r="F27" s="9">
        <f t="shared" si="12"/>
        <v>1409.9301666666668</v>
      </c>
      <c r="G27" s="9">
        <f t="shared" si="12"/>
        <v>1441.6917690666667</v>
      </c>
      <c r="H27" s="9">
        <f t="shared" si="12"/>
        <v>1505.2149738666667</v>
      </c>
      <c r="I27" s="9">
        <f t="shared" si="12"/>
        <v>1568.7381786666665</v>
      </c>
      <c r="J27" s="9">
        <f t="shared" si="12"/>
        <v>1632.2613834666665</v>
      </c>
      <c r="K27" s="9">
        <f t="shared" si="12"/>
        <v>1759.3077930666666</v>
      </c>
      <c r="L27" s="9">
        <f t="shared" si="12"/>
        <v>1886.3542026666664</v>
      </c>
      <c r="M27" s="9">
        <f t="shared" si="12"/>
        <v>2013.4006122666663</v>
      </c>
      <c r="N27" s="9">
        <f t="shared" si="12"/>
        <v>2203.970226666667</v>
      </c>
      <c r="O27" s="9">
        <f aca="true" t="shared" si="13" ref="O27:S27">((O26*2)/3)-6</f>
        <v>2267.4934314666666</v>
      </c>
      <c r="P27" s="9">
        <f t="shared" si="13"/>
        <v>2331.0166362666664</v>
      </c>
      <c r="Q27" s="9">
        <f t="shared" si="13"/>
        <v>2394.5398410666667</v>
      </c>
      <c r="R27" s="9">
        <f t="shared" si="13"/>
        <v>2458.063045866667</v>
      </c>
      <c r="S27" s="9">
        <f t="shared" si="13"/>
        <v>2521.5862506666663</v>
      </c>
    </row>
    <row r="28" spans="1:19" ht="15">
      <c r="A28" s="4" t="s">
        <v>6</v>
      </c>
      <c r="B28" s="16">
        <f>((((B22*0.00314)*0.22)*'Технический лист'!$M$7)+100+(((B23*0.00314)*0.21)*'Технический лист'!$O$5)+(((B22+30)*(B22+30)/1000000)*'Технический лист'!$E$20))*1.58</f>
        <v>956.13335968</v>
      </c>
      <c r="C28" s="16">
        <f>((((C22*0.00314)*0.22)*'Технический лист'!$M$7)+100+(((C23*0.00314)*0.21)*'Технический лист'!$O$5)+(((C22+30)*(C22+30)/1000000)*'Технический лист'!$E$20))*1.58</f>
        <v>1021.326159328</v>
      </c>
      <c r="D28" s="16">
        <f>((((D22*0.00314)*0.22)*'Технический лист'!$M$7)+100+(((D23*0.00314)*0.21)*'Технический лист'!$O$5)+(((D22+30)*(D22+30)/1000000)*'Технический лист'!$E$20))*1.58</f>
        <v>1054.396559152</v>
      </c>
      <c r="E28" s="16">
        <f>((((E22*0.00314)*0.22)*'Технический лист'!$M$7)+100+(((E23*0.00314)*0.21)*'Технический лист'!$O$5)+(((E22+30)*(E22+30)/1000000)*'Технический лист'!$E$20))*1.58</f>
        <v>1087.782958976</v>
      </c>
      <c r="F28" s="16">
        <f>((((F22*0.00314)*0.22)*'Технический лист'!$M$7)+100+(((F23*0.00314)*0.21)*'Технический лист'!$O$5)+(((F22+30)*(F22+30)/1000000)*'Технический лист'!$E$20))*1.58</f>
        <v>1121.4853588</v>
      </c>
      <c r="G28" s="16">
        <f>((((G22*0.00314)*0.22)*'Технический лист'!$M$7)+100+(((G23*0.00314)*0.21)*'Технический лист'!$O$5)+(((G22+30)*(G22+30)/1000000)*'Технический лист'!$E$20))*1.58</f>
        <v>1155.503758624</v>
      </c>
      <c r="H28" s="16">
        <f>((((H22*0.00314)*0.22)*'Технический лист'!$M$7)+100+(((H23*0.00314)*0.21)*'Технический лист'!$O$5)+(((H22+30)*(H22+30)/1000000)*'Технический лист'!$E$20))*1.58</f>
        <v>1224.488558272</v>
      </c>
      <c r="I28" s="16">
        <f>((((I22*0.00314)*0.22)*'Технический лист'!$M$7)+100+(((I23*0.00314)*0.21)*'Технический лист'!$O$5)+(((I22+30)*(I22+30)/1000000)*'Технический лист'!$E$20))*1.58</f>
        <v>1294.73735792</v>
      </c>
      <c r="J28" s="16">
        <f>((((J22*0.00314)*0.22)*'Технический лист'!$M$7)+100+(((J23*0.00314)*0.21)*'Технический лист'!$O$5)+(((J22+30)*(J22+30)/1000000)*'Технический лист'!$E$20))*1.58</f>
        <v>1366.2501575679998</v>
      </c>
      <c r="K28" s="16">
        <f>((((K22*0.00314)*0.22)*'Технический лист'!$M$7)+100+(((K23*0.00314)*0.21)*'Технический лист'!$O$5)+(((K22+30)*(K22+30)/1000000)*'Технический лист'!$E$20))*1.58</f>
        <v>1513.067756864</v>
      </c>
      <c r="L28" s="16">
        <f>((((L22*0.00314)*0.22)*'Технический лист'!$M$7)+100+(((L23*0.00314)*0.21)*'Технический лист'!$O$5)+(((L22+30)*(L22+30)/1000000)*'Технический лист'!$E$20))*1.58</f>
        <v>1664.9413561599997</v>
      </c>
      <c r="M28" s="16">
        <f>((((M22*0.00314)*0.22)*'Технический лист'!$M$7)+100+(((M23*0.00314)*0.21)*'Технический лист'!$O$5)+(((M22+30)*(M22+30)/1000000)*'Технический лист'!$E$20))*1.58</f>
        <v>1821.870955456</v>
      </c>
      <c r="N28" s="16">
        <f>((((N22*0.00314)*0.22)*'Технический лист'!$M$7)+100+(((N23*0.00314)*0.21)*'Технический лист'!$O$5)+(((N22+30)*(N22+30)/1000000)*'Технический лист'!$E$20))*1.58</f>
        <v>2066.7453544</v>
      </c>
      <c r="O28" s="16">
        <f>((((O22*0.00314)*0.22)*'Технический лист'!$M$7)+100+(((O23*0.00314)*0.21)*'Технический лист'!$O$5)+(((O22+30)*(O22+30)/1000000)*'Технический лист'!$E$20))*1.58</f>
        <v>2150.898154048</v>
      </c>
      <c r="P28" s="16">
        <f>((((P22*0.00314)*0.22)*'Технический лист'!$M$7)+100+(((P23*0.00314)*0.21)*'Технический лист'!$O$5)+(((P22+30)*(P22+30)/1000000)*'Технический лист'!$E$20))*1.58</f>
        <v>2236.314953696</v>
      </c>
      <c r="Q28" s="16">
        <f>((((Q22*0.00314)*0.22)*'Технический лист'!$M$7)+100+(((Q23*0.00314)*0.21)*'Технический лист'!$O$5)+(((Q22+30)*(Q22+30)/1000000)*'Технический лист'!$E$20))*1.58</f>
        <v>2322.995753344</v>
      </c>
      <c r="R28" s="16">
        <f>((((R22*0.00314)*0.22)*'Технический лист'!$M$7)+100+(((R23*0.00314)*0.21)*'Технический лист'!$O$5)+(((R22+30)*(R22+30)/1000000)*'Технический лист'!$E$20))*1.58</f>
        <v>2410.9405529919995</v>
      </c>
      <c r="S28" s="16">
        <f>((((S22*0.00314)*0.22)*'Технический лист'!$M$7)+100+(((S23*0.00314)*0.21)*'Технический лист'!$O$5)+(((S22+30)*(S22+30)/1000000)*'Технический лист'!$E$20))*1.58</f>
        <v>2500.14935264</v>
      </c>
    </row>
    <row r="29" spans="1:19" ht="15">
      <c r="A29" s="4" t="s">
        <v>7</v>
      </c>
      <c r="B29" s="9">
        <f>(B28*2.2)+24</f>
        <v>2127.493391296</v>
      </c>
      <c r="C29" s="9">
        <f aca="true" t="shared" si="14" ref="C29:N29">(C28*2.2)+24</f>
        <v>2270.9175505216003</v>
      </c>
      <c r="D29" s="9">
        <f t="shared" si="14"/>
        <v>2343.6724301344</v>
      </c>
      <c r="E29" s="9">
        <f t="shared" si="14"/>
        <v>2417.1225097472</v>
      </c>
      <c r="F29" s="9">
        <f t="shared" si="14"/>
        <v>2491.2677893600003</v>
      </c>
      <c r="G29" s="9">
        <f t="shared" si="14"/>
        <v>2566.1082689728005</v>
      </c>
      <c r="H29" s="9">
        <f t="shared" si="14"/>
        <v>2717.8748281984003</v>
      </c>
      <c r="I29" s="9">
        <f t="shared" si="14"/>
        <v>2872.422187424</v>
      </c>
      <c r="J29" s="9">
        <f t="shared" si="14"/>
        <v>3029.7503466496</v>
      </c>
      <c r="K29" s="9">
        <f t="shared" si="14"/>
        <v>3352.7490651008006</v>
      </c>
      <c r="L29" s="9">
        <f t="shared" si="14"/>
        <v>3686.870983552</v>
      </c>
      <c r="M29" s="9">
        <f t="shared" si="14"/>
        <v>4032.1161020032005</v>
      </c>
      <c r="N29" s="9">
        <f t="shared" si="14"/>
        <v>4570.83977968</v>
      </c>
      <c r="O29" s="9">
        <f aca="true" t="shared" si="15" ref="O29:S29">(O28*2.2)+24</f>
        <v>4755.9759389056</v>
      </c>
      <c r="P29" s="9">
        <f t="shared" si="15"/>
        <v>4943.8928981312</v>
      </c>
      <c r="Q29" s="9">
        <f t="shared" si="15"/>
        <v>5134.590657356801</v>
      </c>
      <c r="R29" s="9">
        <f t="shared" si="15"/>
        <v>5328.069216582399</v>
      </c>
      <c r="S29" s="9">
        <f t="shared" si="15"/>
        <v>5524.328575808</v>
      </c>
    </row>
    <row r="30" spans="1:19" ht="15">
      <c r="A30" s="4" t="s">
        <v>8</v>
      </c>
      <c r="B30" s="16">
        <f>((((B22*0.00314)*0.2)*'Технический лист'!$M$7)+50+(((B23*0.00314)*0.22)*'Технический лист'!$O$5))*1.58</f>
        <v>765.6697696000001</v>
      </c>
      <c r="C30" s="16">
        <f>((((C22*0.00314)*0.2)*'Технический лист'!$M$7)+50+(((C23*0.00314)*0.22)*'Технический лист'!$O$5))*1.58</f>
        <v>812.3328323200001</v>
      </c>
      <c r="D30" s="16">
        <f>((((D22*0.00314)*0.2)*'Технический лист'!$M$7)+50+(((D23*0.00314)*0.22)*'Технический лист'!$O$5))*1.58</f>
        <v>835.66436368</v>
      </c>
      <c r="E30" s="16">
        <f>((((E22*0.00314)*0.2)*'Технический лист'!$M$7)+50+(((E23*0.00314)*0.22)*'Технический лист'!$O$5))*1.58</f>
        <v>858.9958950400002</v>
      </c>
      <c r="F30" s="16">
        <f>((((F22*0.00314)*0.2)*'Технический лист'!$M$7)+50+(((F23*0.00314)*0.22)*'Технический лист'!$O$5))*1.58</f>
        <v>882.3274264</v>
      </c>
      <c r="G30" s="16">
        <f>((((G22*0.00314)*0.2)*'Технический лист'!$M$7)+50+(((G23*0.00314)*0.22)*'Технический лист'!$O$5))*1.58</f>
        <v>905.65895776</v>
      </c>
      <c r="H30" s="16">
        <f>((((H22*0.00314)*0.2)*'Технический лист'!$M$7)+50+(((H23*0.00314)*0.22)*'Технический лист'!$O$5))*1.58</f>
        <v>952.3220204800002</v>
      </c>
      <c r="I30" s="16">
        <f>((((I22*0.00314)*0.2)*'Технический лист'!$M$7)+50+(((I23*0.00314)*0.22)*'Технический лист'!$O$5))*1.58</f>
        <v>998.9850832000001</v>
      </c>
      <c r="J30" s="16">
        <f>((((J22*0.00314)*0.2)*'Технический лист'!$M$7)+50+(((J23*0.00314)*0.22)*'Технический лист'!$O$5))*1.58</f>
        <v>1045.6481459200002</v>
      </c>
      <c r="K30" s="16">
        <f>((((K22*0.00314)*0.2)*'Технический лист'!$M$7)+50+(((K23*0.00314)*0.22)*'Технический лист'!$O$5))*1.58</f>
        <v>1138.97427136</v>
      </c>
      <c r="L30" s="16">
        <f>((((L22*0.00314)*0.2)*'Технический лист'!$M$7)+50+(((L23*0.00314)*0.22)*'Технический лист'!$O$5))*1.58</f>
        <v>1232.3003968</v>
      </c>
      <c r="M30" s="16">
        <f>((((M22*0.00314)*0.2)*'Технический лист'!$M$7)+50+(((M23*0.00314)*0.22)*'Технический лист'!$O$5))*1.58</f>
        <v>1325.62652224</v>
      </c>
      <c r="N30" s="16">
        <f>((((N22*0.00314)*0.2)*'Технический лист'!$M$7)+50+(((N23*0.00314)*0.22)*'Технический лист'!$O$5))*1.58</f>
        <v>1465.6157104000001</v>
      </c>
      <c r="O30" s="16">
        <f>((((O22*0.00314)*0.2)*'Технический лист'!$M$7)+50+(((O23*0.00314)*0.22)*'Технический лист'!$O$5))*1.58</f>
        <v>1512.2787731200003</v>
      </c>
      <c r="P30" s="16">
        <f>((((P22*0.00314)*0.2)*'Технический лист'!$M$7)+50+(((P23*0.00314)*0.22)*'Технический лист'!$O$5))*1.58</f>
        <v>1558.9418358399998</v>
      </c>
      <c r="Q30" s="16">
        <f>((((Q22*0.00314)*0.2)*'Технический лист'!$M$7)+50+(((Q23*0.00314)*0.22)*'Технический лист'!$O$5))*1.58</f>
        <v>1605.60489856</v>
      </c>
      <c r="R30" s="16">
        <f>((((R22*0.00314)*0.2)*'Технический лист'!$M$7)+50+(((R23*0.00314)*0.22)*'Технический лист'!$O$5))*1.58</f>
        <v>1652.26796128</v>
      </c>
      <c r="S30" s="16">
        <f>((((S22*0.00314)*0.2)*'Технический лист'!$M$7)+50+(((S23*0.00314)*0.22)*'Технический лист'!$O$5))*1.58</f>
        <v>1698.9310240000004</v>
      </c>
    </row>
    <row r="31" spans="1:19" ht="15">
      <c r="A31" s="4" t="s">
        <v>99</v>
      </c>
      <c r="B31" s="16">
        <v>4027</v>
      </c>
      <c r="C31" s="16">
        <v>4283</v>
      </c>
      <c r="D31" s="16">
        <v>4425</v>
      </c>
      <c r="E31" s="16">
        <v>4560</v>
      </c>
      <c r="F31" s="16">
        <v>4695</v>
      </c>
      <c r="G31" s="16">
        <v>4830</v>
      </c>
      <c r="H31" s="16">
        <v>5115</v>
      </c>
      <c r="I31" s="16">
        <v>5400</v>
      </c>
      <c r="J31" s="16">
        <v>5700</v>
      </c>
      <c r="K31" s="16">
        <v>6307</v>
      </c>
      <c r="L31" s="16">
        <v>6945</v>
      </c>
      <c r="M31" s="16">
        <v>7605</v>
      </c>
      <c r="N31" s="16">
        <v>8647</v>
      </c>
      <c r="O31" s="16">
        <v>9007</v>
      </c>
      <c r="P31" s="16">
        <v>9375</v>
      </c>
      <c r="Q31" s="16">
        <v>9750</v>
      </c>
      <c r="R31" s="16">
        <v>10125</v>
      </c>
      <c r="S31" s="16">
        <v>10515</v>
      </c>
    </row>
    <row r="32" spans="1:19" ht="15">
      <c r="A32" s="4" t="s">
        <v>102</v>
      </c>
      <c r="B32" s="16">
        <v>4027</v>
      </c>
      <c r="C32" s="16">
        <v>4283</v>
      </c>
      <c r="D32" s="16">
        <v>4425</v>
      </c>
      <c r="E32" s="16">
        <v>4560</v>
      </c>
      <c r="F32" s="16">
        <v>4695</v>
      </c>
      <c r="G32" s="16">
        <v>4830</v>
      </c>
      <c r="H32" s="16">
        <v>5115</v>
      </c>
      <c r="I32" s="16">
        <v>5400</v>
      </c>
      <c r="J32" s="16">
        <v>5700</v>
      </c>
      <c r="K32" s="16">
        <v>6307</v>
      </c>
      <c r="L32" s="16">
        <v>6945</v>
      </c>
      <c r="M32" s="16">
        <v>7605</v>
      </c>
      <c r="N32" s="16">
        <v>8647</v>
      </c>
      <c r="O32" s="16">
        <v>9007</v>
      </c>
      <c r="P32" s="16">
        <v>9375</v>
      </c>
      <c r="Q32" s="16">
        <v>9750</v>
      </c>
      <c r="R32" s="16">
        <v>10125</v>
      </c>
      <c r="S32" s="16">
        <v>10515</v>
      </c>
    </row>
    <row r="33" spans="1:19" ht="15">
      <c r="A33" s="4" t="s">
        <v>9</v>
      </c>
      <c r="B33" s="9">
        <f>((((B22*0.00314)*((B22+545)/1000))*'Технический лист'!$K$7)+370+((B23*0.00314)*((B23+450)/1000))*'Технический лист'!$K$5)*1.65</f>
        <v>2681.6068224</v>
      </c>
      <c r="C33" s="9">
        <f>((((C22*0.00314)*((C22+545)/1000))*'Технический лист'!$K$7)+370+((C23*0.00314)*((C23+450)/1000))*'Технический лист'!$K$5)*1.65</f>
        <v>2856.6384105599996</v>
      </c>
      <c r="D33" s="9">
        <f>((((D22*0.00314)*((D22+545)/1000))*'Технический лист'!$K$7)+370+((D23*0.00314)*((D23+450)/1000))*'Технический лист'!$K$5)*1.65</f>
        <v>2945.7866859299997</v>
      </c>
      <c r="E33" s="9">
        <f>((((E22*0.00314)*((E22+545)/1000))*'Технический лист'!$K$7)+370+((E23*0.00314)*((E23+450)/1000))*'Технический лист'!$K$5)*1.65</f>
        <v>3036.02328216</v>
      </c>
      <c r="F33" s="9">
        <f>((((F22*0.00314)*((F22+545)/1000))*'Технический лист'!$K$7)+370+((F23*0.00314)*((F23+450)/1000))*'Технический лист'!$K$5)*1.65</f>
        <v>3127.3481992499997</v>
      </c>
      <c r="G33" s="9">
        <f>((((G22*0.00314)*((G22+545)/1000))*'Технический лист'!$K$7)+370+((G23*0.00314)*((G23+450)/1000))*'Технический лист'!$K$5)*1.65</f>
        <v>3219.7614372</v>
      </c>
      <c r="H33" s="9">
        <f>((((H22*0.00314)*((H22+545)/1000))*'Технический лист'!$K$7)+370+((H23*0.00314)*((H23+450)/1000))*'Технический лист'!$K$5)*1.65</f>
        <v>3407.8528756799997</v>
      </c>
      <c r="I33" s="9">
        <f>((((I22*0.00314)*((I22+545)/1000))*'Технический лист'!$K$7)+370+((I23*0.00314)*((I23+450)/1000))*'Технический лист'!$K$5)*1.65</f>
        <v>3600.2975976</v>
      </c>
      <c r="J33" s="9">
        <f>((((J22*0.00314)*((J22+545)/1000))*'Технический лист'!$K$7)+370+((J23*0.00314)*((J23+450)/1000))*'Технический лист'!$K$5)*1.65</f>
        <v>3797.0956029599997</v>
      </c>
      <c r="K33" s="9">
        <f>((((K22*0.00314)*((K22+545)/1000))*'Технический лист'!$K$7)+370+((K23*0.00314)*((K23+450)/1000))*'Технический лист'!$K$5)*1.65</f>
        <v>4203.751463999999</v>
      </c>
      <c r="L33" s="9">
        <f>((((L22*0.00314)*((L22+545)/1000))*'Технический лист'!$K$7)+370+((L23*0.00314)*((L23+450)/1000))*'Технический лист'!$K$5)*1.65</f>
        <v>4627.820458799999</v>
      </c>
      <c r="M33" s="9">
        <f>((((M22*0.00314)*((M22+545)/1000))*'Технический лист'!$K$7)+370+((M23*0.00314)*((M23+450)/1000))*'Технический лист'!$K$5)*1.65</f>
        <v>5069.30258736</v>
      </c>
      <c r="N33" s="9">
        <f>((((N22*0.00314)*((N22+545)/1000))*'Технический лист'!$K$7)+370+((N23*0.00314)*((N23+450)/1000))*'Технический лист'!$K$5)*1.65</f>
        <v>5764.175405999999</v>
      </c>
      <c r="O33" s="9">
        <f>((((O22*0.00314)*((O22+545)/1000))*'Технический лист'!$K$7)+370+((O23*0.00314)*((O23+450)/1000))*'Технический лист'!$K$5)*1.65</f>
        <v>6004.50624576</v>
      </c>
      <c r="P33" s="9">
        <f>((((P22*0.00314)*((P22+545)/1000))*'Технический лист'!$K$7)+370+((P23*0.00314)*((P23+450)/1000))*'Технический лист'!$K$5)*1.65</f>
        <v>6249.1903689599985</v>
      </c>
      <c r="Q33" s="9">
        <f>((((Q22*0.00314)*((Q22+545)/1000))*'Технический лист'!$K$7)+370+((Q23*0.00314)*((Q23+450)/1000))*'Технический лист'!$K$5)*1.65</f>
        <v>6498.227775599999</v>
      </c>
      <c r="R33" s="9">
        <f>((((R22*0.00314)*((R22+545)/1000))*'Технический лист'!$K$7)+370+((R23*0.00314)*((R23+450)/1000))*'Технический лист'!$K$5)*1.65</f>
        <v>6751.618465679999</v>
      </c>
      <c r="S33" s="9">
        <f>((((S22*0.00314)*((S22+545)/1000))*'Технический лист'!$K$7)+370+((S23*0.00314)*((S23+450)/1000))*'Технический лист'!$K$5)*1.65</f>
        <v>7009.362439199997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K41" sqref="K4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лист'!$G$8)+365+((B7*0.00314)*'Технический лист'!$G$11))*1.52</f>
        <v>1874.8490403463202</v>
      </c>
      <c r="C8" s="16">
        <f>(((C6*0.00314)*'Технический лист'!$G$8)+365+((C7*0.00314)*'Технический лист'!$G$11))*1.52</f>
        <v>1989.9741417142852</v>
      </c>
      <c r="D8" s="16">
        <f>(((D6*0.00314)*'Технический лист'!$G$8)+365+((D7*0.00314)*'Технический лист'!$G$11))*1.52</f>
        <v>2047.5366923982683</v>
      </c>
      <c r="E8" s="16">
        <f>(((E6*0.00314)*'Технический лист'!$G$8)+365+((E7*0.00314)*'Технический лист'!$G$11))*1.52</f>
        <v>2105.099243082251</v>
      </c>
      <c r="F8" s="16">
        <f>(((F6*0.00314)*'Технический лист'!$G$8)+365+((F7*0.00314)*'Технический лист'!$G$11))*1.52</f>
        <v>2162.6617937662336</v>
      </c>
      <c r="G8" s="16">
        <f>(((G6*0.00314)*'Технический лист'!$G$8)+365+((G7*0.00314)*'Технический лист'!$G$11))*1.52</f>
        <v>2220.224344450216</v>
      </c>
      <c r="H8" s="16">
        <f>(((H6*0.00314)*'Технический лист'!$G$8)+365+((H7*0.00314)*'Технический лист'!$G$11))*1.52</f>
        <v>2335.3494458181813</v>
      </c>
      <c r="I8" s="16">
        <f>(((I6*0.00314)*'Технический лист'!$G$8)+365+((I7*0.00314)*'Технический лист'!$G$11))*1.52</f>
        <v>2450.474547186147</v>
      </c>
      <c r="J8" s="16">
        <f>(((J6*0.00314)*'Технический лист'!$G$8)+365+((J7*0.00314)*'Технический лист'!$G$11))*1.52</f>
        <v>2565.5996485541123</v>
      </c>
      <c r="K8" s="16">
        <f>(((K6*0.00314)*'Технический лист'!$G$8)+365+((K7*0.00314)*'Технический лист'!$G$11))*1.52</f>
        <v>2795.8498512900433</v>
      </c>
      <c r="L8" s="16">
        <f>(((L6*0.00314)*'Технический лист'!$G$8)+365+((L7*0.00314)*'Технический лист'!$G$11))*1.52</f>
        <v>3026.100054025974</v>
      </c>
      <c r="M8" s="16">
        <f>(((M6*0.00314)*'Технический лист'!$G$8)+365+((M7*0.00314)*'Технический лист'!$G$11))*1.52</f>
        <v>3256.3502567619043</v>
      </c>
      <c r="N8" s="16">
        <f>(((N6*0.00314)*'Технический лист'!$G$8)+365+((N7*0.00314)*'Технический лист'!$G$11))*1.52</f>
        <v>3601.7255608658</v>
      </c>
      <c r="O8" s="16">
        <f>(((O6*0.00314)*'Технический лист'!$G$8)+365+((O7*0.00314)*'Технический лист'!$G$11))*1.52</f>
        <v>3716.8506622337663</v>
      </c>
      <c r="P8" s="16">
        <f>(((P6*0.00314)*'Технический лист'!$G$8)+365+((P7*0.00314)*'Технический лист'!$G$11))*1.52</f>
        <v>3831.9757636017316</v>
      </c>
      <c r="Q8" s="16">
        <f>(((Q6*0.00314)*'Технический лист'!$G$8)+365+((Q7*0.00314)*'Технический лист'!$G$11))*1.52</f>
        <v>3947.100864969697</v>
      </c>
      <c r="R8" s="16">
        <f>(((R6*0.00314)*'Технический лист'!$G$8)+365+((R7*0.00314)*'Технический лист'!$G$11))*1.52</f>
        <v>4062.2259663376617</v>
      </c>
      <c r="S8" s="16">
        <f>(((S6*0.00314)*'Технический лист'!$G$8)+365+((S7*0.00314)*'Технический лист'!$G$11))*1.52</f>
        <v>4177.351067705627</v>
      </c>
    </row>
    <row r="9" spans="1:19" ht="15">
      <c r="A9" s="4" t="s">
        <v>3</v>
      </c>
      <c r="B9" s="9">
        <f>((B8/2)*1.07)-10</f>
        <v>993.0442365852814</v>
      </c>
      <c r="C9" s="9">
        <f aca="true" t="shared" si="2" ref="C9:N9">((C8/2)*1.07)-10</f>
        <v>1054.6361658171427</v>
      </c>
      <c r="D9" s="9">
        <f t="shared" si="2"/>
        <v>1085.4321304330736</v>
      </c>
      <c r="E9" s="9">
        <f t="shared" si="2"/>
        <v>1116.2280950490044</v>
      </c>
      <c r="F9" s="9">
        <f t="shared" si="2"/>
        <v>1147.024059664935</v>
      </c>
      <c r="G9" s="9">
        <f t="shared" si="2"/>
        <v>1177.8200242808657</v>
      </c>
      <c r="H9" s="9">
        <f t="shared" si="2"/>
        <v>1239.411953512727</v>
      </c>
      <c r="I9" s="9">
        <f t="shared" si="2"/>
        <v>1301.0038827445887</v>
      </c>
      <c r="J9" s="9">
        <f t="shared" si="2"/>
        <v>1362.5958119764502</v>
      </c>
      <c r="K9" s="9">
        <f t="shared" si="2"/>
        <v>1485.7796704401733</v>
      </c>
      <c r="L9" s="9">
        <f t="shared" si="2"/>
        <v>1608.963528903896</v>
      </c>
      <c r="M9" s="9">
        <f t="shared" si="2"/>
        <v>1732.1473873676189</v>
      </c>
      <c r="N9" s="9">
        <f t="shared" si="2"/>
        <v>1916.9231750632032</v>
      </c>
      <c r="O9" s="9">
        <f aca="true" t="shared" si="3" ref="O9:S9">((O8/2)*1.07)-10</f>
        <v>1978.5151042950652</v>
      </c>
      <c r="P9" s="9">
        <f t="shared" si="3"/>
        <v>2040.1070335269264</v>
      </c>
      <c r="Q9" s="9">
        <f t="shared" si="3"/>
        <v>2101.698962758788</v>
      </c>
      <c r="R9" s="9">
        <f t="shared" si="3"/>
        <v>2163.290891990649</v>
      </c>
      <c r="S9" s="9">
        <f t="shared" si="3"/>
        <v>2224.8828212225108</v>
      </c>
    </row>
    <row r="10" spans="1:19" ht="15">
      <c r="A10" s="4" t="s">
        <v>5</v>
      </c>
      <c r="B10" s="16">
        <f>((((B6*0.00314)*0.5)*'Технический лист'!$I$8)+310+(((B7*0.00314)*0.5)*'Технический лист'!$I$11))*1.58</f>
        <v>1552.9293196536796</v>
      </c>
      <c r="C10" s="16">
        <f>((((C6*0.00314)*0.5)*'Технический лист'!$I$8)+310+(((C7*0.00314)*0.5)*'Технический лист'!$I$11))*1.58</f>
        <v>1642.407246285714</v>
      </c>
      <c r="D10" s="16">
        <f>((((D6*0.00314)*0.5)*'Технический лист'!$I$8)+310+(((D7*0.00314)*0.5)*'Технический лист'!$I$11))*1.58</f>
        <v>1687.1462096017317</v>
      </c>
      <c r="E10" s="16">
        <f>((((E6*0.00314)*0.5)*'Технический лист'!$I$8)+310+(((E7*0.00314)*0.5)*'Технический лист'!$I$11))*1.58</f>
        <v>1731.8851729177488</v>
      </c>
      <c r="F10" s="16">
        <f>((((F6*0.00314)*0.5)*'Технический лист'!$I$8)+310+(((F7*0.00314)*0.5)*'Технический лист'!$I$11))*1.58</f>
        <v>1776.6241362337664</v>
      </c>
      <c r="G10" s="16">
        <f>((((G6*0.00314)*0.5)*'Технический лист'!$I$8)+310+(((G7*0.00314)*0.5)*'Технический лист'!$I$11))*1.58</f>
        <v>1821.3630995497836</v>
      </c>
      <c r="H10" s="16">
        <f>((((H6*0.00314)*0.5)*'Технический лист'!$I$8)+310+(((H7*0.00314)*0.5)*'Технический лист'!$I$11))*1.58</f>
        <v>1910.8410261818183</v>
      </c>
      <c r="I10" s="16">
        <f>((((I6*0.00314)*0.5)*'Технический лист'!$I$8)+310+(((I7*0.00314)*0.5)*'Технический лист'!$I$11))*1.58</f>
        <v>2000.3189528138525</v>
      </c>
      <c r="J10" s="16">
        <f>((((J6*0.00314)*0.5)*'Технический лист'!$I$8)+310+(((J7*0.00314)*0.5)*'Технический лист'!$I$11))*1.58</f>
        <v>2089.7968794458875</v>
      </c>
      <c r="K10" s="16">
        <f>((((K6*0.00314)*0.5)*'Технический лист'!$I$8)+310+(((K7*0.00314)*0.5)*'Технический лист'!$I$11))*1.58</f>
        <v>2268.752732709957</v>
      </c>
      <c r="L10" s="16">
        <f>((((L6*0.00314)*0.5)*'Технический лист'!$I$8)+310+(((L7*0.00314)*0.5)*'Технический лист'!$I$11))*1.58</f>
        <v>2447.708585974026</v>
      </c>
      <c r="M10" s="16">
        <f>((((M6*0.00314)*0.5)*'Технический лист'!$I$8)+310+(((M7*0.00314)*0.5)*'Технический лист'!$I$11))*1.58</f>
        <v>2626.664439238095</v>
      </c>
      <c r="N10" s="16">
        <f>((((N6*0.00314)*0.5)*'Технический лист'!$I$8)+310+(((N7*0.00314)*0.5)*'Технический лист'!$I$11))*1.58</f>
        <v>2895.098219134199</v>
      </c>
      <c r="O10" s="16">
        <f>((((O6*0.00314)*0.5)*'Технический лист'!$I$8)+310+(((O7*0.00314)*0.5)*'Технический лист'!$I$11))*1.58</f>
        <v>2984.576145766234</v>
      </c>
      <c r="P10" s="16">
        <f>((((P6*0.00314)*0.5)*'Технический лист'!$I$8)+310+(((P7*0.00314)*0.5)*'Технический лист'!$I$11))*1.58</f>
        <v>3074.0540723982685</v>
      </c>
      <c r="Q10" s="16">
        <f>((((Q6*0.00314)*0.5)*'Технический лист'!$I$8)+310+(((Q7*0.00314)*0.5)*'Технический лист'!$I$11))*1.58</f>
        <v>3163.5319990303033</v>
      </c>
      <c r="R10" s="16">
        <f>((((R6*0.00314)*0.5)*'Технический лист'!$I$8)+310+(((R7*0.00314)*0.5)*'Технический лист'!$I$11))*1.58</f>
        <v>3253.009925662338</v>
      </c>
      <c r="S10" s="16">
        <f>((((S6*0.00314)*0.5)*'Технический лист'!$I$8)+310+(((S7*0.00314)*0.5)*'Технический лист'!$I$11))*1.58</f>
        <v>3342.4878522943723</v>
      </c>
    </row>
    <row r="11" spans="1:19" ht="15">
      <c r="A11" s="4" t="s">
        <v>96</v>
      </c>
      <c r="B11" s="9">
        <f>((B10*2)/3)-6</f>
        <v>1029.286213102453</v>
      </c>
      <c r="C11" s="9">
        <f aca="true" t="shared" si="4" ref="C11:N11">((C10*2)/3)-6</f>
        <v>1088.938164190476</v>
      </c>
      <c r="D11" s="9">
        <f t="shared" si="4"/>
        <v>1118.7641397344878</v>
      </c>
      <c r="E11" s="9">
        <f t="shared" si="4"/>
        <v>1148.5901152784993</v>
      </c>
      <c r="F11" s="9">
        <f t="shared" si="4"/>
        <v>1178.416090822511</v>
      </c>
      <c r="G11" s="9">
        <f t="shared" si="4"/>
        <v>1208.2420663665223</v>
      </c>
      <c r="H11" s="9">
        <f t="shared" si="4"/>
        <v>1267.8940174545455</v>
      </c>
      <c r="I11" s="9">
        <f t="shared" si="4"/>
        <v>1327.5459685425683</v>
      </c>
      <c r="J11" s="9">
        <f t="shared" si="4"/>
        <v>1387.1979196305917</v>
      </c>
      <c r="K11" s="9">
        <f t="shared" si="4"/>
        <v>1506.501821806638</v>
      </c>
      <c r="L11" s="9">
        <f t="shared" si="4"/>
        <v>1625.805723982684</v>
      </c>
      <c r="M11" s="9">
        <f t="shared" si="4"/>
        <v>1745.10962615873</v>
      </c>
      <c r="N11" s="9">
        <f t="shared" si="4"/>
        <v>1924.0654794227994</v>
      </c>
      <c r="O11" s="9">
        <f aca="true" t="shared" si="5" ref="O11:S11">((O10*2)/3)-6</f>
        <v>1983.7174305108226</v>
      </c>
      <c r="P11" s="9">
        <f t="shared" si="5"/>
        <v>2043.3693815988458</v>
      </c>
      <c r="Q11" s="9">
        <f t="shared" si="5"/>
        <v>2103.021332686869</v>
      </c>
      <c r="R11" s="9">
        <f t="shared" si="5"/>
        <v>2162.673283774892</v>
      </c>
      <c r="S11" s="9">
        <f t="shared" si="5"/>
        <v>2222.325234862915</v>
      </c>
    </row>
    <row r="12" spans="1:19" ht="15">
      <c r="A12" s="4" t="s">
        <v>6</v>
      </c>
      <c r="B12" s="16">
        <f>((((B6*0.00314)*0.22)*'Технический лист'!$M$8)+100+(((B7*0.00314)*0.21)*'Технический лист'!$O$11)+(((B6+30)*(B6+30)/1000000)*'Технический лист'!$E$20))*1.58</f>
        <v>839.7600505142857</v>
      </c>
      <c r="C12" s="16">
        <f>((((C6*0.00314)*0.22)*'Технический лист'!$M$8)+100+(((C7*0.00314)*0.21)*'Технический лист'!$O$11)+(((C6+30)*(C6+30)/1000000)*'Технический лист'!$E$20))*1.58</f>
        <v>903.0811453257144</v>
      </c>
      <c r="D12" s="16">
        <f>((((D6*0.00314)*0.22)*'Технический лист'!$M$8)+100+(((D7*0.00314)*0.21)*'Технический лист'!$O$11)+(((D6+30)*(D6+30)/1000000)*'Технический лист'!$E$20))*1.58</f>
        <v>935.2156927314288</v>
      </c>
      <c r="E12" s="16">
        <f>((((E6*0.00314)*0.22)*'Технический лист'!$M$8)+100+(((E7*0.00314)*0.21)*'Технический лист'!$O$11)+(((E6+30)*(E6+30)/1000000)*'Технический лист'!$E$20))*1.58</f>
        <v>967.666240137143</v>
      </c>
      <c r="F12" s="16">
        <f>((((F6*0.00314)*0.22)*'Технический лист'!$M$8)+100+(((F7*0.00314)*0.21)*'Технический лист'!$O$11)+(((F6+30)*(F6+30)/1000000)*'Технический лист'!$E$20))*1.58</f>
        <v>1000.4327875428573</v>
      </c>
      <c r="G12" s="16">
        <f>((((G6*0.00314)*0.22)*'Технический лист'!$M$8)+100+(((G7*0.00314)*0.21)*'Технический лист'!$O$11)+(((G6+30)*(G6+30)/1000000)*'Технический лист'!$E$20))*1.58</f>
        <v>1033.5153349485715</v>
      </c>
      <c r="H12" s="16">
        <f>((((H6*0.00314)*0.22)*'Технический лист'!$M$8)+100+(((H7*0.00314)*0.21)*'Технический лист'!$O$11)+(((H6+30)*(H6+30)/1000000)*'Технический лист'!$E$20))*1.58</f>
        <v>1100.62842976</v>
      </c>
      <c r="I12" s="16">
        <f>((((I6*0.00314)*0.22)*'Технический лист'!$M$8)+100+(((I7*0.00314)*0.21)*'Технический лист'!$O$11)+(((I6+30)*(I6+30)/1000000)*'Технический лист'!$E$20))*1.58</f>
        <v>1169.0055245714286</v>
      </c>
      <c r="J12" s="16">
        <f>((((J6*0.00314)*0.22)*'Технический лист'!$M$8)+100+(((J7*0.00314)*0.21)*'Технический лист'!$O$11)+(((J6+30)*(J6+30)/1000000)*'Технический лист'!$E$20))*1.58</f>
        <v>1238.6466193828571</v>
      </c>
      <c r="K12" s="16">
        <f>((((K6*0.00314)*0.22)*'Технический лист'!$M$8)+100+(((K7*0.00314)*0.21)*'Технический лист'!$O$11)+(((K6+30)*(K6+30)/1000000)*'Технический лист'!$E$20))*1.58</f>
        <v>1381.7208090057143</v>
      </c>
      <c r="L12" s="16">
        <f>((((L6*0.00314)*0.22)*'Технический лист'!$M$8)+100+(((L7*0.00314)*0.21)*'Технический лист'!$O$11)+(((L6+30)*(L6+30)/1000000)*'Технический лист'!$E$20))*1.58</f>
        <v>1529.8509986285715</v>
      </c>
      <c r="M12" s="16">
        <f>((((M6*0.00314)*0.22)*'Технический лист'!$M$8)+100+(((M7*0.00314)*0.21)*'Технический лист'!$O$11)+(((M6+30)*(M6+30)/1000000)*'Технический лист'!$E$20))*1.58</f>
        <v>1683.037188251429</v>
      </c>
      <c r="N12" s="16">
        <f>((((N6*0.00314)*0.22)*'Технический лист'!$M$8)+100+(((N7*0.00314)*0.21)*'Технический лист'!$O$11)+(((N6+30)*(N6+30)/1000000)*'Технический лист'!$E$20))*1.58</f>
        <v>1922.2964726857142</v>
      </c>
      <c r="O12" s="16">
        <f>((((O6*0.00314)*0.22)*'Технический лист'!$M$8)+100+(((O7*0.00314)*0.21)*'Технический лист'!$O$11)+(((O6+30)*(O6+30)/1000000)*'Технический лист'!$E$20))*1.58</f>
        <v>2004.5775674971433</v>
      </c>
      <c r="P12" s="16">
        <f>((((P6*0.00314)*0.22)*'Технический лист'!$M$8)+100+(((P7*0.00314)*0.21)*'Технический лист'!$O$11)+(((P6+30)*(P6+30)/1000000)*'Технический лист'!$E$20))*1.58</f>
        <v>2088.1226623085713</v>
      </c>
      <c r="Q12" s="16">
        <f>((((Q6*0.00314)*0.22)*'Технический лист'!$M$8)+100+(((Q7*0.00314)*0.21)*'Технический лист'!$O$11)+(((Q6+30)*(Q6+30)/1000000)*'Технический лист'!$E$20))*1.58</f>
        <v>2172.93175712</v>
      </c>
      <c r="R12" s="16">
        <f>((((R6*0.00314)*0.22)*'Технический лист'!$M$8)+100+(((R7*0.00314)*0.21)*'Технический лист'!$O$11)+(((R6+30)*(R6+30)/1000000)*'Технический лист'!$E$20))*1.58</f>
        <v>2259.004851931428</v>
      </c>
      <c r="S12" s="16">
        <f>((((S6*0.00314)*0.22)*'Технический лист'!$M$8)+100+(((S7*0.00314)*0.21)*'Технический лист'!$O$11)+(((S6+30)*(S6+30)/1000000)*'Технический лист'!$E$20))*1.58</f>
        <v>2346.3419467428566</v>
      </c>
    </row>
    <row r="13" spans="1:19" ht="15">
      <c r="A13" s="4" t="s">
        <v>7</v>
      </c>
      <c r="B13" s="9">
        <f>(B12*2.2)+24</f>
        <v>1871.4721111314286</v>
      </c>
      <c r="C13" s="9">
        <f aca="true" t="shared" si="6" ref="C13:N13">(C12*2.2)+24</f>
        <v>2010.7785197165717</v>
      </c>
      <c r="D13" s="9">
        <f t="shared" si="6"/>
        <v>2081.4745240091434</v>
      </c>
      <c r="E13" s="9">
        <f t="shared" si="6"/>
        <v>2152.8657283017146</v>
      </c>
      <c r="F13" s="9">
        <f t="shared" si="6"/>
        <v>2224.9521325942865</v>
      </c>
      <c r="G13" s="9">
        <f t="shared" si="6"/>
        <v>2297.7337368868575</v>
      </c>
      <c r="H13" s="9">
        <f t="shared" si="6"/>
        <v>2445.3825454720004</v>
      </c>
      <c r="I13" s="9">
        <f t="shared" si="6"/>
        <v>2595.8121540571433</v>
      </c>
      <c r="J13" s="9">
        <f t="shared" si="6"/>
        <v>2749.0225626422857</v>
      </c>
      <c r="K13" s="9">
        <f t="shared" si="6"/>
        <v>3063.7857798125715</v>
      </c>
      <c r="L13" s="9">
        <f t="shared" si="6"/>
        <v>3389.6721969828573</v>
      </c>
      <c r="M13" s="9">
        <f t="shared" si="6"/>
        <v>3726.681814153144</v>
      </c>
      <c r="N13" s="9">
        <f t="shared" si="6"/>
        <v>4253.052239908571</v>
      </c>
      <c r="O13" s="9">
        <f aca="true" t="shared" si="7" ref="O13:S13">(O12*2.2)+24</f>
        <v>4434.070648493715</v>
      </c>
      <c r="P13" s="9">
        <f t="shared" si="7"/>
        <v>4617.869857078857</v>
      </c>
      <c r="Q13" s="9">
        <f t="shared" si="7"/>
        <v>4804.449865664</v>
      </c>
      <c r="R13" s="9">
        <f t="shared" si="7"/>
        <v>4993.810674249143</v>
      </c>
      <c r="S13" s="9">
        <f t="shared" si="7"/>
        <v>5185.952282834285</v>
      </c>
    </row>
    <row r="14" spans="1:19" ht="15">
      <c r="A14" s="4" t="s">
        <v>8</v>
      </c>
      <c r="B14" s="16">
        <f>((((B6*0.00314)*0.2)*'Технический лист'!$M$8)+50+(((B7*0.00314)*0.22)*'Технический лист'!$O$11))*1.58</f>
        <v>632.8195721281386</v>
      </c>
      <c r="C14" s="16">
        <f>((((C6*0.00314)*0.2)*'Технический лист'!$M$8)+50+(((C7*0.00314)*0.22)*'Технический лист'!$O$11))*1.58</f>
        <v>676.4282709942856</v>
      </c>
      <c r="D14" s="16">
        <f>((((D6*0.00314)*0.2)*'Технический лист'!$M$8)+50+(((D7*0.00314)*0.22)*'Технический лист'!$O$11))*1.58</f>
        <v>698.2326204273594</v>
      </c>
      <c r="E14" s="16">
        <f>((((E6*0.00314)*0.2)*'Технический лист'!$M$8)+50+(((E7*0.00314)*0.22)*'Технический лист'!$O$11))*1.58</f>
        <v>720.036969860433</v>
      </c>
      <c r="F14" s="16">
        <f>((((F6*0.00314)*0.2)*'Технический лист'!$M$8)+50+(((F7*0.00314)*0.22)*'Технический лист'!$O$11))*1.58</f>
        <v>741.8413192935067</v>
      </c>
      <c r="G14" s="16">
        <f>((((G6*0.00314)*0.2)*'Технический лист'!$M$8)+50+(((G7*0.00314)*0.22)*'Технический лист'!$O$11))*1.58</f>
        <v>763.6456687265802</v>
      </c>
      <c r="H14" s="16">
        <f>((((H6*0.00314)*0.2)*'Технический лист'!$M$8)+50+(((H7*0.00314)*0.22)*'Технический лист'!$O$11))*1.58</f>
        <v>807.2543675927274</v>
      </c>
      <c r="I14" s="16">
        <f>((((I6*0.00314)*0.2)*'Технический лист'!$M$8)+50+(((I7*0.00314)*0.22)*'Технический лист'!$O$11))*1.58</f>
        <v>850.8630664588744</v>
      </c>
      <c r="J14" s="16">
        <f>((((J6*0.00314)*0.2)*'Технический лист'!$M$8)+50+(((J7*0.00314)*0.22)*'Технический лист'!$O$11))*1.58</f>
        <v>894.4717653250217</v>
      </c>
      <c r="K14" s="16">
        <f>((((K6*0.00314)*0.2)*'Технический лист'!$M$8)+50+(((K7*0.00314)*0.22)*'Технический лист'!$O$11))*1.58</f>
        <v>981.6891630573163</v>
      </c>
      <c r="L14" s="16">
        <f>((((L6*0.00314)*0.2)*'Технический лист'!$M$8)+50+(((L7*0.00314)*0.22)*'Технический лист'!$O$11))*1.58</f>
        <v>1068.9065607896105</v>
      </c>
      <c r="M14" s="16">
        <f>((((M6*0.00314)*0.2)*'Технический лист'!$M$8)+50+(((M7*0.00314)*0.22)*'Технический лист'!$O$11))*1.58</f>
        <v>1156.1239585219048</v>
      </c>
      <c r="N14" s="16">
        <f>((((N6*0.00314)*0.2)*'Технический лист'!$M$8)+50+(((N7*0.00314)*0.22)*'Технический лист'!$O$11))*1.58</f>
        <v>1286.9500551203466</v>
      </c>
      <c r="O14" s="16">
        <f>((((O6*0.00314)*0.2)*'Технический лист'!$M$8)+50+(((O7*0.00314)*0.22)*'Технический лист'!$O$11))*1.58</f>
        <v>1330.5587539864935</v>
      </c>
      <c r="P14" s="16">
        <f>((((P6*0.00314)*0.2)*'Технический лист'!$M$8)+50+(((P7*0.00314)*0.22)*'Технический лист'!$O$11))*1.58</f>
        <v>1374.167452852641</v>
      </c>
      <c r="Q14" s="16">
        <f>((((Q6*0.00314)*0.2)*'Технический лист'!$M$8)+50+(((Q7*0.00314)*0.22)*'Технический лист'!$O$11))*1.58</f>
        <v>1417.776151718788</v>
      </c>
      <c r="R14" s="16">
        <f>((((R6*0.00314)*0.2)*'Технический лист'!$M$8)+50+(((R7*0.00314)*0.22)*'Технический лист'!$O$11))*1.58</f>
        <v>1461.384850584935</v>
      </c>
      <c r="S14" s="16">
        <f>((((S6*0.00314)*0.2)*'Технический лист'!$M$8)+50+(((S7*0.00314)*0.22)*'Технический лист'!$O$11))*1.58</f>
        <v>1504.9935494510823</v>
      </c>
    </row>
    <row r="15" spans="1:19" ht="15">
      <c r="A15" s="4" t="s">
        <v>99</v>
      </c>
      <c r="B15" s="16">
        <v>3090</v>
      </c>
      <c r="C15" s="16">
        <v>3308</v>
      </c>
      <c r="D15" s="16">
        <v>3420</v>
      </c>
      <c r="E15" s="16">
        <v>3533</v>
      </c>
      <c r="F15" s="16">
        <v>3645</v>
      </c>
      <c r="G15" s="16">
        <v>3757</v>
      </c>
      <c r="H15" s="16">
        <v>3998</v>
      </c>
      <c r="I15" s="16">
        <v>4238</v>
      </c>
      <c r="J15" s="16">
        <v>4485</v>
      </c>
      <c r="K15" s="16">
        <v>4995</v>
      </c>
      <c r="L15" s="16">
        <v>5527</v>
      </c>
      <c r="M15" s="16">
        <v>6082</v>
      </c>
      <c r="N15" s="16">
        <v>6967</v>
      </c>
      <c r="O15" s="16">
        <v>7268</v>
      </c>
      <c r="P15" s="16">
        <v>7575</v>
      </c>
      <c r="Q15" s="16">
        <v>7890</v>
      </c>
      <c r="R15" s="16">
        <v>8212</v>
      </c>
      <c r="S15" s="16">
        <v>8535</v>
      </c>
    </row>
    <row r="16" spans="1:19" ht="15">
      <c r="A16" s="4" t="s">
        <v>102</v>
      </c>
      <c r="B16" s="16">
        <v>3090</v>
      </c>
      <c r="C16" s="16">
        <v>3308</v>
      </c>
      <c r="D16" s="16">
        <v>3420</v>
      </c>
      <c r="E16" s="16">
        <v>3533</v>
      </c>
      <c r="F16" s="16">
        <v>3645</v>
      </c>
      <c r="G16" s="16">
        <v>3757</v>
      </c>
      <c r="H16" s="16">
        <v>3998</v>
      </c>
      <c r="I16" s="16">
        <v>4238</v>
      </c>
      <c r="J16" s="16">
        <v>4485</v>
      </c>
      <c r="K16" s="16">
        <v>4995</v>
      </c>
      <c r="L16" s="16">
        <v>5527</v>
      </c>
      <c r="M16" s="16">
        <v>6082</v>
      </c>
      <c r="N16" s="16">
        <v>6967</v>
      </c>
      <c r="O16" s="16">
        <v>7268</v>
      </c>
      <c r="P16" s="16">
        <v>7575</v>
      </c>
      <c r="Q16" s="16">
        <v>7890</v>
      </c>
      <c r="R16" s="16">
        <v>8212</v>
      </c>
      <c r="S16" s="16">
        <v>8535</v>
      </c>
    </row>
    <row r="17" spans="1:19" ht="15">
      <c r="A17" s="4" t="s">
        <v>9</v>
      </c>
      <c r="B17" s="9">
        <f>((((B6*0.00314)*((B6+545)/1000))*'Технический лист'!$K$8)+370+((B7*0.00314)*((B7+450)/1000))*'Технический лист'!$K$11)*1.63</f>
        <v>2031.3139905281382</v>
      </c>
      <c r="C17" s="9">
        <f>((((C6*0.00314)*((C6+545)/1000))*'Технический лист'!$K$8)+370+((C7*0.00314)*((C7+450)/1000))*'Технический лист'!$K$11)*1.63</f>
        <v>2175.507847097143</v>
      </c>
      <c r="D17" s="9">
        <f>((((D6*0.00314)*((D6+545)/1000))*'Технический лист'!$K$8)+370+((D7*0.00314)*((D7+450)/1000))*'Технический лист'!$K$11)*1.63</f>
        <v>2249.000933930476</v>
      </c>
      <c r="E17" s="9">
        <f>((((E6*0.00314)*((E6+545)/1000))*'Технический лист'!$K$8)+370+((E7*0.00314)*((E7+450)/1000))*'Технический лист'!$K$11)*1.63</f>
        <v>2323.4247931296964</v>
      </c>
      <c r="F17" s="9">
        <f>((((F6*0.00314)*((F6+545)/1000))*'Технический лист'!$K$8)+370+((F7*0.00314)*((F7+450)/1000))*'Технический лист'!$K$11)*1.63</f>
        <v>2398.7794246948047</v>
      </c>
      <c r="G17" s="9">
        <f>((((G6*0.00314)*((G6+545)/1000))*'Технический лист'!$K$8)+370+((G7*0.00314)*((G7+450)/1000))*'Технический лист'!$K$11)*1.63</f>
        <v>2475.064828625801</v>
      </c>
      <c r="H17" s="9">
        <f>((((H6*0.00314)*((H6+545)/1000))*'Технический лист'!$K$8)+370+((H7*0.00314)*((H7+450)/1000))*'Технический лист'!$K$11)*1.63</f>
        <v>2630.4279535854544</v>
      </c>
      <c r="I17" s="9">
        <f>((((I6*0.00314)*((I6+545)/1000))*'Технический лист'!$K$8)+370+((I7*0.00314)*((I7+450)/1000))*'Технический лист'!$K$11)*1.63</f>
        <v>2789.5141680086576</v>
      </c>
      <c r="J17" s="9">
        <f>((((J6*0.00314)*((J6+545)/1000))*'Технический лист'!$K$8)+370+((J7*0.00314)*((J7+450)/1000))*'Технический лист'!$K$11)*1.63</f>
        <v>2952.3234718954104</v>
      </c>
      <c r="K17" s="9">
        <f>((((K6*0.00314)*((K6+545)/1000))*'Технический лист'!$K$8)+370+((K7*0.00314)*((K7+450)/1000))*'Технический лист'!$K$11)*1.63</f>
        <v>3289.1113480595664</v>
      </c>
      <c r="L17" s="9">
        <f>((((L6*0.00314)*((L6+545)/1000))*'Технический лист'!$K$8)+370+((L7*0.00314)*((L7+450)/1000))*'Технический лист'!$K$11)*1.63</f>
        <v>3640.7915820779212</v>
      </c>
      <c r="M17" s="9">
        <f>((((M6*0.00314)*((M6+545)/1000))*'Технический лист'!$K$8)+370+((M7*0.00314)*((M7+450)/1000))*'Технический лист'!$K$11)*1.63</f>
        <v>4007.364173950475</v>
      </c>
      <c r="N17" s="9">
        <f>((((N6*0.00314)*((N6+545)/1000))*'Технический лист'!$K$8)+370+((N7*0.00314)*((N7+450)/1000))*'Технический лист'!$K$11)*1.63</f>
        <v>4585.14623273593</v>
      </c>
      <c r="O17" s="9">
        <f>((((O6*0.00314)*((O6+545)/1000))*'Технический лист'!$K$8)+370+((O7*0.00314)*((O7+450)/1000))*'Технический лист'!$K$11)*1.63</f>
        <v>4785.186431258181</v>
      </c>
      <c r="P17" s="9">
        <f>((((P6*0.00314)*((P6+545)/1000))*'Технический лист'!$K$8)+370+((P7*0.00314)*((P7+450)/1000))*'Технический лист'!$K$11)*1.63</f>
        <v>4988.949719243981</v>
      </c>
      <c r="Q17" s="9">
        <f>((((Q6*0.00314)*((Q6+545)/1000))*'Технический лист'!$K$8)+370+((Q7*0.00314)*((Q7+450)/1000))*'Технический лист'!$K$11)*1.63</f>
        <v>5196.436096693333</v>
      </c>
      <c r="R17" s="9">
        <f>((((R6*0.00314)*((R6+545)/1000))*'Технический лист'!$K$8)+370+((R7*0.00314)*((R7+450)/1000))*'Технический лист'!$K$11)*1.63</f>
        <v>5407.645563606233</v>
      </c>
      <c r="S17" s="9">
        <f>((((S6*0.00314)*((S6+545)/1000))*'Технический лист'!$K$8)+370+((S7*0.00314)*((S7+450)/1000))*'Технический лист'!$K$11)*1.63</f>
        <v>5622.578119982683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8" ref="C23:N23">C22+100</f>
        <v>210</v>
      </c>
      <c r="D23" s="10">
        <f t="shared" si="8"/>
        <v>215</v>
      </c>
      <c r="E23" s="10">
        <f t="shared" si="8"/>
        <v>220</v>
      </c>
      <c r="F23" s="10">
        <f t="shared" si="8"/>
        <v>225</v>
      </c>
      <c r="G23" s="10">
        <f t="shared" si="8"/>
        <v>230</v>
      </c>
      <c r="H23" s="10">
        <f t="shared" si="8"/>
        <v>240</v>
      </c>
      <c r="I23" s="10">
        <f t="shared" si="8"/>
        <v>250</v>
      </c>
      <c r="J23" s="10">
        <f t="shared" si="8"/>
        <v>260</v>
      </c>
      <c r="K23" s="10">
        <f t="shared" si="8"/>
        <v>280</v>
      </c>
      <c r="L23" s="10">
        <f t="shared" si="8"/>
        <v>300</v>
      </c>
      <c r="M23" s="10">
        <f t="shared" si="8"/>
        <v>320</v>
      </c>
      <c r="N23" s="10">
        <f t="shared" si="8"/>
        <v>350</v>
      </c>
      <c r="O23" s="10">
        <f aca="true" t="shared" si="9" ref="O23:S23">O22+100</f>
        <v>360</v>
      </c>
      <c r="P23" s="10">
        <f t="shared" si="9"/>
        <v>370</v>
      </c>
      <c r="Q23" s="10">
        <f t="shared" si="9"/>
        <v>380</v>
      </c>
      <c r="R23" s="10">
        <f t="shared" si="9"/>
        <v>390</v>
      </c>
      <c r="S23" s="10">
        <f t="shared" si="9"/>
        <v>400</v>
      </c>
    </row>
    <row r="24" spans="1:19" ht="15">
      <c r="A24" s="4" t="s">
        <v>4</v>
      </c>
      <c r="B24" s="16">
        <f>(((B22*0.00314)*'Технический лист'!$G$8)+365+((B23*0.00314)*'Технический лист'!$G$5))*1.52</f>
        <v>2621.6331470129867</v>
      </c>
      <c r="C24" s="16">
        <f>(((C22*0.00314)*'Технический лист'!$G$8)+365+((C23*0.00314)*'Технический лист'!$G$5))*1.52</f>
        <v>2774.097453714285</v>
      </c>
      <c r="D24" s="16">
        <f>(((D22*0.00314)*'Технический лист'!$G$8)+365+((D23*0.00314)*'Технический лист'!$G$5))*1.52</f>
        <v>2850.329607064935</v>
      </c>
      <c r="E24" s="16">
        <f>(((E22*0.00314)*'Технический лист'!$G$8)+365+((E23*0.00314)*'Технический лист'!$G$5))*1.52</f>
        <v>2926.561760415584</v>
      </c>
      <c r="F24" s="16">
        <f>(((F22*0.00314)*'Технический лист'!$G$8)+365+((F23*0.00314)*'Технический лист'!$G$5))*1.52</f>
        <v>3002.793913766234</v>
      </c>
      <c r="G24" s="16">
        <f>(((G22*0.00314)*'Технический лист'!$G$8)+365+((G23*0.00314)*'Технический лист'!$G$5))*1.52</f>
        <v>3079.0260671168826</v>
      </c>
      <c r="H24" s="16">
        <f>(((H22*0.00314)*'Технический лист'!$G$8)+365+((H23*0.00314)*'Технический лист'!$G$5))*1.52</f>
        <v>3231.4903738181815</v>
      </c>
      <c r="I24" s="16">
        <f>(((I22*0.00314)*'Технический лист'!$G$8)+365+((I23*0.00314)*'Технический лист'!$G$5))*1.52</f>
        <v>3383.95468051948</v>
      </c>
      <c r="J24" s="16">
        <f>(((J22*0.00314)*'Технический лист'!$G$8)+365+((J23*0.00314)*'Технический лист'!$G$5))*1.52</f>
        <v>3536.418987220779</v>
      </c>
      <c r="K24" s="16">
        <f>(((K22*0.00314)*'Технический лист'!$G$8)+365+((K23*0.00314)*'Технический лист'!$G$5))*1.52</f>
        <v>3841.3476006233764</v>
      </c>
      <c r="L24" s="16">
        <f>(((L22*0.00314)*'Технический лист'!$G$8)+365+((L23*0.00314)*'Технический лист'!$G$5))*1.52</f>
        <v>4146.276214025974</v>
      </c>
      <c r="M24" s="16">
        <f>(((M22*0.00314)*'Технический лист'!$G$8)+365+((M23*0.00314)*'Технический лист'!$G$5))*1.52</f>
        <v>4451.204827428571</v>
      </c>
      <c r="N24" s="16">
        <f>(((N22*0.00314)*'Технический лист'!$G$8)+365+((N23*0.00314)*'Технический лист'!$G$5))*1.52</f>
        <v>4908.597747532467</v>
      </c>
      <c r="O24" s="16">
        <f>(((O22*0.00314)*'Технический лист'!$G$8)+365+((O23*0.00314)*'Технический лист'!$G$5))*1.52</f>
        <v>5061.0620542337665</v>
      </c>
      <c r="P24" s="16">
        <f>(((P22*0.00314)*'Технический лист'!$G$8)+365+((P23*0.00314)*'Технический лист'!$G$5))*1.52</f>
        <v>5213.526360935065</v>
      </c>
      <c r="Q24" s="16">
        <f>(((Q22*0.00314)*'Технический лист'!$G$8)+365+((Q23*0.00314)*'Технический лист'!$G$5))*1.52</f>
        <v>5365.9906676363635</v>
      </c>
      <c r="R24" s="16">
        <f>(((R22*0.00314)*'Технический лист'!$G$8)+365+((R23*0.00314)*'Технический лист'!$G$5))*1.52</f>
        <v>5518.454974337661</v>
      </c>
      <c r="S24" s="16">
        <f>(((S22*0.00314)*'Технический лист'!$G$8)+365+((S23*0.00314)*'Технический лист'!$G$5))*1.52</f>
        <v>5670.91928103896</v>
      </c>
    </row>
    <row r="25" spans="1:19" ht="15">
      <c r="A25" s="4" t="s">
        <v>3</v>
      </c>
      <c r="B25" s="9">
        <f>((B24/2)*1.07)-10</f>
        <v>1392.573733651948</v>
      </c>
      <c r="C25" s="9">
        <f aca="true" t="shared" si="10" ref="C25:N25">((C24/2)*1.07)-10</f>
        <v>1474.1421377371425</v>
      </c>
      <c r="D25" s="9">
        <f t="shared" si="10"/>
        <v>1514.9263397797401</v>
      </c>
      <c r="E25" s="9">
        <f t="shared" si="10"/>
        <v>1555.7105418223375</v>
      </c>
      <c r="F25" s="9">
        <f t="shared" si="10"/>
        <v>1596.4947438649351</v>
      </c>
      <c r="G25" s="9">
        <f t="shared" si="10"/>
        <v>1637.2789459075323</v>
      </c>
      <c r="H25" s="9">
        <f t="shared" si="10"/>
        <v>1718.8473499927272</v>
      </c>
      <c r="I25" s="9">
        <f t="shared" si="10"/>
        <v>1800.415754077922</v>
      </c>
      <c r="J25" s="9">
        <f t="shared" si="10"/>
        <v>1881.984158163117</v>
      </c>
      <c r="K25" s="9">
        <f t="shared" si="10"/>
        <v>2045.1209663335067</v>
      </c>
      <c r="L25" s="9">
        <f t="shared" si="10"/>
        <v>2208.257774503896</v>
      </c>
      <c r="M25" s="9">
        <f t="shared" si="10"/>
        <v>2371.3945826742856</v>
      </c>
      <c r="N25" s="9">
        <f t="shared" si="10"/>
        <v>2616.09979492987</v>
      </c>
      <c r="O25" s="9">
        <f aca="true" t="shared" si="11" ref="O25:S25">((O24/2)*1.07)-10</f>
        <v>2697.668199015065</v>
      </c>
      <c r="P25" s="9">
        <f t="shared" si="11"/>
        <v>2779.23660310026</v>
      </c>
      <c r="Q25" s="9">
        <f t="shared" si="11"/>
        <v>2860.8050071854545</v>
      </c>
      <c r="R25" s="9">
        <f t="shared" si="11"/>
        <v>2942.373411270649</v>
      </c>
      <c r="S25" s="9">
        <f t="shared" si="11"/>
        <v>3023.941815355844</v>
      </c>
    </row>
    <row r="26" spans="1:19" ht="15">
      <c r="A26" s="4" t="s">
        <v>5</v>
      </c>
      <c r="B26" s="16">
        <f>((((B22*0.00314)*0.5)*'Технический лист'!$I$8)+310+(((B23*0.00314)*0.5)*'Технический лист'!$I$5))*1.58</f>
        <v>2102.299532987013</v>
      </c>
      <c r="C26" s="16">
        <f>((((C22*0.00314)*0.5)*'Технический лист'!$I$8)+310+(((C23*0.00314)*0.5)*'Технический лист'!$I$5))*1.58</f>
        <v>2219.245970285714</v>
      </c>
      <c r="D26" s="16">
        <f>((((D22*0.00314)*0.5)*'Технический лист'!$I$8)+310+(((D23*0.00314)*0.5)*'Технический лист'!$I$5))*1.58</f>
        <v>2277.719188935065</v>
      </c>
      <c r="E26" s="16">
        <f>((((E22*0.00314)*0.5)*'Технический лист'!$I$8)+310+(((E23*0.00314)*0.5)*'Технический лист'!$I$5))*1.58</f>
        <v>2336.192407584416</v>
      </c>
      <c r="F26" s="16">
        <f>((((F22*0.00314)*0.5)*'Технический лист'!$I$8)+310+(((F23*0.00314)*0.5)*'Технический лист'!$I$5))*1.58</f>
        <v>2394.665626233766</v>
      </c>
      <c r="G26" s="16">
        <f>((((G22*0.00314)*0.5)*'Технический лист'!$I$8)+310+(((G23*0.00314)*0.5)*'Технический лист'!$I$5))*1.58</f>
        <v>2453.138844883117</v>
      </c>
      <c r="H26" s="16">
        <f>((((H22*0.00314)*0.5)*'Технический лист'!$I$8)+310+(((H23*0.00314)*0.5)*'Технический лист'!$I$5))*1.58</f>
        <v>2570.085282181818</v>
      </c>
      <c r="I26" s="16">
        <f>((((I22*0.00314)*0.5)*'Технический лист'!$I$8)+310+(((I23*0.00314)*0.5)*'Технический лист'!$I$5))*1.58</f>
        <v>2687.0317194805198</v>
      </c>
      <c r="J26" s="16">
        <f>((((J22*0.00314)*0.5)*'Технический лист'!$I$8)+310+(((J23*0.00314)*0.5)*'Технический лист'!$I$5))*1.58</f>
        <v>2803.978156779221</v>
      </c>
      <c r="K26" s="16">
        <f>((((K22*0.00314)*0.5)*'Технический лист'!$I$8)+310+(((K23*0.00314)*0.5)*'Технический лист'!$I$5))*1.58</f>
        <v>3037.8710313766237</v>
      </c>
      <c r="L26" s="16">
        <f>((((L22*0.00314)*0.5)*'Технический лист'!$I$8)+310+(((L23*0.00314)*0.5)*'Технический лист'!$I$5))*1.58</f>
        <v>3271.763905974026</v>
      </c>
      <c r="M26" s="16">
        <f>((((M22*0.00314)*0.5)*'Технический лист'!$I$8)+310+(((M23*0.00314)*0.5)*'Технический лист'!$I$5))*1.58</f>
        <v>3505.6567805714285</v>
      </c>
      <c r="N26" s="16">
        <f>((((N22*0.00314)*0.5)*'Технический лист'!$I$8)+310+(((N23*0.00314)*0.5)*'Технический лист'!$I$5))*1.58</f>
        <v>3856.4960924675324</v>
      </c>
      <c r="O26" s="16">
        <f>((((O22*0.00314)*0.5)*'Технический лист'!$I$8)+310+(((O23*0.00314)*0.5)*'Технический лист'!$I$5))*1.58</f>
        <v>3973.4425297662347</v>
      </c>
      <c r="P26" s="16">
        <f>((((P22*0.00314)*0.5)*'Технический лист'!$I$8)+310+(((P23*0.00314)*0.5)*'Технический лист'!$I$5))*1.58</f>
        <v>4090.3889670649355</v>
      </c>
      <c r="Q26" s="16">
        <f>((((Q22*0.00314)*0.5)*'Технический лист'!$I$8)+310+(((Q23*0.00314)*0.5)*'Технический лист'!$I$5))*1.58</f>
        <v>4207.335404363636</v>
      </c>
      <c r="R26" s="16">
        <f>((((R22*0.00314)*0.5)*'Технический лист'!$I$8)+310+(((R23*0.00314)*0.5)*'Технический лист'!$I$5))*1.58</f>
        <v>4324.281841662338</v>
      </c>
      <c r="S26" s="16">
        <f>((((S22*0.00314)*0.5)*'Технический лист'!$I$8)+310+(((S23*0.00314)*0.5)*'Технический лист'!$I$5))*1.58</f>
        <v>4441.228278961039</v>
      </c>
    </row>
    <row r="27" spans="1:19" ht="15">
      <c r="A27" s="4" t="s">
        <v>96</v>
      </c>
      <c r="B27" s="9">
        <f>((B26*2)/3)-6</f>
        <v>1395.5330219913421</v>
      </c>
      <c r="C27" s="9">
        <f aca="true" t="shared" si="12" ref="C27:N27">((C26*2)/3)-6</f>
        <v>1473.4973135238095</v>
      </c>
      <c r="D27" s="9">
        <f t="shared" si="12"/>
        <v>1512.4794592900435</v>
      </c>
      <c r="E27" s="9">
        <f t="shared" si="12"/>
        <v>1551.4616050562772</v>
      </c>
      <c r="F27" s="9">
        <f t="shared" si="12"/>
        <v>1590.4437508225108</v>
      </c>
      <c r="G27" s="9">
        <f t="shared" si="12"/>
        <v>1629.4258965887448</v>
      </c>
      <c r="H27" s="9">
        <f t="shared" si="12"/>
        <v>1707.390188121212</v>
      </c>
      <c r="I27" s="9">
        <f t="shared" si="12"/>
        <v>1785.3544796536798</v>
      </c>
      <c r="J27" s="9">
        <f t="shared" si="12"/>
        <v>1863.3187711861474</v>
      </c>
      <c r="K27" s="9">
        <f t="shared" si="12"/>
        <v>2019.2473542510825</v>
      </c>
      <c r="L27" s="9">
        <f t="shared" si="12"/>
        <v>2175.175937316017</v>
      </c>
      <c r="M27" s="9">
        <f t="shared" si="12"/>
        <v>2331.104520380952</v>
      </c>
      <c r="N27" s="9">
        <f t="shared" si="12"/>
        <v>2564.997394978355</v>
      </c>
      <c r="O27" s="9">
        <f aca="true" t="shared" si="13" ref="O27:S27">((O26*2)/3)-6</f>
        <v>2642.9616865108233</v>
      </c>
      <c r="P27" s="9">
        <f t="shared" si="13"/>
        <v>2720.9259780432903</v>
      </c>
      <c r="Q27" s="9">
        <f t="shared" si="13"/>
        <v>2798.8902695757574</v>
      </c>
      <c r="R27" s="9">
        <f t="shared" si="13"/>
        <v>2876.854561108225</v>
      </c>
      <c r="S27" s="9">
        <f t="shared" si="13"/>
        <v>2954.8188526406925</v>
      </c>
    </row>
    <row r="28" spans="1:19" ht="15">
      <c r="A28" s="4" t="s">
        <v>6</v>
      </c>
      <c r="B28" s="16">
        <f>((((B22*0.00314)*0.22)*'Технический лист'!$M$8)+100+(((B23*0.00314)*0.21)*'Технический лист'!$O$5)+(((B22+30)*(B22+30)/1000000)*'Технический лист'!$E$20))*1.58</f>
        <v>1035.0725721142855</v>
      </c>
      <c r="C28" s="16">
        <f>((((C22*0.00314)*0.22)*'Технический лист'!$M$8)+100+(((C23*0.00314)*0.21)*'Технический лист'!$O$5)+(((C22+30)*(C22+30)/1000000)*'Технический лист'!$E$20))*1.58</f>
        <v>1108.159293005714</v>
      </c>
      <c r="D28" s="16">
        <f>((((D22*0.00314)*0.22)*'Технический лист'!$M$8)+100+(((D23*0.00314)*0.21)*'Технический лист'!$O$5)+(((D22+30)*(D22+30)/1000000)*'Технический лист'!$E$20))*1.58</f>
        <v>1145.1766534514286</v>
      </c>
      <c r="E28" s="16">
        <f>((((E22*0.00314)*0.22)*'Технический лист'!$M$8)+100+(((E23*0.00314)*0.21)*'Технический лист'!$O$5)+(((E22+30)*(E22+30)/1000000)*'Технический лист'!$E$20))*1.58</f>
        <v>1182.5100138971427</v>
      </c>
      <c r="F28" s="16">
        <f>((((F22*0.00314)*0.22)*'Технический лист'!$M$8)+100+(((F23*0.00314)*0.21)*'Технический лист'!$O$5)+(((F22+30)*(F22+30)/1000000)*'Технический лист'!$E$20))*1.58</f>
        <v>1220.1593743428573</v>
      </c>
      <c r="G28" s="16">
        <f>((((G22*0.00314)*0.22)*'Технический лист'!$M$8)+100+(((G23*0.00314)*0.21)*'Технический лист'!$O$5)+(((G22+30)*(G22+30)/1000000)*'Технический лист'!$E$20))*1.58</f>
        <v>1258.1247347885715</v>
      </c>
      <c r="H28" s="16">
        <f>((((H22*0.00314)*0.22)*'Технический лист'!$M$8)+100+(((H23*0.00314)*0.21)*'Технический лист'!$O$5)+(((H22+30)*(H22+30)/1000000)*'Технический лист'!$E$20))*1.58</f>
        <v>1335.0034556800001</v>
      </c>
      <c r="I28" s="16">
        <f>((((I22*0.00314)*0.22)*'Технический лист'!$M$8)+100+(((I23*0.00314)*0.21)*'Технический лист'!$O$5)+(((I22+30)*(I22+30)/1000000)*'Технический лист'!$E$20))*1.58</f>
        <v>1413.1461765714287</v>
      </c>
      <c r="J28" s="16">
        <f>((((J22*0.00314)*0.22)*'Технический лист'!$M$8)+100+(((J23*0.00314)*0.21)*'Технический лист'!$O$5)+(((J22+30)*(J22+30)/1000000)*'Технический лист'!$E$20))*1.58</f>
        <v>1492.5528974628571</v>
      </c>
      <c r="K28" s="16">
        <f>((((K22*0.00314)*0.22)*'Технический лист'!$M$8)+100+(((K23*0.00314)*0.21)*'Технический лист'!$O$5)+(((K22+30)*(K22+30)/1000000)*'Технический лист'!$E$20))*1.58</f>
        <v>1655.1583392457142</v>
      </c>
      <c r="L28" s="16">
        <f>((((L22*0.00314)*0.22)*'Технический лист'!$M$8)+100+(((L23*0.00314)*0.21)*'Технический лист'!$O$5)+(((L22+30)*(L22+30)/1000000)*'Технический лист'!$E$20))*1.58</f>
        <v>1822.8197810285712</v>
      </c>
      <c r="M28" s="16">
        <f>((((M22*0.00314)*0.22)*'Технический лист'!$M$8)+100+(((M23*0.00314)*0.21)*'Технический лист'!$O$5)+(((M22+30)*(M22+30)/1000000)*'Технический лист'!$E$20))*1.58</f>
        <v>1995.5372228114286</v>
      </c>
      <c r="N28" s="16">
        <f>((((N22*0.00314)*0.22)*'Технический лист'!$M$8)+100+(((N23*0.00314)*0.21)*'Технический лист'!$O$5)+(((N22+30)*(N22+30)/1000000)*'Технический лист'!$E$20))*1.58</f>
        <v>2264.0933854857144</v>
      </c>
      <c r="O28" s="16">
        <f>((((O22*0.00314)*0.22)*'Технический лист'!$M$8)+100+(((O23*0.00314)*0.21)*'Технический лист'!$O$5)+(((O22+30)*(O22+30)/1000000)*'Технический лист'!$E$20))*1.58</f>
        <v>2356.140106377143</v>
      </c>
      <c r="P28" s="16">
        <f>((((P22*0.00314)*0.22)*'Технический лист'!$M$8)+100+(((P23*0.00314)*0.21)*'Технический лист'!$O$5)+(((P22+30)*(P22+30)/1000000)*'Технический лист'!$E$20))*1.58</f>
        <v>2449.450827268571</v>
      </c>
      <c r="Q28" s="16">
        <f>((((Q22*0.00314)*0.22)*'Технический лист'!$M$8)+100+(((Q23*0.00314)*0.21)*'Технический лист'!$O$5)+(((Q22+30)*(Q22+30)/1000000)*'Технический лист'!$E$20))*1.58</f>
        <v>2544.02554816</v>
      </c>
      <c r="R28" s="16">
        <f>((((R22*0.00314)*0.22)*'Технический лист'!$M$8)+100+(((R23*0.00314)*0.21)*'Технический лист'!$O$5)+(((R22+30)*(R22+30)/1000000)*'Технический лист'!$E$20))*1.58</f>
        <v>2639.8642690514284</v>
      </c>
      <c r="S28" s="16">
        <f>((((S22*0.00314)*0.22)*'Технический лист'!$M$8)+100+(((S23*0.00314)*0.21)*'Технический лист'!$O$5)+(((S22+30)*(S22+30)/1000000)*'Технический лист'!$E$20))*1.58</f>
        <v>2736.966989942857</v>
      </c>
    </row>
    <row r="29" spans="1:19" ht="15">
      <c r="A29" s="4" t="s">
        <v>7</v>
      </c>
      <c r="B29" s="9">
        <f>(B28*2.2)+24</f>
        <v>2301.1596586514283</v>
      </c>
      <c r="C29" s="9">
        <f aca="true" t="shared" si="14" ref="C29:N29">(C28*2.2)+24</f>
        <v>2461.950444612571</v>
      </c>
      <c r="D29" s="9">
        <f t="shared" si="14"/>
        <v>2543.388637593143</v>
      </c>
      <c r="E29" s="9">
        <f t="shared" si="14"/>
        <v>2625.5220305737143</v>
      </c>
      <c r="F29" s="9">
        <f t="shared" si="14"/>
        <v>2708.3506235542864</v>
      </c>
      <c r="G29" s="9">
        <f t="shared" si="14"/>
        <v>2791.8744165348576</v>
      </c>
      <c r="H29" s="9">
        <f t="shared" si="14"/>
        <v>2961.0076024960003</v>
      </c>
      <c r="I29" s="9">
        <f t="shared" si="14"/>
        <v>3132.921588457143</v>
      </c>
      <c r="J29" s="9">
        <f t="shared" si="14"/>
        <v>3307.616374418286</v>
      </c>
      <c r="K29" s="9">
        <f t="shared" si="14"/>
        <v>3665.3483463405714</v>
      </c>
      <c r="L29" s="9">
        <f t="shared" si="14"/>
        <v>4034.203518262857</v>
      </c>
      <c r="M29" s="9">
        <f t="shared" si="14"/>
        <v>4414.181890185143</v>
      </c>
      <c r="N29" s="9">
        <f t="shared" si="14"/>
        <v>5005.005448068572</v>
      </c>
      <c r="O29" s="9">
        <f aca="true" t="shared" si="15" ref="O29:S29">(O28*2.2)+24</f>
        <v>5207.508234029716</v>
      </c>
      <c r="P29" s="9">
        <f t="shared" si="15"/>
        <v>5412.791819990857</v>
      </c>
      <c r="Q29" s="9">
        <f t="shared" si="15"/>
        <v>5620.856205952001</v>
      </c>
      <c r="R29" s="9">
        <f t="shared" si="15"/>
        <v>5831.701391913143</v>
      </c>
      <c r="S29" s="9">
        <f t="shared" si="15"/>
        <v>6045.327377874285</v>
      </c>
    </row>
    <row r="30" spans="1:19" ht="15">
      <c r="A30" s="4" t="s">
        <v>8</v>
      </c>
      <c r="B30" s="16">
        <f>((((B22*0.00314)*0.2)*'Технический лист'!$M$8)+50+(((B23*0.00314)*0.22)*'Технический лист'!$O$5))*1.58</f>
        <v>837.4326899948053</v>
      </c>
      <c r="C30" s="16">
        <f>((((C22*0.00314)*0.2)*'Технический лист'!$M$8)+50+(((C23*0.00314)*0.22)*'Технический лист'!$O$5))*1.58</f>
        <v>891.2720447542857</v>
      </c>
      <c r="D30" s="16">
        <f>((((D22*0.00314)*0.2)*'Технический лист'!$M$8)+50+(((D23*0.00314)*0.22)*'Технический лист'!$O$5))*1.58</f>
        <v>918.1917221340261</v>
      </c>
      <c r="E30" s="16">
        <f>((((E22*0.00314)*0.2)*'Технический лист'!$M$8)+50+(((E23*0.00314)*0.22)*'Технический лист'!$O$5))*1.58</f>
        <v>945.1113995137664</v>
      </c>
      <c r="F30" s="16">
        <f>((((F22*0.00314)*0.2)*'Технический лист'!$M$8)+50+(((F23*0.00314)*0.22)*'Технический лист'!$O$5))*1.58</f>
        <v>972.0310768935068</v>
      </c>
      <c r="G30" s="16">
        <f>((((G22*0.00314)*0.2)*'Технический лист'!$M$8)+50+(((G23*0.00314)*0.22)*'Технический лист'!$O$5))*1.58</f>
        <v>998.9507542732467</v>
      </c>
      <c r="H30" s="16">
        <f>((((H22*0.00314)*0.2)*'Технический лист'!$M$8)+50+(((H23*0.00314)*0.22)*'Технический лист'!$O$5))*1.58</f>
        <v>1052.7901090327273</v>
      </c>
      <c r="I30" s="16">
        <f>((((I22*0.00314)*0.2)*'Технический лист'!$M$8)+50+(((I23*0.00314)*0.22)*'Технический лист'!$O$5))*1.58</f>
        <v>1106.6294637922078</v>
      </c>
      <c r="J30" s="16">
        <f>((((J22*0.00314)*0.2)*'Технический лист'!$M$8)+50+(((J23*0.00314)*0.22)*'Технический лист'!$O$5))*1.58</f>
        <v>1160.4688185516884</v>
      </c>
      <c r="K30" s="16">
        <f>((((K22*0.00314)*0.2)*'Технический лист'!$M$8)+50+(((K23*0.00314)*0.22)*'Технический лист'!$O$5))*1.58</f>
        <v>1268.1475280706495</v>
      </c>
      <c r="L30" s="16">
        <f>((((L22*0.00314)*0.2)*'Технический лист'!$M$8)+50+(((L23*0.00314)*0.22)*'Технический лист'!$O$5))*1.58</f>
        <v>1375.8262375896104</v>
      </c>
      <c r="M30" s="16">
        <f>((((M22*0.00314)*0.2)*'Технический лист'!$M$8)+50+(((M23*0.00314)*0.22)*'Технический лист'!$O$5))*1.58</f>
        <v>1483.5049471085713</v>
      </c>
      <c r="N30" s="16">
        <f>((((N22*0.00314)*0.2)*'Технический лист'!$M$8)+50+(((N23*0.00314)*0.22)*'Технический лист'!$O$5))*1.58</f>
        <v>1645.0230113870134</v>
      </c>
      <c r="O30" s="16">
        <f>((((O22*0.00314)*0.2)*'Технический лист'!$M$8)+50+(((O23*0.00314)*0.22)*'Технический лист'!$O$5))*1.58</f>
        <v>1698.8623661464935</v>
      </c>
      <c r="P30" s="16">
        <f>((((P22*0.00314)*0.2)*'Технический лист'!$M$8)+50+(((P23*0.00314)*0.22)*'Технический лист'!$O$5))*1.58</f>
        <v>1752.701720905974</v>
      </c>
      <c r="Q30" s="16">
        <f>((((Q22*0.00314)*0.2)*'Технический лист'!$M$8)+50+(((Q23*0.00314)*0.22)*'Технический лист'!$O$5))*1.58</f>
        <v>1806.5410756654544</v>
      </c>
      <c r="R30" s="16">
        <f>((((R22*0.00314)*0.2)*'Технический лист'!$M$8)+50+(((R23*0.00314)*0.22)*'Технический лист'!$O$5))*1.58</f>
        <v>1860.380430424935</v>
      </c>
      <c r="S30" s="16">
        <f>((((S22*0.00314)*0.2)*'Технический лист'!$M$8)+50+(((S23*0.00314)*0.22)*'Технический лист'!$O$5))*1.58</f>
        <v>1914.2197851844155</v>
      </c>
    </row>
    <row r="31" spans="1:19" ht="15">
      <c r="A31" s="4" t="s">
        <v>99</v>
      </c>
      <c r="B31" s="16">
        <v>4387</v>
      </c>
      <c r="C31" s="16">
        <v>4687</v>
      </c>
      <c r="D31" s="16">
        <v>4845</v>
      </c>
      <c r="E31" s="16">
        <v>5002</v>
      </c>
      <c r="F31" s="16">
        <v>5160</v>
      </c>
      <c r="G31" s="16">
        <v>5325</v>
      </c>
      <c r="H31" s="16">
        <v>5655</v>
      </c>
      <c r="I31" s="16">
        <v>5985</v>
      </c>
      <c r="J31" s="16">
        <v>6330</v>
      </c>
      <c r="K31" s="16">
        <v>7042</v>
      </c>
      <c r="L31" s="16">
        <v>7777</v>
      </c>
      <c r="M31" s="16">
        <v>8550</v>
      </c>
      <c r="N31" s="16">
        <v>9765</v>
      </c>
      <c r="O31" s="16">
        <v>10185</v>
      </c>
      <c r="P31" s="16">
        <v>10612</v>
      </c>
      <c r="Q31" s="16">
        <v>11048</v>
      </c>
      <c r="R31" s="16">
        <v>11490</v>
      </c>
      <c r="S31" s="16">
        <v>11940</v>
      </c>
    </row>
    <row r="32" spans="1:19" ht="15">
      <c r="A32" s="4" t="s">
        <v>102</v>
      </c>
      <c r="B32" s="16">
        <v>4387</v>
      </c>
      <c r="C32" s="16">
        <v>4687</v>
      </c>
      <c r="D32" s="16">
        <v>4845</v>
      </c>
      <c r="E32" s="16">
        <v>5002</v>
      </c>
      <c r="F32" s="16">
        <v>5160</v>
      </c>
      <c r="G32" s="16">
        <v>5325</v>
      </c>
      <c r="H32" s="16">
        <v>5655</v>
      </c>
      <c r="I32" s="16">
        <v>5985</v>
      </c>
      <c r="J32" s="16">
        <v>6330</v>
      </c>
      <c r="K32" s="16">
        <v>7042</v>
      </c>
      <c r="L32" s="16">
        <v>7777</v>
      </c>
      <c r="M32" s="16">
        <v>8550</v>
      </c>
      <c r="N32" s="16">
        <v>9765</v>
      </c>
      <c r="O32" s="16">
        <v>10185</v>
      </c>
      <c r="P32" s="16">
        <v>10612</v>
      </c>
      <c r="Q32" s="16">
        <v>11048</v>
      </c>
      <c r="R32" s="16">
        <v>11490</v>
      </c>
      <c r="S32" s="16">
        <v>11940</v>
      </c>
    </row>
    <row r="33" spans="1:19" ht="15">
      <c r="A33" s="4" t="s">
        <v>9</v>
      </c>
      <c r="B33" s="9">
        <f>((((B22*0.00314)*((B22+545)/1000))*'Технический лист'!$K$8)+370+((B23*0.00314)*((B23+450)/1000))*'Технический лист'!$K$5)*1.65</f>
        <v>2923.295708571429</v>
      </c>
      <c r="C33" s="9">
        <f>((((C22*0.00314)*((C22+545)/1000))*'Технический лист'!$K$8)+370+((C23*0.00314)*((C23+450)/1000))*'Технический лист'!$K$5)*1.65</f>
        <v>3126.618011314286</v>
      </c>
      <c r="D33" s="9">
        <f>((((D22*0.00314)*((D22+545)/1000))*'Технический лист'!$K$8)+370+((D23*0.00314)*((D23+450)/1000))*'Технический лист'!$K$5)*1.65</f>
        <v>3230.1926775642855</v>
      </c>
      <c r="E33" s="9">
        <f>((((E22*0.00314)*((E22+545)/1000))*'Технический лист'!$K$8)+370+((E23*0.00314)*((E23+450)/1000))*'Технический лист'!$K$5)*1.65</f>
        <v>3335.0430204</v>
      </c>
      <c r="F33" s="9">
        <f>((((F22*0.00314)*((F22+545)/1000))*'Технический лист'!$K$8)+370+((F23*0.00314)*((F23+450)/1000))*'Технический лист'!$K$5)*1.65</f>
        <v>3441.169039821428</v>
      </c>
      <c r="G33" s="9">
        <f>((((G22*0.00314)*((G22+545)/1000))*'Технический лист'!$K$8)+370+((G23*0.00314)*((G23+450)/1000))*'Технический лист'!$K$5)*1.65</f>
        <v>3548.5707358285717</v>
      </c>
      <c r="H33" s="9">
        <f>((((H22*0.00314)*((H22+545)/1000))*'Технический лист'!$K$8)+370+((H23*0.00314)*((H23+450)/1000))*'Технический лист'!$K$5)*1.65</f>
        <v>3767.2011576</v>
      </c>
      <c r="I33" s="9">
        <f>((((I22*0.00314)*((I22+545)/1000))*'Технический лист'!$K$8)+370+((I23*0.00314)*((I23+450)/1000))*'Технический лист'!$K$5)*1.65</f>
        <v>3990.934285714285</v>
      </c>
      <c r="J33" s="9">
        <f>((((J22*0.00314)*((J22+545)/1000))*'Технический лист'!$K$8)+370+((J23*0.00314)*((J23+450)/1000))*'Технический лист'!$K$5)*1.65</f>
        <v>4219.770120171428</v>
      </c>
      <c r="K33" s="9">
        <f>((((K22*0.00314)*((K22+545)/1000))*'Технический лист'!$K$8)+370+((K23*0.00314)*((K23+450)/1000))*'Технический лист'!$K$5)*1.65</f>
        <v>4692.749908114286</v>
      </c>
      <c r="L33" s="9">
        <f>((((L22*0.00314)*((L22+545)/1000))*'Технический лист'!$K$8)+370+((L23*0.00314)*((L23+450)/1000))*'Технический лист'!$K$5)*1.65</f>
        <v>5186.1405214285705</v>
      </c>
      <c r="M33" s="9">
        <f>((((M22*0.00314)*((M22+545)/1000))*'Технический лист'!$K$8)+370+((M23*0.00314)*((M23+450)/1000))*'Технический лист'!$K$5)*1.65</f>
        <v>5699.9419601142845</v>
      </c>
      <c r="N33" s="9">
        <f>((((N22*0.00314)*((N22+545)/1000))*'Технический лист'!$K$8)+370+((N23*0.00314)*((N23+450)/1000))*'Технический лист'!$K$5)*1.65</f>
        <v>6508.9144157142855</v>
      </c>
      <c r="O33" s="9">
        <f>((((O22*0.00314)*((O22+545)/1000))*'Технический лист'!$K$8)+370+((O23*0.00314)*((O23+450)/1000))*'Технический лист'!$K$5)*1.65</f>
        <v>6788.7773136</v>
      </c>
      <c r="P33" s="9">
        <f>((((P22*0.00314)*((P22+545)/1000))*'Технический лист'!$K$8)+370+((P23*0.00314)*((P23+450)/1000))*'Технический лист'!$K$5)*1.65</f>
        <v>7073.74291782857</v>
      </c>
      <c r="Q33" s="9">
        <f>((((Q22*0.00314)*((Q22+545)/1000))*'Технический лист'!$K$8)+370+((Q23*0.00314)*((Q23+450)/1000))*'Технический лист'!$K$5)*1.65</f>
        <v>7363.811228399999</v>
      </c>
      <c r="R33" s="9">
        <f>((((R22*0.00314)*((R22+545)/1000))*'Технический лист'!$K$8)+370+((R23*0.00314)*((R23+450)/1000))*'Технический лист'!$K$5)*1.65</f>
        <v>7658.982245314283</v>
      </c>
      <c r="S33" s="9">
        <f>((((S22*0.00314)*((S22+545)/1000))*'Технический лист'!$K$8)+370+((S23*0.00314)*((S23+450)/1000))*'Технический лист'!$K$5)*1.65</f>
        <v>7959.255968571427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L35" sqref="L35:S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лист'!$G$9)+365+((B7*0.00314)*'Технический лист'!$G$11))*1.52</f>
        <v>1634.6619093333331</v>
      </c>
      <c r="C8" s="16">
        <f>(((C6*0.00314)*'Технический лист'!$G$9)+365+((C7*0.00314)*'Технический лист'!$G$11))*1.52</f>
        <v>1725.7682975999999</v>
      </c>
      <c r="D8" s="16">
        <f>(((D6*0.00314)*'Технический лист'!$G$9)+365+((D7*0.00314)*'Технический лист'!$G$11))*1.52</f>
        <v>1771.3214917333335</v>
      </c>
      <c r="E8" s="16">
        <f>(((E6*0.00314)*'Технический лист'!$G$9)+365+((E7*0.00314)*'Технический лист'!$G$11))*1.52</f>
        <v>1816.8746858666668</v>
      </c>
      <c r="F8" s="16">
        <f>(((F6*0.00314)*'Технический лист'!$G$9)+365+((F7*0.00314)*'Технический лист'!$G$11))*1.52</f>
        <v>1862.4278800000002</v>
      </c>
      <c r="G8" s="16">
        <f>(((G6*0.00314)*'Технический лист'!$G$9)+365+((G7*0.00314)*'Технический лист'!$G$11))*1.52</f>
        <v>1907.9810741333333</v>
      </c>
      <c r="H8" s="16">
        <f>(((H6*0.00314)*'Технический лист'!$G$9)+365+((H7*0.00314)*'Технический лист'!$G$11))*1.52</f>
        <v>1999.0874624</v>
      </c>
      <c r="I8" s="16">
        <f>(((I6*0.00314)*'Технический лист'!$G$9)+365+((I7*0.00314)*'Технический лист'!$G$11))*1.52</f>
        <v>2090.1938506666665</v>
      </c>
      <c r="J8" s="16">
        <f>(((J6*0.00314)*'Технический лист'!$G$9)+365+((J7*0.00314)*'Технический лист'!$G$11))*1.52</f>
        <v>2181.3002389333333</v>
      </c>
      <c r="K8" s="16">
        <f>(((K6*0.00314)*'Технический лист'!$G$9)+365+((K7*0.00314)*'Технический лист'!$G$11))*1.52</f>
        <v>2363.5130154666667</v>
      </c>
      <c r="L8" s="16">
        <f>(((L6*0.00314)*'Технический лист'!$G$9)+365+((L7*0.00314)*'Технический лист'!$G$11))*1.52</f>
        <v>2545.725792</v>
      </c>
      <c r="M8" s="16">
        <f>(((M6*0.00314)*'Технический лист'!$G$9)+365+((M7*0.00314)*'Технический лист'!$G$11))*1.52</f>
        <v>2727.938568533333</v>
      </c>
      <c r="N8" s="16">
        <f>(((N6*0.00314)*'Технический лист'!$G$9)+365+((N7*0.00314)*'Технический лист'!$G$11))*1.52</f>
        <v>3001.2577333333334</v>
      </c>
      <c r="O8" s="16">
        <f>(((O6*0.00314)*'Технический лист'!$G$9)+365+((O7*0.00314)*'Технический лист'!$G$11))*1.52</f>
        <v>3092.3641216</v>
      </c>
      <c r="P8" s="16">
        <f>(((P6*0.00314)*'Технический лист'!$G$9)+365+((P7*0.00314)*'Технический лист'!$G$11))*1.52</f>
        <v>3183.470509866667</v>
      </c>
      <c r="Q8" s="16">
        <f>(((Q6*0.00314)*'Технический лист'!$G$9)+365+((Q7*0.00314)*'Технический лист'!$G$11))*1.52</f>
        <v>3274.5768981333335</v>
      </c>
      <c r="R8" s="16">
        <f>(((R6*0.00314)*'Технический лист'!$G$9)+365+((R7*0.00314)*'Технический лист'!$G$11))*1.52</f>
        <v>3365.6832864</v>
      </c>
      <c r="S8" s="16">
        <f>(((S6*0.00314)*'Технический лист'!$G$9)+365+((S7*0.00314)*'Технический лист'!$G$11))*1.52</f>
        <v>3456.7896746666665</v>
      </c>
    </row>
    <row r="9" spans="1:19" ht="15">
      <c r="A9" s="4" t="s">
        <v>3</v>
      </c>
      <c r="B9" s="9">
        <f>((B8/2)*1.07)-10</f>
        <v>864.5441214933333</v>
      </c>
      <c r="C9" s="9">
        <f aca="true" t="shared" si="2" ref="C9:N9">((C8/2)*1.07)-10</f>
        <v>913.286039216</v>
      </c>
      <c r="D9" s="9">
        <f t="shared" si="2"/>
        <v>937.6569980773335</v>
      </c>
      <c r="E9" s="9">
        <f t="shared" si="2"/>
        <v>962.0279569386668</v>
      </c>
      <c r="F9" s="9">
        <f t="shared" si="2"/>
        <v>986.3989158000002</v>
      </c>
      <c r="G9" s="9">
        <f t="shared" si="2"/>
        <v>1010.7698746613333</v>
      </c>
      <c r="H9" s="9">
        <f t="shared" si="2"/>
        <v>1059.511792384</v>
      </c>
      <c r="I9" s="9">
        <f t="shared" si="2"/>
        <v>1108.2537101066666</v>
      </c>
      <c r="J9" s="9">
        <f t="shared" si="2"/>
        <v>1156.9956278293334</v>
      </c>
      <c r="K9" s="9">
        <f t="shared" si="2"/>
        <v>1254.4794632746668</v>
      </c>
      <c r="L9" s="9">
        <f t="shared" si="2"/>
        <v>1351.9632987200002</v>
      </c>
      <c r="M9" s="9">
        <f t="shared" si="2"/>
        <v>1449.4471341653334</v>
      </c>
      <c r="N9" s="9">
        <f t="shared" si="2"/>
        <v>1595.6728873333334</v>
      </c>
      <c r="O9" s="9">
        <f aca="true" t="shared" si="3" ref="O9:S9">((O8/2)*1.07)-10</f>
        <v>1644.4148050560002</v>
      </c>
      <c r="P9" s="9">
        <f t="shared" si="3"/>
        <v>1693.1567227786668</v>
      </c>
      <c r="Q9" s="9">
        <f t="shared" si="3"/>
        <v>1741.8986405013336</v>
      </c>
      <c r="R9" s="9">
        <f t="shared" si="3"/>
        <v>1790.640558224</v>
      </c>
      <c r="S9" s="9">
        <f t="shared" si="3"/>
        <v>1839.3824759466668</v>
      </c>
    </row>
    <row r="10" spans="1:19" ht="15">
      <c r="A10" s="4" t="s">
        <v>5</v>
      </c>
      <c r="B10" s="16">
        <f>((((B6*0.00314)*0.5)*'Технический лист'!$I$9)+310+(((B7*0.00314)*0.5)*'Технический лист'!$I$11))*1.58</f>
        <v>1403.2892186666666</v>
      </c>
      <c r="C10" s="16">
        <f>((((C6*0.00314)*0.5)*'Технический лист'!$I$9)+310+(((C7*0.00314)*0.5)*'Технический лист'!$I$11))*1.58</f>
        <v>1477.8031352</v>
      </c>
      <c r="D10" s="16">
        <f>((((D6*0.00314)*0.5)*'Технический лист'!$I$9)+310+(((D7*0.00314)*0.5)*'Технический лист'!$I$11))*1.58</f>
        <v>1515.0600934666666</v>
      </c>
      <c r="E10" s="16">
        <f>((((E6*0.00314)*0.5)*'Технический лист'!$I$9)+310+(((E7*0.00314)*0.5)*'Технический лист'!$I$11))*1.58</f>
        <v>1552.3170517333335</v>
      </c>
      <c r="F10" s="16">
        <f>((((F6*0.00314)*0.5)*'Технический лист'!$I$9)+310+(((F7*0.00314)*0.5)*'Технический лист'!$I$11))*1.58</f>
        <v>1589.5740100000003</v>
      </c>
      <c r="G10" s="16">
        <f>((((G6*0.00314)*0.5)*'Технический лист'!$I$9)+310+(((G7*0.00314)*0.5)*'Технический лист'!$I$11))*1.58</f>
        <v>1626.8309682666668</v>
      </c>
      <c r="H10" s="16">
        <f>((((H6*0.00314)*0.5)*'Технический лист'!$I$9)+310+(((H7*0.00314)*0.5)*'Технический лист'!$I$11))*1.58</f>
        <v>1701.3448847999998</v>
      </c>
      <c r="I10" s="16">
        <f>((((I6*0.00314)*0.5)*'Технический лист'!$I$9)+310+(((I7*0.00314)*0.5)*'Технический лист'!$I$11))*1.58</f>
        <v>1775.8588013333335</v>
      </c>
      <c r="J10" s="16">
        <f>((((J6*0.00314)*0.5)*'Технический лист'!$I$9)+310+(((J7*0.00314)*0.5)*'Технический лист'!$I$11))*1.58</f>
        <v>1850.3727178666666</v>
      </c>
      <c r="K10" s="16">
        <f>((((K6*0.00314)*0.5)*'Технический лист'!$I$9)+310+(((K7*0.00314)*0.5)*'Технический лист'!$I$11))*1.58</f>
        <v>1999.4005509333333</v>
      </c>
      <c r="L10" s="16">
        <f>((((L6*0.00314)*0.5)*'Технический лист'!$I$9)+310+(((L7*0.00314)*0.5)*'Технический лист'!$I$11))*1.58</f>
        <v>2148.428384</v>
      </c>
      <c r="M10" s="16">
        <f>((((M6*0.00314)*0.5)*'Технический лист'!$I$9)+310+(((M7*0.00314)*0.5)*'Технический лист'!$I$11))*1.58</f>
        <v>2297.456217066667</v>
      </c>
      <c r="N10" s="16">
        <f>((((N6*0.00314)*0.5)*'Технический лист'!$I$9)+310+(((N7*0.00314)*0.5)*'Технический лист'!$I$11))*1.58</f>
        <v>2520.997966666667</v>
      </c>
      <c r="O10" s="16">
        <f>((((O6*0.00314)*0.5)*'Технический лист'!$I$9)+310+(((O7*0.00314)*0.5)*'Технический лист'!$I$11))*1.58</f>
        <v>2595.5118832</v>
      </c>
      <c r="P10" s="16">
        <f>((((P6*0.00314)*0.5)*'Технический лист'!$I$9)+310+(((P7*0.00314)*0.5)*'Технический лист'!$I$11))*1.58</f>
        <v>2670.0257997333333</v>
      </c>
      <c r="Q10" s="16">
        <f>((((Q6*0.00314)*0.5)*'Технический лист'!$I$9)+310+(((Q7*0.00314)*0.5)*'Технический лист'!$I$11))*1.58</f>
        <v>2744.539716266667</v>
      </c>
      <c r="R10" s="16">
        <f>((((R6*0.00314)*0.5)*'Технический лист'!$I$9)+310+(((R7*0.00314)*0.5)*'Технический лист'!$I$11))*1.58</f>
        <v>2819.0536328</v>
      </c>
      <c r="S10" s="16">
        <f>((((S6*0.00314)*0.5)*'Технический лист'!$I$9)+310+(((S7*0.00314)*0.5)*'Технический лист'!$I$11))*1.58</f>
        <v>2893.567549333333</v>
      </c>
    </row>
    <row r="11" spans="1:19" ht="15">
      <c r="A11" s="4" t="s">
        <v>96</v>
      </c>
      <c r="B11" s="9">
        <f>((B10*2)/3)-6</f>
        <v>929.5261457777777</v>
      </c>
      <c r="C11" s="9">
        <f aca="true" t="shared" si="4" ref="C11:N11">((C10*2)/3)-6</f>
        <v>979.2020901333334</v>
      </c>
      <c r="D11" s="9">
        <f t="shared" si="4"/>
        <v>1004.040062311111</v>
      </c>
      <c r="E11" s="9">
        <f t="shared" si="4"/>
        <v>1028.878034488889</v>
      </c>
      <c r="F11" s="9">
        <f t="shared" si="4"/>
        <v>1053.7160066666668</v>
      </c>
      <c r="G11" s="9">
        <f t="shared" si="4"/>
        <v>1078.5539788444446</v>
      </c>
      <c r="H11" s="9">
        <f t="shared" si="4"/>
        <v>1128.2299231999998</v>
      </c>
      <c r="I11" s="9">
        <f t="shared" si="4"/>
        <v>1177.9058675555557</v>
      </c>
      <c r="J11" s="9">
        <f t="shared" si="4"/>
        <v>1227.5818119111111</v>
      </c>
      <c r="K11" s="9">
        <f t="shared" si="4"/>
        <v>1326.9337006222222</v>
      </c>
      <c r="L11" s="9">
        <f t="shared" si="4"/>
        <v>1426.2855893333333</v>
      </c>
      <c r="M11" s="9">
        <f t="shared" si="4"/>
        <v>1525.6374780444446</v>
      </c>
      <c r="N11" s="9">
        <f t="shared" si="4"/>
        <v>1674.6653111111111</v>
      </c>
      <c r="O11" s="9">
        <f aca="true" t="shared" si="5" ref="O11:S11">((O10*2)/3)-6</f>
        <v>1724.3412554666666</v>
      </c>
      <c r="P11" s="9">
        <f t="shared" si="5"/>
        <v>1774.0171998222222</v>
      </c>
      <c r="Q11" s="9">
        <f t="shared" si="5"/>
        <v>1823.6931441777779</v>
      </c>
      <c r="R11" s="9">
        <f t="shared" si="5"/>
        <v>1873.3690885333333</v>
      </c>
      <c r="S11" s="9">
        <f t="shared" si="5"/>
        <v>1923.0450328888885</v>
      </c>
    </row>
    <row r="12" spans="1:19" ht="15">
      <c r="A12" s="4" t="s">
        <v>6</v>
      </c>
      <c r="B12" s="16">
        <f>((((B6*0.00314)*0.22)*'Технический лист'!$M$9)+100+(((B7*0.00314)*0.21)*'Технический лист'!$O$11)+(((B6+30)*(B6+30)/1000000)*'Технический лист'!$E$20))*1.58</f>
        <v>779.3757260799999</v>
      </c>
      <c r="C12" s="16">
        <f>((((C6*0.00314)*0.22)*'Технический лист'!$M$9)+100+(((C7*0.00314)*0.21)*'Технический лист'!$O$11)+(((C6+30)*(C6+30)/1000000)*'Технический лист'!$E$20))*1.58</f>
        <v>836.6583884480001</v>
      </c>
      <c r="D12" s="16">
        <f>((((D6*0.00314)*0.22)*'Технический лист'!$M$9)+100+(((D7*0.00314)*0.21)*'Технический лист'!$O$11)+(((D6+30)*(D6+30)/1000000)*'Технический лист'!$E$20))*1.58</f>
        <v>865.7737196320002</v>
      </c>
      <c r="E12" s="16">
        <f>((((E6*0.00314)*0.22)*'Технический лист'!$M$9)+100+(((E7*0.00314)*0.21)*'Технический лист'!$O$11)+(((E6+30)*(E6+30)/1000000)*'Технический лист'!$E$20))*1.58</f>
        <v>895.205050816</v>
      </c>
      <c r="F12" s="16">
        <f>((((F6*0.00314)*0.22)*'Технический лист'!$M$9)+100+(((F7*0.00314)*0.21)*'Технический лист'!$O$11)+(((F6+30)*(F6+30)/1000000)*'Технический лист'!$E$20))*1.58</f>
        <v>924.9523820000001</v>
      </c>
      <c r="G12" s="16">
        <f>((((G6*0.00314)*0.22)*'Технический лист'!$M$9)+100+(((G7*0.00314)*0.21)*'Технический лист'!$O$11)+(((G6+30)*(G6+30)/1000000)*'Технический лист'!$E$20))*1.58</f>
        <v>955.015713184</v>
      </c>
      <c r="H12" s="16">
        <f>((((H6*0.00314)*0.22)*'Технический лист'!$M$9)+100+(((H7*0.00314)*0.21)*'Технический лист'!$O$11)+(((H6+30)*(H6+30)/1000000)*'Технический лист'!$E$20))*1.58</f>
        <v>1016.0903755520001</v>
      </c>
      <c r="I12" s="16">
        <f>((((I6*0.00314)*0.22)*'Технический лист'!$M$9)+100+(((I7*0.00314)*0.21)*'Технический лист'!$O$11)+(((I6+30)*(I6+30)/1000000)*'Технический лист'!$E$20))*1.58</f>
        <v>1078.4290379200002</v>
      </c>
      <c r="J12" s="16">
        <f>((((J6*0.00314)*0.22)*'Технический лист'!$M$9)+100+(((J7*0.00314)*0.21)*'Технический лист'!$O$11)+(((J6+30)*(J6+30)/1000000)*'Технический лист'!$E$20))*1.58</f>
        <v>1142.031700288</v>
      </c>
      <c r="K12" s="16">
        <f>((((K6*0.00314)*0.22)*'Технический лист'!$M$9)+100+(((K7*0.00314)*0.21)*'Технический лист'!$O$11)+(((K6+30)*(K6+30)/1000000)*'Технический лист'!$E$20))*1.58</f>
        <v>1273.029025024</v>
      </c>
      <c r="L12" s="16">
        <f>((((L6*0.00314)*0.22)*'Технический лист'!$M$9)+100+(((L7*0.00314)*0.21)*'Технический лист'!$O$11)+(((L6+30)*(L6+30)/1000000)*'Технический лист'!$E$20))*1.58</f>
        <v>1409.08234976</v>
      </c>
      <c r="M12" s="16">
        <f>((((M6*0.00314)*0.22)*'Технический лист'!$M$9)+100+(((M7*0.00314)*0.21)*'Технический лист'!$O$11)+(((M6+30)*(M6+30)/1000000)*'Технический лист'!$E$20))*1.58</f>
        <v>1550.1916744960001</v>
      </c>
      <c r="N12" s="16">
        <f>((((N6*0.00314)*0.22)*'Технический лист'!$M$9)+100+(((N7*0.00314)*0.21)*'Технический лист'!$O$11)+(((N6+30)*(N6+30)/1000000)*'Технический лист'!$E$20))*1.58</f>
        <v>1771.3356616</v>
      </c>
      <c r="O12" s="16">
        <f>((((O6*0.00314)*0.22)*'Технический лист'!$M$9)+100+(((O7*0.00314)*0.21)*'Технический лист'!$O$11)+(((O6+30)*(O6+30)/1000000)*'Технический лист'!$E$20))*1.58</f>
        <v>1847.578323968</v>
      </c>
      <c r="P12" s="16">
        <f>((((P6*0.00314)*0.22)*'Технический лист'!$M$9)+100+(((P7*0.00314)*0.21)*'Технический лист'!$O$11)+(((P6+30)*(P6+30)/1000000)*'Технический лист'!$E$20))*1.58</f>
        <v>1925.084986336</v>
      </c>
      <c r="Q12" s="16">
        <f>((((Q6*0.00314)*0.22)*'Технический лист'!$M$9)+100+(((Q7*0.00314)*0.21)*'Технический лист'!$O$11)+(((Q6+30)*(Q6+30)/1000000)*'Технический лист'!$E$20))*1.58</f>
        <v>2003.855648704</v>
      </c>
      <c r="R12" s="16">
        <f>((((R6*0.00314)*0.22)*'Технический лист'!$M$9)+100+(((R7*0.00314)*0.21)*'Технический лист'!$O$11)+(((R6+30)*(R6+30)/1000000)*'Технический лист'!$E$20))*1.58</f>
        <v>2083.8903110720003</v>
      </c>
      <c r="S12" s="16">
        <f>((((S6*0.00314)*0.22)*'Технический лист'!$M$9)+100+(((S7*0.00314)*0.21)*'Технический лист'!$O$11)+(((S6+30)*(S6+30)/1000000)*'Технический лист'!$E$20))*1.58</f>
        <v>2165.1889734399997</v>
      </c>
    </row>
    <row r="13" spans="1:19" ht="15">
      <c r="A13" s="4" t="s">
        <v>7</v>
      </c>
      <c r="B13" s="9">
        <f>(B12*2.2)+24</f>
        <v>1738.626597376</v>
      </c>
      <c r="C13" s="9">
        <f aca="true" t="shared" si="6" ref="C13:N13">(C12*2.2)+24</f>
        <v>1864.6484545856003</v>
      </c>
      <c r="D13" s="9">
        <f t="shared" si="6"/>
        <v>1928.7021831904005</v>
      </c>
      <c r="E13" s="9">
        <f t="shared" si="6"/>
        <v>1993.4511117952002</v>
      </c>
      <c r="F13" s="9">
        <f t="shared" si="6"/>
        <v>2058.8952404</v>
      </c>
      <c r="G13" s="9">
        <f t="shared" si="6"/>
        <v>2125.0345690048002</v>
      </c>
      <c r="H13" s="9">
        <f t="shared" si="6"/>
        <v>2259.3988262144003</v>
      </c>
      <c r="I13" s="9">
        <f t="shared" si="6"/>
        <v>2396.5438834240003</v>
      </c>
      <c r="J13" s="9">
        <f t="shared" si="6"/>
        <v>2536.4697406336</v>
      </c>
      <c r="K13" s="9">
        <f t="shared" si="6"/>
        <v>2824.6638550528</v>
      </c>
      <c r="L13" s="9">
        <f t="shared" si="6"/>
        <v>3123.981169472</v>
      </c>
      <c r="M13" s="9">
        <f t="shared" si="6"/>
        <v>3434.4216838912007</v>
      </c>
      <c r="N13" s="9">
        <f t="shared" si="6"/>
        <v>3920.9384555200004</v>
      </c>
      <c r="O13" s="9">
        <f aca="true" t="shared" si="7" ref="O13:S13">(O12*2.2)+24</f>
        <v>4088.6723127296004</v>
      </c>
      <c r="P13" s="9">
        <f t="shared" si="7"/>
        <v>4259.1869699392</v>
      </c>
      <c r="Q13" s="9">
        <f t="shared" si="7"/>
        <v>4432.4824271488005</v>
      </c>
      <c r="R13" s="9">
        <f t="shared" si="7"/>
        <v>4608.558684358401</v>
      </c>
      <c r="S13" s="9">
        <f t="shared" si="7"/>
        <v>4787.415741568</v>
      </c>
    </row>
    <row r="14" spans="1:19" ht="15">
      <c r="A14" s="4" t="s">
        <v>8</v>
      </c>
      <c r="B14" s="16">
        <f>((((B6*0.00314)*0.2)*'Технический лист'!$M$9)+50+(((B7*0.00314)*0.22)*'Технический лист'!$O$11))*1.58</f>
        <v>577.9247317333335</v>
      </c>
      <c r="C14" s="16">
        <f>((((C6*0.00314)*0.2)*'Технический лист'!$M$9)+50+(((C7*0.00314)*0.22)*'Технический лист'!$O$11))*1.58</f>
        <v>616.04394656</v>
      </c>
      <c r="D14" s="16">
        <f>((((D6*0.00314)*0.2)*'Технический лист'!$M$9)+50+(((D7*0.00314)*0.22)*'Технический лист'!$O$11))*1.58</f>
        <v>635.1035539733333</v>
      </c>
      <c r="E14" s="16">
        <f>((((E6*0.00314)*0.2)*'Технический лист'!$M$9)+50+(((E7*0.00314)*0.22)*'Технический лист'!$O$11))*1.58</f>
        <v>654.1631613866667</v>
      </c>
      <c r="F14" s="16">
        <f>((((F6*0.00314)*0.2)*'Технический лист'!$M$9)+50+(((F7*0.00314)*0.22)*'Технический лист'!$O$11))*1.58</f>
        <v>673.2227688000002</v>
      </c>
      <c r="G14" s="16">
        <f>((((G6*0.00314)*0.2)*'Технический лист'!$M$9)+50+(((G7*0.00314)*0.22)*'Технический лист'!$O$11))*1.58</f>
        <v>692.2823762133334</v>
      </c>
      <c r="H14" s="16">
        <f>((((H6*0.00314)*0.2)*'Технический лист'!$M$9)+50+(((H7*0.00314)*0.22)*'Технический лист'!$O$11))*1.58</f>
        <v>730.4015910400001</v>
      </c>
      <c r="I14" s="16">
        <f>((((I6*0.00314)*0.2)*'Технический лист'!$M$9)+50+(((I7*0.00314)*0.22)*'Технический лист'!$O$11))*1.58</f>
        <v>768.5208058666667</v>
      </c>
      <c r="J14" s="16">
        <f>((((J6*0.00314)*0.2)*'Технический лист'!$M$9)+50+(((J7*0.00314)*0.22)*'Технический лист'!$O$11))*1.58</f>
        <v>806.6400206933333</v>
      </c>
      <c r="K14" s="16">
        <f>((((K6*0.00314)*0.2)*'Технический лист'!$M$9)+50+(((K7*0.00314)*0.22)*'Технический лист'!$O$11))*1.58</f>
        <v>882.8784503466668</v>
      </c>
      <c r="L14" s="16">
        <f>((((L6*0.00314)*0.2)*'Технический лист'!$M$9)+50+(((L7*0.00314)*0.22)*'Технический лист'!$O$11))*1.58</f>
        <v>959.1168800000002</v>
      </c>
      <c r="M14" s="16">
        <f>((((M6*0.00314)*0.2)*'Технический лист'!$M$9)+50+(((M7*0.00314)*0.22)*'Технический лист'!$O$11))*1.58</f>
        <v>1035.3553096533333</v>
      </c>
      <c r="N14" s="16">
        <f>((((N6*0.00314)*0.2)*'Технический лист'!$M$9)+50+(((N7*0.00314)*0.22)*'Технический лист'!$O$11))*1.58</f>
        <v>1149.7129541333334</v>
      </c>
      <c r="O14" s="16">
        <f>((((O6*0.00314)*0.2)*'Технический лист'!$M$9)+50+(((O7*0.00314)*0.22)*'Технический лист'!$O$11))*1.58</f>
        <v>1187.83216896</v>
      </c>
      <c r="P14" s="16">
        <f>((((P6*0.00314)*0.2)*'Технический лист'!$M$9)+50+(((P7*0.00314)*0.22)*'Технический лист'!$O$11))*1.58</f>
        <v>1225.9513837866666</v>
      </c>
      <c r="Q14" s="16">
        <f>((((Q6*0.00314)*0.2)*'Технический лист'!$M$9)+50+(((Q7*0.00314)*0.22)*'Технический лист'!$O$11))*1.58</f>
        <v>1264.0705986133332</v>
      </c>
      <c r="R14" s="16">
        <f>((((R6*0.00314)*0.2)*'Технический лист'!$M$9)+50+(((R7*0.00314)*0.22)*'Технический лист'!$O$11))*1.58</f>
        <v>1302.18981344</v>
      </c>
      <c r="S14" s="16">
        <f>((((S6*0.00314)*0.2)*'Технический лист'!$M$9)+50+(((S7*0.00314)*0.22)*'Технический лист'!$O$11))*1.58</f>
        <v>1340.3090282666667</v>
      </c>
    </row>
    <row r="15" spans="1:19" ht="15">
      <c r="A15" s="4" t="s">
        <v>99</v>
      </c>
      <c r="B15" s="16">
        <v>2812</v>
      </c>
      <c r="C15" s="16">
        <v>2993</v>
      </c>
      <c r="D15" s="16">
        <v>3090</v>
      </c>
      <c r="E15" s="16">
        <v>3180</v>
      </c>
      <c r="F15" s="16">
        <v>3285</v>
      </c>
      <c r="G15" s="16">
        <v>3383</v>
      </c>
      <c r="H15" s="16">
        <v>3585</v>
      </c>
      <c r="I15" s="16">
        <v>3787</v>
      </c>
      <c r="J15" s="16">
        <v>3997</v>
      </c>
      <c r="K15" s="16">
        <v>4433</v>
      </c>
      <c r="L15" s="16">
        <v>4890</v>
      </c>
      <c r="M15" s="16">
        <v>5362</v>
      </c>
      <c r="N15" s="16">
        <v>6105</v>
      </c>
      <c r="O15" s="16">
        <v>6367</v>
      </c>
      <c r="P15" s="16">
        <v>6630</v>
      </c>
      <c r="Q15" s="16">
        <v>6892</v>
      </c>
      <c r="R15" s="16">
        <v>7170</v>
      </c>
      <c r="S15" s="16">
        <v>7447</v>
      </c>
    </row>
    <row r="16" spans="1:19" ht="15">
      <c r="A16" s="4" t="s">
        <v>102</v>
      </c>
      <c r="B16" s="16">
        <v>2812</v>
      </c>
      <c r="C16" s="16">
        <v>2993</v>
      </c>
      <c r="D16" s="16">
        <v>3090</v>
      </c>
      <c r="E16" s="16">
        <v>3180</v>
      </c>
      <c r="F16" s="16">
        <v>3285</v>
      </c>
      <c r="G16" s="16">
        <v>3383</v>
      </c>
      <c r="H16" s="16">
        <v>3585</v>
      </c>
      <c r="I16" s="16">
        <v>3787</v>
      </c>
      <c r="J16" s="16">
        <v>3997</v>
      </c>
      <c r="K16" s="16">
        <v>4433</v>
      </c>
      <c r="L16" s="16">
        <v>4890</v>
      </c>
      <c r="M16" s="16">
        <v>5362</v>
      </c>
      <c r="N16" s="16">
        <v>6105</v>
      </c>
      <c r="O16" s="16">
        <v>6367</v>
      </c>
      <c r="P16" s="16">
        <v>6630</v>
      </c>
      <c r="Q16" s="16">
        <v>6892</v>
      </c>
      <c r="R16" s="16">
        <v>7170</v>
      </c>
      <c r="S16" s="16">
        <v>7447</v>
      </c>
    </row>
    <row r="17" spans="1:19" ht="15">
      <c r="A17" s="4" t="s">
        <v>9</v>
      </c>
      <c r="B17" s="9">
        <f>((((B6*0.00314)*((B6+545)/1000))*'Технический лист'!$K$9)+370+((B7*0.00314)*((B7+450)/1000))*'Технический лист'!$K$11)*1.65</f>
        <v>1871.3588673999998</v>
      </c>
      <c r="C17" s="9">
        <f>((((C6*0.00314)*((C6+545)/1000))*'Технический лист'!$K$9)+370+((C7*0.00314)*((C7+450)/1000))*'Технический лист'!$K$11)*1.65</f>
        <v>1995.6810726599997</v>
      </c>
      <c r="D17" s="9">
        <f>((((D6*0.00314)*((D6+545)/1000))*'Технический лист'!$K$9)+370+((D7*0.00314)*((D7+450)/1000))*'Технический лист'!$K$11)*1.65</f>
        <v>2059.0404887799996</v>
      </c>
      <c r="E17" s="9">
        <f>((((E6*0.00314)*((E6+545)/1000))*'Технический лист'!$K$9)+370+((E7*0.00314)*((E7+450)/1000))*'Технический лист'!$K$11)*1.65</f>
        <v>2123.1987805599997</v>
      </c>
      <c r="F17" s="9">
        <f>((((F6*0.00314)*((F6+545)/1000))*'Технический лист'!$K$9)+370+((F7*0.00314)*((F7+450)/1000))*'Технический лист'!$K$11)*1.65</f>
        <v>2188.1559479999996</v>
      </c>
      <c r="G17" s="9">
        <f>((((G6*0.00314)*((G6+545)/1000))*'Технический лист'!$K$9)+370+((G7*0.00314)*((G7+450)/1000))*'Технический лист'!$K$11)*1.65</f>
        <v>2253.9119911</v>
      </c>
      <c r="H17" s="9">
        <f>((((H6*0.00314)*((H6+545)/1000))*'Технический лист'!$K$9)+370+((H7*0.00314)*((H7+450)/1000))*'Технический лист'!$K$11)*1.65</f>
        <v>2387.82070428</v>
      </c>
      <c r="I17" s="9">
        <f>((((I6*0.00314)*((I6+545)/1000))*'Технический лист'!$K$9)+370+((I7*0.00314)*((I7+450)/1000))*'Технический лист'!$K$11)*1.65</f>
        <v>2524.9249200999993</v>
      </c>
      <c r="J17" s="9">
        <f>((((J6*0.00314)*((J6+545)/1000))*'Технический лист'!$K$9)+370+((J7*0.00314)*((J7+450)/1000))*'Технический лист'!$K$11)*1.65</f>
        <v>2665.22463856</v>
      </c>
      <c r="K17" s="9">
        <f>((((K6*0.00314)*((K6+545)/1000))*'Технический лист'!$K$9)+370+((K7*0.00314)*((K7+450)/1000))*'Технический лист'!$K$11)*1.65</f>
        <v>2955.4105833999997</v>
      </c>
      <c r="L17" s="9">
        <f>((((L6*0.00314)*((L6+545)/1000))*'Технический лист'!$K$9)+370+((L7*0.00314)*((L7+450)/1000))*'Технический лист'!$K$11)*1.65</f>
        <v>3258.378538799999</v>
      </c>
      <c r="M17" s="9">
        <f>((((M6*0.00314)*((M6+545)/1000))*'Технический лист'!$K$9)+370+((M7*0.00314)*((M7+450)/1000))*'Технический лист'!$K$11)*1.65</f>
        <v>3574.1285047599995</v>
      </c>
      <c r="N17" s="9">
        <f>((((N6*0.00314)*((N6+545)/1000))*'Технический лист'!$K$9)+370+((N7*0.00314)*((N7+450)/1000))*'Технический лист'!$K$11)*1.65</f>
        <v>4071.7197235000003</v>
      </c>
      <c r="O17" s="9">
        <f>((((O6*0.00314)*((O6+545)/1000))*'Технический лист'!$K$9)+370+((O7*0.00314)*((O7+450)/1000))*'Технический лист'!$K$11)*1.65</f>
        <v>4243.97446836</v>
      </c>
      <c r="P17" s="9">
        <f>((((P6*0.00314)*((P6+545)/1000))*'Технический лист'!$K$9)+370+((P7*0.00314)*((P7+450)/1000))*'Технический лист'!$K$11)*1.65</f>
        <v>4419.424715859999</v>
      </c>
      <c r="Q17" s="9">
        <f>((((Q6*0.00314)*((Q6+545)/1000))*'Технический лист'!$K$9)+370+((Q7*0.00314)*((Q7+450)/1000))*'Технический лист'!$K$11)*1.65</f>
        <v>4598.070465999999</v>
      </c>
      <c r="R17" s="9">
        <f>((((R6*0.00314)*((R6+545)/1000))*'Технический лист'!$K$9)+370+((R7*0.00314)*((R7+450)/1000))*'Технический лист'!$K$11)*1.65</f>
        <v>4779.911718779999</v>
      </c>
      <c r="S17" s="9">
        <f>((((S6*0.00314)*((S6+545)/1000))*'Технический лист'!$K$9)+370+((S7*0.00314)*((S7+450)/1000))*'Технический лист'!$K$11)*1.65</f>
        <v>4964.948474199999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62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8" ref="C23:N23">C22+100</f>
        <v>210</v>
      </c>
      <c r="D23" s="10">
        <f t="shared" si="8"/>
        <v>215</v>
      </c>
      <c r="E23" s="10">
        <f t="shared" si="8"/>
        <v>220</v>
      </c>
      <c r="F23" s="10">
        <f t="shared" si="8"/>
        <v>225</v>
      </c>
      <c r="G23" s="10">
        <f t="shared" si="8"/>
        <v>230</v>
      </c>
      <c r="H23" s="10">
        <f t="shared" si="8"/>
        <v>240</v>
      </c>
      <c r="I23" s="10">
        <f t="shared" si="8"/>
        <v>250</v>
      </c>
      <c r="J23" s="10">
        <f t="shared" si="8"/>
        <v>260</v>
      </c>
      <c r="K23" s="10">
        <f t="shared" si="8"/>
        <v>280</v>
      </c>
      <c r="L23" s="10">
        <f t="shared" si="8"/>
        <v>300</v>
      </c>
      <c r="M23" s="10">
        <f t="shared" si="8"/>
        <v>320</v>
      </c>
      <c r="N23" s="10">
        <f t="shared" si="8"/>
        <v>350</v>
      </c>
      <c r="O23" s="10">
        <f aca="true" t="shared" si="9" ref="O23:S23">O22+100</f>
        <v>360</v>
      </c>
      <c r="P23" s="10">
        <f t="shared" si="9"/>
        <v>370</v>
      </c>
      <c r="Q23" s="10">
        <f t="shared" si="9"/>
        <v>380</v>
      </c>
      <c r="R23" s="10">
        <f t="shared" si="9"/>
        <v>390</v>
      </c>
      <c r="S23" s="10">
        <f t="shared" si="9"/>
        <v>400</v>
      </c>
    </row>
    <row r="24" spans="1:19" ht="15">
      <c r="A24" s="4" t="s">
        <v>4</v>
      </c>
      <c r="B24" s="16">
        <f>(((B22*0.00314)*'Технический лист'!$G$9)+365+((B23*0.00314)*'Технический лист'!$G$5))*1.52</f>
        <v>2381.446016</v>
      </c>
      <c r="C24" s="16">
        <f>(((C22*0.00314)*'Технический лист'!$G$9)+365+((C23*0.00314)*'Технический лист'!$G$5))*1.52</f>
        <v>2509.8916096</v>
      </c>
      <c r="D24" s="16">
        <f>(((D22*0.00314)*'Технический лист'!$G$9)+365+((D23*0.00314)*'Технический лист'!$G$5))*1.52</f>
        <v>2574.1144064000005</v>
      </c>
      <c r="E24" s="16">
        <f>(((E22*0.00314)*'Технический лист'!$G$9)+365+((E23*0.00314)*'Технический лист'!$G$5))*1.52</f>
        <v>2638.3372032</v>
      </c>
      <c r="F24" s="16">
        <f>(((F22*0.00314)*'Технический лист'!$G$9)+365+((F23*0.00314)*'Технический лист'!$G$5))*1.52</f>
        <v>2702.56</v>
      </c>
      <c r="G24" s="16">
        <f>(((G22*0.00314)*'Технический лист'!$G$9)+365+((G23*0.00314)*'Технический лист'!$G$5))*1.52</f>
        <v>2766.7827967999997</v>
      </c>
      <c r="H24" s="16">
        <f>(((H22*0.00314)*'Технический лист'!$G$9)+365+((H23*0.00314)*'Технический лист'!$G$5))*1.52</f>
        <v>2895.2283904</v>
      </c>
      <c r="I24" s="16">
        <f>(((I22*0.00314)*'Технический лист'!$G$9)+365+((I23*0.00314)*'Технический лист'!$G$5))*1.52</f>
        <v>3023.673984</v>
      </c>
      <c r="J24" s="16">
        <f>(((J22*0.00314)*'Технический лист'!$G$9)+365+((J23*0.00314)*'Технический лист'!$G$5))*1.52</f>
        <v>3152.1195776000004</v>
      </c>
      <c r="K24" s="16">
        <f>(((K22*0.00314)*'Технический лист'!$G$9)+365+((K23*0.00314)*'Технический лист'!$G$5))*1.52</f>
        <v>3409.0107648000003</v>
      </c>
      <c r="L24" s="16">
        <f>(((L22*0.00314)*'Технический лист'!$G$9)+365+((L23*0.00314)*'Технический лист'!$G$5))*1.52</f>
        <v>3665.9019519999997</v>
      </c>
      <c r="M24" s="16">
        <f>(((M22*0.00314)*'Технический лист'!$G$9)+365+((M23*0.00314)*'Технический лист'!$G$5))*1.52</f>
        <v>3922.7931392</v>
      </c>
      <c r="N24" s="16">
        <f>(((N22*0.00314)*'Технический лист'!$G$9)+365+((N23*0.00314)*'Технический лист'!$G$5))*1.52</f>
        <v>4308.12992</v>
      </c>
      <c r="O24" s="16">
        <f>(((O22*0.00314)*'Технический лист'!$G$9)+365+((O23*0.00314)*'Технический лист'!$G$5))*1.52</f>
        <v>4436.5755136</v>
      </c>
      <c r="P24" s="16">
        <f>(((P22*0.00314)*'Технический лист'!$G$9)+365+((P23*0.00314)*'Технический лист'!$G$5))*1.52</f>
        <v>4565.0211072</v>
      </c>
      <c r="Q24" s="16">
        <f>(((Q22*0.00314)*'Технический лист'!$G$9)+365+((Q23*0.00314)*'Технический лист'!$G$5))*1.52</f>
        <v>4693.466700800001</v>
      </c>
      <c r="R24" s="16">
        <f>(((R22*0.00314)*'Технический лист'!$G$9)+365+((R23*0.00314)*'Технический лист'!$G$5))*1.52</f>
        <v>4821.912294399999</v>
      </c>
      <c r="S24" s="16">
        <f>(((S22*0.00314)*'Технический лист'!$G$9)+365+((S23*0.00314)*'Технический лист'!$G$5))*1.52</f>
        <v>4950.3578880000005</v>
      </c>
    </row>
    <row r="25" spans="1:19" ht="15">
      <c r="A25" s="4" t="s">
        <v>3</v>
      </c>
      <c r="B25" s="9">
        <f>((B24/2)*1.07)-10</f>
        <v>1264.07361856</v>
      </c>
      <c r="C25" s="9">
        <f aca="true" t="shared" si="10" ref="C25:N25">((C24/2)*1.07)-10</f>
        <v>1332.792011136</v>
      </c>
      <c r="D25" s="9">
        <f t="shared" si="10"/>
        <v>1367.1512074240004</v>
      </c>
      <c r="E25" s="9">
        <f t="shared" si="10"/>
        <v>1401.5104037120002</v>
      </c>
      <c r="F25" s="9">
        <f t="shared" si="10"/>
        <v>1435.8696</v>
      </c>
      <c r="G25" s="9">
        <f t="shared" si="10"/>
        <v>1470.228796288</v>
      </c>
      <c r="H25" s="9">
        <f t="shared" si="10"/>
        <v>1538.947188864</v>
      </c>
      <c r="I25" s="9">
        <f t="shared" si="10"/>
        <v>1607.66558144</v>
      </c>
      <c r="J25" s="9">
        <f t="shared" si="10"/>
        <v>1676.3839740160004</v>
      </c>
      <c r="K25" s="9">
        <f t="shared" si="10"/>
        <v>1813.8207591680002</v>
      </c>
      <c r="L25" s="9">
        <f t="shared" si="10"/>
        <v>1951.2575443199999</v>
      </c>
      <c r="M25" s="9">
        <f t="shared" si="10"/>
        <v>2088.694329472</v>
      </c>
      <c r="N25" s="9">
        <f t="shared" si="10"/>
        <v>2294.8495072000005</v>
      </c>
      <c r="O25" s="9">
        <f aca="true" t="shared" si="11" ref="O25:S25">((O24/2)*1.07)-10</f>
        <v>2363.567899776</v>
      </c>
      <c r="P25" s="9">
        <f t="shared" si="11"/>
        <v>2432.286292352</v>
      </c>
      <c r="Q25" s="9">
        <f t="shared" si="11"/>
        <v>2501.0046849280006</v>
      </c>
      <c r="R25" s="9">
        <f t="shared" si="11"/>
        <v>2569.723077504</v>
      </c>
      <c r="S25" s="9">
        <f t="shared" si="11"/>
        <v>2638.4414700800003</v>
      </c>
    </row>
    <row r="26" spans="1:19" ht="15">
      <c r="A26" s="4" t="s">
        <v>5</v>
      </c>
      <c r="B26" s="16">
        <f>((((B22*0.00314)*0.5)*'Технический лист'!$I$9)+310+(((B23*0.00314)*0.5)*'Технический лист'!$I$5))*1.58</f>
        <v>1952.6594320000002</v>
      </c>
      <c r="C26" s="16">
        <f>((((C22*0.00314)*0.5)*'Технический лист'!$I$9)+310+(((C23*0.00314)*0.5)*'Технический лист'!$I$5))*1.58</f>
        <v>2054.6418592</v>
      </c>
      <c r="D26" s="16">
        <f>((((D22*0.00314)*0.5)*'Технический лист'!$I$9)+310+(((D23*0.00314)*0.5)*'Технический лист'!$I$5))*1.58</f>
        <v>2105.6330728000003</v>
      </c>
      <c r="E26" s="16">
        <f>((((E22*0.00314)*0.5)*'Технический лист'!$I$9)+310+(((E23*0.00314)*0.5)*'Технический лист'!$I$5))*1.58</f>
        <v>2156.6242864</v>
      </c>
      <c r="F26" s="16">
        <f>((((F22*0.00314)*0.5)*'Технический лист'!$I$9)+310+(((F23*0.00314)*0.5)*'Технический лист'!$I$5))*1.58</f>
        <v>2207.6155</v>
      </c>
      <c r="G26" s="16">
        <f>((((G22*0.00314)*0.5)*'Технический лист'!$I$9)+310+(((G23*0.00314)*0.5)*'Технический лист'!$I$5))*1.58</f>
        <v>2258.6067135999997</v>
      </c>
      <c r="H26" s="16">
        <f>((((H22*0.00314)*0.5)*'Технический лист'!$I$9)+310+(((H23*0.00314)*0.5)*'Технический лист'!$I$5))*1.58</f>
        <v>2360.5891408</v>
      </c>
      <c r="I26" s="16">
        <f>((((I22*0.00314)*0.5)*'Технический лист'!$I$9)+310+(((I23*0.00314)*0.5)*'Технический лист'!$I$5))*1.58</f>
        <v>2462.571568</v>
      </c>
      <c r="J26" s="16">
        <f>((((J22*0.00314)*0.5)*'Технический лист'!$I$9)+310+(((J23*0.00314)*0.5)*'Технический лист'!$I$5))*1.58</f>
        <v>2564.5539952</v>
      </c>
      <c r="K26" s="16">
        <f>((((K22*0.00314)*0.5)*'Технический лист'!$I$9)+310+(((K23*0.00314)*0.5)*'Технический лист'!$I$5))*1.58</f>
        <v>2768.5188496</v>
      </c>
      <c r="L26" s="16">
        <f>((((L22*0.00314)*0.5)*'Технический лист'!$I$9)+310+(((L23*0.00314)*0.5)*'Технический лист'!$I$5))*1.58</f>
        <v>2972.4837039999998</v>
      </c>
      <c r="M26" s="16">
        <f>((((M22*0.00314)*0.5)*'Технический лист'!$I$9)+310+(((M23*0.00314)*0.5)*'Технический лист'!$I$5))*1.58</f>
        <v>3176.4485584000004</v>
      </c>
      <c r="N26" s="16">
        <f>((((N22*0.00314)*0.5)*'Технический лист'!$I$9)+310+(((N23*0.00314)*0.5)*'Технический лист'!$I$5))*1.58</f>
        <v>3482.3958399999997</v>
      </c>
      <c r="O26" s="16">
        <f>((((O22*0.00314)*0.5)*'Технический лист'!$I$9)+310+(((O23*0.00314)*0.5)*'Технический лист'!$I$5))*1.58</f>
        <v>3584.3782672</v>
      </c>
      <c r="P26" s="16">
        <f>((((P22*0.00314)*0.5)*'Технический лист'!$I$9)+310+(((P23*0.00314)*0.5)*'Технический лист'!$I$5))*1.58</f>
        <v>3686.3606944</v>
      </c>
      <c r="Q26" s="16">
        <f>((((Q22*0.00314)*0.5)*'Технический лист'!$I$9)+310+(((Q23*0.00314)*0.5)*'Технический лист'!$I$5))*1.58</f>
        <v>3788.3431216000004</v>
      </c>
      <c r="R26" s="16">
        <f>((((R22*0.00314)*0.5)*'Технический лист'!$I$9)+310+(((R23*0.00314)*0.5)*'Технический лист'!$I$5))*1.58</f>
        <v>3890.3255488</v>
      </c>
      <c r="S26" s="16">
        <f>((((S22*0.00314)*0.5)*'Технический лист'!$I$9)+310+(((S23*0.00314)*0.5)*'Технический лист'!$I$5))*1.58</f>
        <v>3992.3079759999996</v>
      </c>
    </row>
    <row r="27" spans="1:19" ht="15">
      <c r="A27" s="4" t="s">
        <v>96</v>
      </c>
      <c r="B27" s="9">
        <f>((B26*2)/3)-6</f>
        <v>1295.7729546666667</v>
      </c>
      <c r="C27" s="9">
        <f aca="true" t="shared" si="12" ref="C27:N27">((C26*2)/3)-6</f>
        <v>1363.7612394666667</v>
      </c>
      <c r="D27" s="9">
        <f t="shared" si="12"/>
        <v>1397.7553818666668</v>
      </c>
      <c r="E27" s="9">
        <f t="shared" si="12"/>
        <v>1431.7495242666666</v>
      </c>
      <c r="F27" s="9">
        <f t="shared" si="12"/>
        <v>1465.7436666666665</v>
      </c>
      <c r="G27" s="9">
        <f t="shared" si="12"/>
        <v>1499.7378090666664</v>
      </c>
      <c r="H27" s="9">
        <f t="shared" si="12"/>
        <v>1567.7260938666668</v>
      </c>
      <c r="I27" s="9">
        <f t="shared" si="12"/>
        <v>1635.7143786666666</v>
      </c>
      <c r="J27" s="9">
        <f t="shared" si="12"/>
        <v>1703.7026634666665</v>
      </c>
      <c r="K27" s="9">
        <f t="shared" si="12"/>
        <v>1839.6792330666667</v>
      </c>
      <c r="L27" s="9">
        <f t="shared" si="12"/>
        <v>1975.6558026666664</v>
      </c>
      <c r="M27" s="9">
        <f t="shared" si="12"/>
        <v>2111.632372266667</v>
      </c>
      <c r="N27" s="9">
        <f t="shared" si="12"/>
        <v>2315.5972266666663</v>
      </c>
      <c r="O27" s="9">
        <f aca="true" t="shared" si="13" ref="O27:S27">((O26*2)/3)-6</f>
        <v>2383.585511466667</v>
      </c>
      <c r="P27" s="9">
        <f t="shared" si="13"/>
        <v>2451.5737962666667</v>
      </c>
      <c r="Q27" s="9">
        <f t="shared" si="13"/>
        <v>2519.562081066667</v>
      </c>
      <c r="R27" s="9">
        <f t="shared" si="13"/>
        <v>2587.5503658666667</v>
      </c>
      <c r="S27" s="9">
        <f t="shared" si="13"/>
        <v>2655.5386506666664</v>
      </c>
    </row>
    <row r="28" spans="1:19" ht="15">
      <c r="A28" s="4" t="s">
        <v>6</v>
      </c>
      <c r="B28" s="16">
        <f>((((B22*0.00314)*0.22)*'Технический лист'!$M$9)+100+(((B23*0.00314)*0.21)*'Технический лист'!$O$5)+(((B22+30)*(B22+30)/1000000)*'Технический лист'!$E$20))*1.58</f>
        <v>974.6882476799999</v>
      </c>
      <c r="C28" s="16">
        <f>((((C22*0.00314)*0.22)*'Технический лист'!$M$9)+100+(((C23*0.00314)*0.21)*'Технический лист'!$O$5)+(((C22+30)*(C22+30)/1000000)*'Технический лист'!$E$20))*1.58</f>
        <v>1041.7365361280001</v>
      </c>
      <c r="D28" s="16">
        <f>((((D22*0.00314)*0.22)*'Технический лист'!$M$9)+100+(((D23*0.00314)*0.21)*'Технический лист'!$O$5)+(((D22+30)*(D22+30)/1000000)*'Технический лист'!$E$20))*1.58</f>
        <v>1075.734680352</v>
      </c>
      <c r="E28" s="16">
        <f>((((E22*0.00314)*0.22)*'Технический лист'!$M$9)+100+(((E23*0.00314)*0.21)*'Технический лист'!$O$5)+(((E22+30)*(E22+30)/1000000)*'Технический лист'!$E$20))*1.58</f>
        <v>1110.048824576</v>
      </c>
      <c r="F28" s="16">
        <f>((((F22*0.00314)*0.22)*'Технический лист'!$M$9)+100+(((F23*0.00314)*0.21)*'Технический лист'!$O$5)+(((F22+30)*(F22+30)/1000000)*'Технический лист'!$E$20))*1.58</f>
        <v>1144.6789688000001</v>
      </c>
      <c r="G28" s="16">
        <f>((((G22*0.00314)*0.22)*'Технический лист'!$M$9)+100+(((G23*0.00314)*0.21)*'Технический лист'!$O$5)+(((G22+30)*(G22+30)/1000000)*'Технический лист'!$E$20))*1.58</f>
        <v>1179.625113024</v>
      </c>
      <c r="H28" s="16">
        <f>((((H22*0.00314)*0.22)*'Технический лист'!$M$9)+100+(((H23*0.00314)*0.21)*'Технический лист'!$O$5)+(((H22+30)*(H22+30)/1000000)*'Технический лист'!$E$20))*1.58</f>
        <v>1250.4654014720002</v>
      </c>
      <c r="I28" s="16">
        <f>((((I22*0.00314)*0.22)*'Технический лист'!$M$9)+100+(((I23*0.00314)*0.21)*'Технический лист'!$O$5)+(((I22+30)*(I22+30)/1000000)*'Технический лист'!$E$20))*1.58</f>
        <v>1322.56968992</v>
      </c>
      <c r="J28" s="16">
        <f>((((J22*0.00314)*0.22)*'Технический лист'!$M$9)+100+(((J23*0.00314)*0.21)*'Технический лист'!$O$5)+(((J22+30)*(J22+30)/1000000)*'Технический лист'!$E$20))*1.58</f>
        <v>1395.937978368</v>
      </c>
      <c r="K28" s="16">
        <f>((((K22*0.00314)*0.22)*'Технический лист'!$M$9)+100+(((K23*0.00314)*0.21)*'Технический лист'!$O$5)+(((K22+30)*(K22+30)/1000000)*'Технический лист'!$E$20))*1.58</f>
        <v>1546.466555264</v>
      </c>
      <c r="L28" s="16">
        <f>((((L22*0.00314)*0.22)*'Технический лист'!$M$9)+100+(((L23*0.00314)*0.21)*'Технический лист'!$O$5)+(((L22+30)*(L22+30)/1000000)*'Технический лист'!$E$20))*1.58</f>
        <v>1702.0511321599997</v>
      </c>
      <c r="M28" s="16">
        <f>((((M22*0.00314)*0.22)*'Технический лист'!$M$9)+100+(((M23*0.00314)*0.21)*'Технический лист'!$O$5)+(((M22+30)*(M22+30)/1000000)*'Технический лист'!$E$20))*1.58</f>
        <v>1862.691709056</v>
      </c>
      <c r="N28" s="16">
        <f>((((N22*0.00314)*0.22)*'Технический лист'!$M$9)+100+(((N23*0.00314)*0.21)*'Технический лист'!$O$5)+(((N22+30)*(N22+30)/1000000)*'Технический лист'!$E$20))*1.58</f>
        <v>2113.1325743999996</v>
      </c>
      <c r="O28" s="16">
        <f>((((O22*0.00314)*0.22)*'Технический лист'!$M$9)+100+(((O23*0.00314)*0.21)*'Технический лист'!$O$5)+(((O22+30)*(O22+30)/1000000)*'Технический лист'!$E$20))*1.58</f>
        <v>2199.140862848</v>
      </c>
      <c r="P28" s="16">
        <f>((((P22*0.00314)*0.22)*'Технический лист'!$M$9)+100+(((P23*0.00314)*0.21)*'Технический лист'!$O$5)+(((P22+30)*(P22+30)/1000000)*'Технический лист'!$E$20))*1.58</f>
        <v>2286.413151296</v>
      </c>
      <c r="Q28" s="16">
        <f>((((Q22*0.00314)*0.22)*'Технический лист'!$M$9)+100+(((Q23*0.00314)*0.21)*'Технический лист'!$O$5)+(((Q22+30)*(Q22+30)/1000000)*'Технический лист'!$E$20))*1.58</f>
        <v>2374.949439744</v>
      </c>
      <c r="R28" s="16">
        <f>((((R22*0.00314)*0.22)*'Технический лист'!$M$9)+100+(((R23*0.00314)*0.21)*'Технический лист'!$O$5)+(((R22+30)*(R22+30)/1000000)*'Технический лист'!$E$20))*1.58</f>
        <v>2464.749728192</v>
      </c>
      <c r="S28" s="16">
        <f>((((S22*0.00314)*0.22)*'Технический лист'!$M$9)+100+(((S23*0.00314)*0.21)*'Технический лист'!$O$5)+(((S22+30)*(S22+30)/1000000)*'Технический лист'!$E$20))*1.58</f>
        <v>2555.81401664</v>
      </c>
    </row>
    <row r="29" spans="1:19" ht="15">
      <c r="A29" s="4" t="s">
        <v>7</v>
      </c>
      <c r="B29" s="9">
        <f>(B28*2.2)+24</f>
        <v>2168.314144896</v>
      </c>
      <c r="C29" s="9">
        <f aca="true" t="shared" si="14" ref="C29:N29">(C28*2.2)+24</f>
        <v>2315.8203794816004</v>
      </c>
      <c r="D29" s="9">
        <f t="shared" si="14"/>
        <v>2390.6162967744</v>
      </c>
      <c r="E29" s="9">
        <f t="shared" si="14"/>
        <v>2466.1074140672004</v>
      </c>
      <c r="F29" s="9">
        <f t="shared" si="14"/>
        <v>2542.2937313600005</v>
      </c>
      <c r="G29" s="9">
        <f t="shared" si="14"/>
        <v>2619.1752486528003</v>
      </c>
      <c r="H29" s="9">
        <f t="shared" si="14"/>
        <v>2775.0238832384007</v>
      </c>
      <c r="I29" s="9">
        <f t="shared" si="14"/>
        <v>2933.653317824</v>
      </c>
      <c r="J29" s="9">
        <f t="shared" si="14"/>
        <v>3095.0635524096</v>
      </c>
      <c r="K29" s="9">
        <f t="shared" si="14"/>
        <v>3426.2264215808</v>
      </c>
      <c r="L29" s="9">
        <f t="shared" si="14"/>
        <v>3768.512490752</v>
      </c>
      <c r="M29" s="9">
        <f t="shared" si="14"/>
        <v>4121.921759923201</v>
      </c>
      <c r="N29" s="9">
        <f t="shared" si="14"/>
        <v>4672.8916636799995</v>
      </c>
      <c r="O29" s="9">
        <f aca="true" t="shared" si="15" ref="O29:S29">(O28*2.2)+24</f>
        <v>4862.1098982656</v>
      </c>
      <c r="P29" s="9">
        <f t="shared" si="15"/>
        <v>5054.1089328512</v>
      </c>
      <c r="Q29" s="9">
        <f t="shared" si="15"/>
        <v>5248.8887674368</v>
      </c>
      <c r="R29" s="9">
        <f t="shared" si="15"/>
        <v>5446.4494020224</v>
      </c>
      <c r="S29" s="9">
        <f t="shared" si="15"/>
        <v>5646.790836608</v>
      </c>
    </row>
    <row r="30" spans="1:19" ht="15">
      <c r="A30" s="4" t="s">
        <v>8</v>
      </c>
      <c r="B30" s="16">
        <f>((((B22*0.00314)*0.2)*'Технический лист'!$M$9)+50+(((B23*0.00314)*0.22)*'Технический лист'!$O$5))*1.58</f>
        <v>782.5378496000002</v>
      </c>
      <c r="C30" s="16">
        <f>((((C22*0.00314)*0.2)*'Технический лист'!$M$9)+50+(((C23*0.00314)*0.22)*'Технический лист'!$O$5))*1.58</f>
        <v>830.88772032</v>
      </c>
      <c r="D30" s="16">
        <f>((((D22*0.00314)*0.2)*'Технический лист'!$M$9)+50+(((D23*0.00314)*0.22)*'Технический лист'!$O$5))*1.58</f>
        <v>855.06265568</v>
      </c>
      <c r="E30" s="16">
        <f>((((E22*0.00314)*0.2)*'Технический лист'!$M$9)+50+(((E23*0.00314)*0.22)*'Технический лист'!$O$5))*1.58</f>
        <v>879.2375910400001</v>
      </c>
      <c r="F30" s="16">
        <f>((((F22*0.00314)*0.2)*'Технический лист'!$M$9)+50+(((F23*0.00314)*0.22)*'Технический лист'!$O$5))*1.58</f>
        <v>903.4125264</v>
      </c>
      <c r="G30" s="16">
        <f>((((G22*0.00314)*0.2)*'Технический лист'!$M$9)+50+(((G23*0.00314)*0.22)*'Технический лист'!$O$5))*1.58</f>
        <v>927.5874617600001</v>
      </c>
      <c r="H30" s="16">
        <f>((((H22*0.00314)*0.2)*'Технический лист'!$M$9)+50+(((H23*0.00314)*0.22)*'Технический лист'!$O$5))*1.58</f>
        <v>975.9373324800001</v>
      </c>
      <c r="I30" s="16">
        <f>((((I22*0.00314)*0.2)*'Технический лист'!$M$9)+50+(((I23*0.00314)*0.22)*'Технический лист'!$O$5))*1.58</f>
        <v>1024.2872032</v>
      </c>
      <c r="J30" s="16">
        <f>((((J22*0.00314)*0.2)*'Технический лист'!$M$9)+50+(((J23*0.00314)*0.22)*'Технический лист'!$O$5))*1.58</f>
        <v>1072.6370739200001</v>
      </c>
      <c r="K30" s="16">
        <f>((((K22*0.00314)*0.2)*'Технический лист'!$M$9)+50+(((K23*0.00314)*0.22)*'Технический лист'!$O$5))*1.58</f>
        <v>1169.33681536</v>
      </c>
      <c r="L30" s="16">
        <f>((((L22*0.00314)*0.2)*'Технический лист'!$M$9)+50+(((L23*0.00314)*0.22)*'Технический лист'!$O$5))*1.58</f>
        <v>1266.0365568</v>
      </c>
      <c r="M30" s="16">
        <f>((((M22*0.00314)*0.2)*'Технический лист'!$M$9)+50+(((M23*0.00314)*0.22)*'Технический лист'!$O$5))*1.58</f>
        <v>1362.7362982399998</v>
      </c>
      <c r="N30" s="16">
        <f>((((N22*0.00314)*0.2)*'Технический лист'!$M$9)+50+(((N23*0.00314)*0.22)*'Технический лист'!$O$5))*1.58</f>
        <v>1507.7859104000001</v>
      </c>
      <c r="O30" s="16">
        <f>((((O22*0.00314)*0.2)*'Технический лист'!$M$9)+50+(((O23*0.00314)*0.22)*'Технический лист'!$O$5))*1.58</f>
        <v>1556.13578112</v>
      </c>
      <c r="P30" s="16">
        <f>((((P22*0.00314)*0.2)*'Технический лист'!$M$9)+50+(((P23*0.00314)*0.22)*'Технический лист'!$O$5))*1.58</f>
        <v>1604.48565184</v>
      </c>
      <c r="Q30" s="16">
        <f>((((Q22*0.00314)*0.2)*'Технический лист'!$M$9)+50+(((Q23*0.00314)*0.22)*'Технический лист'!$O$5))*1.58</f>
        <v>1652.83552256</v>
      </c>
      <c r="R30" s="16">
        <f>((((R22*0.00314)*0.2)*'Технический лист'!$M$9)+50+(((R23*0.00314)*0.22)*'Технический лист'!$O$5))*1.58</f>
        <v>1701.18539328</v>
      </c>
      <c r="S30" s="16">
        <f>((((S22*0.00314)*0.2)*'Технический лист'!$M$9)+50+(((S23*0.00314)*0.22)*'Технический лист'!$O$5))*1.58</f>
        <v>1749.535264</v>
      </c>
    </row>
    <row r="31" spans="1:19" ht="15">
      <c r="A31" s="4" t="s">
        <v>99</v>
      </c>
      <c r="B31" s="16">
        <v>4110</v>
      </c>
      <c r="C31" s="16">
        <v>4380</v>
      </c>
      <c r="D31" s="16">
        <v>4515</v>
      </c>
      <c r="E31" s="16">
        <v>4657</v>
      </c>
      <c r="F31" s="16">
        <v>4800</v>
      </c>
      <c r="G31" s="16">
        <v>4950</v>
      </c>
      <c r="H31" s="16">
        <v>5242</v>
      </c>
      <c r="I31" s="16">
        <v>5535</v>
      </c>
      <c r="J31" s="16">
        <v>5850</v>
      </c>
      <c r="K31" s="16">
        <v>6480</v>
      </c>
      <c r="L31" s="16">
        <v>7140</v>
      </c>
      <c r="M31" s="16">
        <v>7822</v>
      </c>
      <c r="N31" s="16">
        <v>8910</v>
      </c>
      <c r="O31" s="16">
        <v>9285</v>
      </c>
      <c r="P31" s="16">
        <v>9667</v>
      </c>
      <c r="Q31" s="16">
        <v>10057</v>
      </c>
      <c r="R31" s="16">
        <v>10447</v>
      </c>
      <c r="S31" s="16">
        <v>10845</v>
      </c>
    </row>
    <row r="32" spans="1:19" ht="15">
      <c r="A32" s="4" t="s">
        <v>102</v>
      </c>
      <c r="B32" s="16">
        <v>4110</v>
      </c>
      <c r="C32" s="16">
        <v>4380</v>
      </c>
      <c r="D32" s="16">
        <v>4515</v>
      </c>
      <c r="E32" s="16">
        <v>4657</v>
      </c>
      <c r="F32" s="16">
        <v>4800</v>
      </c>
      <c r="G32" s="16">
        <v>4950</v>
      </c>
      <c r="H32" s="16">
        <v>5242</v>
      </c>
      <c r="I32" s="16">
        <v>5535</v>
      </c>
      <c r="J32" s="16">
        <v>5850</v>
      </c>
      <c r="K32" s="16">
        <v>6480</v>
      </c>
      <c r="L32" s="16">
        <v>7140</v>
      </c>
      <c r="M32" s="16">
        <v>7822</v>
      </c>
      <c r="N32" s="16">
        <v>8910</v>
      </c>
      <c r="O32" s="16">
        <v>9285</v>
      </c>
      <c r="P32" s="16">
        <v>9667</v>
      </c>
      <c r="Q32" s="16">
        <v>10057</v>
      </c>
      <c r="R32" s="16">
        <v>10447</v>
      </c>
      <c r="S32" s="16">
        <v>10845</v>
      </c>
    </row>
    <row r="33" spans="1:19" ht="15">
      <c r="A33" s="4" t="s">
        <v>9</v>
      </c>
      <c r="B33" s="9">
        <f>((((B22*0.00314)*((B22+545)/1000))*'Технический лист'!$K$9)+370+((B23*0.00314)*((B23+450)/1000))*'Технический лист'!$K$5)*1.65</f>
        <v>2738.4164874000003</v>
      </c>
      <c r="C33" s="9">
        <f>((((C22*0.00314)*((C22+545)/1000))*'Технический лист'!$K$9)+370+((C23*0.00314)*((C23+450)/1000))*'Технический лист'!$K$5)*1.65</f>
        <v>2920.0978890599995</v>
      </c>
      <c r="D33" s="9">
        <f>((((D22*0.00314)*((D22+545)/1000))*'Технический лист'!$K$9)+370+((D23*0.00314)*((D23+450)/1000))*'Технический лист'!$K$5)*1.65</f>
        <v>3012.6371289299996</v>
      </c>
      <c r="E33" s="9">
        <f>((((E22*0.00314)*((E22+545)/1000))*'Технический лист'!$K$9)+370+((E23*0.00314)*((E23+450)/1000))*'Технический лист'!$K$5)*1.65</f>
        <v>3106.3087281599996</v>
      </c>
      <c r="F33" s="9">
        <f>((((F22*0.00314)*((F22+545)/1000))*'Технический лист'!$K$9)+370+((F23*0.00314)*((F23+450)/1000))*'Технический лист'!$K$5)*1.65</f>
        <v>3201.1126867499997</v>
      </c>
      <c r="G33" s="9">
        <f>((((G22*0.00314)*((G22+545)/1000))*'Технический лист'!$K$9)+370+((G23*0.00314)*((G23+450)/1000))*'Технический лист'!$K$5)*1.65</f>
        <v>3297.0490047</v>
      </c>
      <c r="H33" s="9">
        <f>((((H22*0.00314)*((H22+545)/1000))*'Технический лист'!$K$9)+370+((H23*0.00314)*((H23+450)/1000))*'Технический лист'!$K$5)*1.65</f>
        <v>3492.31871868</v>
      </c>
      <c r="I33" s="9">
        <f>((((I22*0.00314)*((I22+545)/1000))*'Технический лист'!$K$9)+370+((I23*0.00314)*((I23+450)/1000))*'Технический лист'!$K$5)*1.65</f>
        <v>3692.1178700999994</v>
      </c>
      <c r="J33" s="9">
        <f>((((J22*0.00314)*((J22+545)/1000))*'Технический лист'!$K$9)+370+((J23*0.00314)*((J23+450)/1000))*'Технический лист'!$K$5)*1.65</f>
        <v>3896.4464589599993</v>
      </c>
      <c r="K33" s="9">
        <f>((((K22*0.00314)*((K22+545)/1000))*'Технический лист'!$K$9)+370+((K23*0.00314)*((K23+450)/1000))*'Технический лист'!$K$5)*1.65</f>
        <v>4318.691949</v>
      </c>
      <c r="L33" s="9">
        <f>((((L22*0.00314)*((L22+545)/1000))*'Технический лист'!$K$9)+370+((L23*0.00314)*((L23+450)/1000))*'Технический лист'!$K$5)*1.65</f>
        <v>4759.055188799999</v>
      </c>
      <c r="M33" s="9">
        <f>((((M22*0.00314)*((M22+545)/1000))*'Технический лист'!$K$9)+370+((M23*0.00314)*((M23+450)/1000))*'Технический лист'!$K$5)*1.65</f>
        <v>5217.536178359999</v>
      </c>
      <c r="N33" s="9">
        <f>((((N22*0.00314)*((N22+545)/1000))*'Технический лист'!$K$9)+370+((N23*0.00314)*((N23+450)/1000))*'Технический лист'!$K$5)*1.65</f>
        <v>5939.2284435</v>
      </c>
      <c r="O33" s="9">
        <f>((((O22*0.00314)*((O22+545)/1000))*'Технический лист'!$K$9)+370+((O23*0.00314)*((O23+450)/1000))*'Технический лист'!$K$5)*1.65</f>
        <v>6188.85140676</v>
      </c>
      <c r="P33" s="9">
        <f>((((P22*0.00314)*((P22+545)/1000))*'Технический лист'!$K$9)+370+((P23*0.00314)*((P23+450)/1000))*'Технический лист'!$K$5)*1.65</f>
        <v>6443.003807459999</v>
      </c>
      <c r="Q33" s="9">
        <f>((((Q22*0.00314)*((Q22+545)/1000))*'Технический лист'!$K$9)+370+((Q23*0.00314)*((Q23+450)/1000))*'Технический лист'!$K$5)*1.65</f>
        <v>6701.685645599999</v>
      </c>
      <c r="R33" s="9">
        <f>((((R22*0.00314)*((R22+545)/1000))*'Технический лист'!$K$9)+370+((R23*0.00314)*((R23+450)/1000))*'Технический лист'!$K$5)*1.65</f>
        <v>6964.8969211799995</v>
      </c>
      <c r="S33" s="9">
        <f>((((S22*0.00314)*((S22+545)/1000))*'Технический лист'!$K$9)+370+((S23*0.00314)*((S23+450)/1000))*'Технический лист'!$K$5)*1.65</f>
        <v>7232.637634199999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лист'!$G$10)+365+((B7*0.00314)*'Технический лист'!$G$11))*1.52</f>
        <v>1984.251533852814</v>
      </c>
      <c r="C8" s="16">
        <f>(((C6*0.00314)*'Технический лист'!$G$10)+365+((C7*0.00314)*'Технический лист'!$G$11))*1.52</f>
        <v>2110.3168845714285</v>
      </c>
      <c r="D8" s="16">
        <f>(((D6*0.00314)*'Технический лист'!$G$10)+365+((D7*0.00314)*'Технический лист'!$G$11))*1.52</f>
        <v>2173.3495599307353</v>
      </c>
      <c r="E8" s="16">
        <f>(((E6*0.00314)*'Технический лист'!$G$10)+365+((E7*0.00314)*'Технический лист'!$G$11))*1.52</f>
        <v>2236.3822352900434</v>
      </c>
      <c r="F8" s="16">
        <f>(((F6*0.00314)*'Технический лист'!$G$10)+365+((F7*0.00314)*'Технический лист'!$G$11))*1.52</f>
        <v>2299.4149106493505</v>
      </c>
      <c r="G8" s="16">
        <f>(((G6*0.00314)*'Технический лист'!$G$10)+365+((G7*0.00314)*'Технический лист'!$G$11))*1.52</f>
        <v>2362.4475860086577</v>
      </c>
      <c r="H8" s="16">
        <f>(((H6*0.00314)*'Технический лист'!$G$10)+365+((H7*0.00314)*'Технический лист'!$G$11))*1.52</f>
        <v>2488.5129367272725</v>
      </c>
      <c r="I8" s="16">
        <f>(((I6*0.00314)*'Технический лист'!$G$10)+365+((I7*0.00314)*'Технический лист'!$G$11))*1.52</f>
        <v>2614.5782874458873</v>
      </c>
      <c r="J8" s="16">
        <f>(((J6*0.00314)*'Технический лист'!$G$10)+365+((J7*0.00314)*'Технический лист'!$G$11))*1.52</f>
        <v>2740.6436381645017</v>
      </c>
      <c r="K8" s="16">
        <f>(((K6*0.00314)*'Технический лист'!$G$10)+365+((K7*0.00314)*'Технический лист'!$G$11))*1.52</f>
        <v>2992.7743396017313</v>
      </c>
      <c r="L8" s="16">
        <f>(((L6*0.00314)*'Технический лист'!$G$10)+365+((L7*0.00314)*'Технический лист'!$G$11))*1.52</f>
        <v>3244.9050410389605</v>
      </c>
      <c r="M8" s="16">
        <f>(((M6*0.00314)*'Технический лист'!$G$10)+365+((M7*0.00314)*'Технический лист'!$G$11))*1.52</f>
        <v>3497.03574247619</v>
      </c>
      <c r="N8" s="16">
        <f>(((N6*0.00314)*'Технический лист'!$G$10)+365+((N7*0.00314)*'Технический лист'!$G$11))*1.52</f>
        <v>3875.2317946320345</v>
      </c>
      <c r="O8" s="16">
        <f>(((O6*0.00314)*'Технический лист'!$G$10)+365+((O7*0.00314)*'Технический лист'!$G$11))*1.52</f>
        <v>4001.297145350649</v>
      </c>
      <c r="P8" s="16">
        <f>(((P6*0.00314)*'Технический лист'!$G$10)+365+((P7*0.00314)*'Технический лист'!$G$11))*1.52</f>
        <v>4127.362496069263</v>
      </c>
      <c r="Q8" s="16">
        <f>(((Q6*0.00314)*'Технический лист'!$G$10)+365+((Q7*0.00314)*'Технический лист'!$G$11))*1.52</f>
        <v>4253.427846787878</v>
      </c>
      <c r="R8" s="16">
        <f>(((R6*0.00314)*'Технический лист'!$G$10)+365+((R7*0.00314)*'Технический лист'!$G$11))*1.52</f>
        <v>4379.493197506493</v>
      </c>
      <c r="S8" s="16">
        <f>(((S6*0.00314)*'Технический лист'!$G$10)+365+((S7*0.00314)*'Технический лист'!$G$11))*1.52</f>
        <v>4505.558548225108</v>
      </c>
    </row>
    <row r="9" spans="1:19" ht="15">
      <c r="A9" s="4" t="s">
        <v>3</v>
      </c>
      <c r="B9" s="9">
        <f>((B8/2)*1.07)-10</f>
        <v>1051.5745706112555</v>
      </c>
      <c r="C9" s="9">
        <f aca="true" t="shared" si="2" ref="C9:N9">((C8/2)*1.07)-10</f>
        <v>1119.0195332457142</v>
      </c>
      <c r="D9" s="9">
        <f t="shared" si="2"/>
        <v>1152.7420145629435</v>
      </c>
      <c r="E9" s="9">
        <f t="shared" si="2"/>
        <v>1186.4644958801732</v>
      </c>
      <c r="F9" s="9">
        <f t="shared" si="2"/>
        <v>1220.1869771974027</v>
      </c>
      <c r="G9" s="9">
        <f t="shared" si="2"/>
        <v>1253.909458514632</v>
      </c>
      <c r="H9" s="9">
        <f t="shared" si="2"/>
        <v>1321.354421149091</v>
      </c>
      <c r="I9" s="9">
        <f t="shared" si="2"/>
        <v>1388.7993837835497</v>
      </c>
      <c r="J9" s="9">
        <f t="shared" si="2"/>
        <v>1456.2443464180085</v>
      </c>
      <c r="K9" s="9">
        <f t="shared" si="2"/>
        <v>1591.1342716869262</v>
      </c>
      <c r="L9" s="9">
        <f t="shared" si="2"/>
        <v>1726.024196955844</v>
      </c>
      <c r="M9" s="9">
        <f t="shared" si="2"/>
        <v>1860.9141222247617</v>
      </c>
      <c r="N9" s="9">
        <f t="shared" si="2"/>
        <v>2063.2490101281387</v>
      </c>
      <c r="O9" s="9">
        <f aca="true" t="shared" si="3" ref="O9:S9">((O8/2)*1.07)-10</f>
        <v>2130.6939727625972</v>
      </c>
      <c r="P9" s="9">
        <f t="shared" si="3"/>
        <v>2198.138935397056</v>
      </c>
      <c r="Q9" s="9">
        <f t="shared" si="3"/>
        <v>2265.5838980315148</v>
      </c>
      <c r="R9" s="9">
        <f t="shared" si="3"/>
        <v>2333.0288606659738</v>
      </c>
      <c r="S9" s="9">
        <f t="shared" si="3"/>
        <v>2400.473823300433</v>
      </c>
    </row>
    <row r="10" spans="1:19" ht="15">
      <c r="A10" s="4" t="s">
        <v>5</v>
      </c>
      <c r="B10" s="16">
        <f>((((B6*0.00314)*0.5)*'Технический лист'!$I$10)+310+(((B7*0.00314)*0.5)*'Технический лист'!$I$11))*1.58</f>
        <v>1609.789826147186</v>
      </c>
      <c r="C10" s="16">
        <f>((((C6*0.00314)*0.5)*'Технический лист'!$I$10)+310+(((C7*0.00314)*0.5)*'Технический лист'!$I$11))*1.58</f>
        <v>1704.9538034285713</v>
      </c>
      <c r="D10" s="16">
        <f>((((D6*0.00314)*0.5)*'Технический лист'!$I$10)+310+(((D7*0.00314)*0.5)*'Технический лист'!$I$11))*1.58</f>
        <v>1752.535792069264</v>
      </c>
      <c r="E10" s="16">
        <f>((((E6*0.00314)*0.5)*'Технический лист'!$I$10)+310+(((E7*0.00314)*0.5)*'Технический лист'!$I$11))*1.58</f>
        <v>1800.1177807099568</v>
      </c>
      <c r="F10" s="16">
        <f>((((F6*0.00314)*0.5)*'Технический лист'!$I$10)+310+(((F7*0.00314)*0.5)*'Технический лист'!$I$11))*1.58</f>
        <v>1847.6997693506491</v>
      </c>
      <c r="G10" s="16">
        <f>((((G6*0.00314)*0.5)*'Технический лист'!$I$10)+310+(((G7*0.00314)*0.5)*'Технический лист'!$I$11))*1.58</f>
        <v>1895.281757991342</v>
      </c>
      <c r="H10" s="16">
        <f>((((H6*0.00314)*0.5)*'Технический лист'!$I$10)+310+(((H7*0.00314)*0.5)*'Технический лист'!$I$11))*1.58</f>
        <v>1990.4457352727272</v>
      </c>
      <c r="I10" s="16">
        <f>((((I6*0.00314)*0.5)*'Технический лист'!$I$10)+310+(((I7*0.00314)*0.5)*'Технический лист'!$I$11))*1.58</f>
        <v>2085.609712554113</v>
      </c>
      <c r="J10" s="16">
        <f>((((J6*0.00314)*0.5)*'Технический лист'!$I$10)+310+(((J7*0.00314)*0.5)*'Технический лист'!$I$11))*1.58</f>
        <v>2180.7736898354974</v>
      </c>
      <c r="K10" s="16">
        <f>((((K6*0.00314)*0.5)*'Технический лист'!$I$10)+310+(((K7*0.00314)*0.5)*'Технический лист'!$I$11))*1.58</f>
        <v>2371.1016443982685</v>
      </c>
      <c r="L10" s="16">
        <f>((((L6*0.00314)*0.5)*'Технический лист'!$I$10)+310+(((L7*0.00314)*0.5)*'Технический лист'!$I$11))*1.58</f>
        <v>2561.429598961039</v>
      </c>
      <c r="M10" s="16">
        <f>((((M6*0.00314)*0.5)*'Технический лист'!$I$10)+310+(((M7*0.00314)*0.5)*'Технический лист'!$I$11))*1.58</f>
        <v>2751.7575535238093</v>
      </c>
      <c r="N10" s="16">
        <f>((((N6*0.00314)*0.5)*'Технический лист'!$I$10)+310+(((N7*0.00314)*0.5)*'Технический лист'!$I$11))*1.58</f>
        <v>3037.2494853679655</v>
      </c>
      <c r="O10" s="16">
        <f>((((O6*0.00314)*0.5)*'Технический лист'!$I$10)+310+(((O7*0.00314)*0.5)*'Технический лист'!$I$11))*1.58</f>
        <v>3132.413462649351</v>
      </c>
      <c r="P10" s="16">
        <f>((((P6*0.00314)*0.5)*'Технический лист'!$I$10)+310+(((P7*0.00314)*0.5)*'Технический лист'!$I$11))*1.58</f>
        <v>3227.577439930736</v>
      </c>
      <c r="Q10" s="16">
        <f>((((Q6*0.00314)*0.5)*'Технический лист'!$I$10)+310+(((Q7*0.00314)*0.5)*'Технический лист'!$I$11))*1.58</f>
        <v>3322.741417212121</v>
      </c>
      <c r="R10" s="16">
        <f>((((R6*0.00314)*0.5)*'Технический лист'!$I$10)+310+(((R7*0.00314)*0.5)*'Технический лист'!$I$11))*1.58</f>
        <v>3417.9053944935063</v>
      </c>
      <c r="S10" s="16">
        <f>((((S6*0.00314)*0.5)*'Технический лист'!$I$10)+310+(((S7*0.00314)*0.5)*'Технический лист'!$I$11))*1.58</f>
        <v>3513.069371774892</v>
      </c>
    </row>
    <row r="11" spans="1:19" ht="15">
      <c r="A11" s="4" t="s">
        <v>96</v>
      </c>
      <c r="B11" s="9">
        <f>((B10*2)/3)-6</f>
        <v>1067.1932174314572</v>
      </c>
      <c r="C11" s="9">
        <f aca="true" t="shared" si="4" ref="C11:N11">((C10*2)/3)-6</f>
        <v>1130.6358689523809</v>
      </c>
      <c r="D11" s="9">
        <f t="shared" si="4"/>
        <v>1162.3571947128428</v>
      </c>
      <c r="E11" s="9">
        <f t="shared" si="4"/>
        <v>1194.0785204733045</v>
      </c>
      <c r="F11" s="9">
        <f t="shared" si="4"/>
        <v>1225.7998462337662</v>
      </c>
      <c r="G11" s="9">
        <f t="shared" si="4"/>
        <v>1257.5211719942279</v>
      </c>
      <c r="H11" s="9">
        <f t="shared" si="4"/>
        <v>1320.9638235151515</v>
      </c>
      <c r="I11" s="9">
        <f t="shared" si="4"/>
        <v>1384.406475036075</v>
      </c>
      <c r="J11" s="9">
        <f t="shared" si="4"/>
        <v>1447.8491265569983</v>
      </c>
      <c r="K11" s="9">
        <f t="shared" si="4"/>
        <v>1574.7344295988457</v>
      </c>
      <c r="L11" s="9">
        <f t="shared" si="4"/>
        <v>1701.6197326406927</v>
      </c>
      <c r="M11" s="9">
        <f t="shared" si="4"/>
        <v>1828.5050356825395</v>
      </c>
      <c r="N11" s="9">
        <f t="shared" si="4"/>
        <v>2018.8329902453104</v>
      </c>
      <c r="O11" s="9">
        <f aca="true" t="shared" si="5" ref="O11:S11">((O10*2)/3)-6</f>
        <v>2082.275641766234</v>
      </c>
      <c r="P11" s="9">
        <f t="shared" si="5"/>
        <v>2145.7182932871574</v>
      </c>
      <c r="Q11" s="9">
        <f t="shared" si="5"/>
        <v>2209.160944808081</v>
      </c>
      <c r="R11" s="9">
        <f t="shared" si="5"/>
        <v>2272.603596329004</v>
      </c>
      <c r="S11" s="9">
        <f t="shared" si="5"/>
        <v>2336.046247849928</v>
      </c>
    </row>
    <row r="12" spans="1:19" ht="15">
      <c r="A12" s="4" t="s">
        <v>6</v>
      </c>
      <c r="B12" s="16">
        <f>((((B6*0.00314)*0.22)*'Технический лист'!$M$10)+100+(((B7*0.00314)*0.21)*'Технический лист'!$O$11)+(((B6+30)*(B6+30)/1000000)*'Технический лист'!$E$20))*1.58</f>
        <v>864.7786733714287</v>
      </c>
      <c r="C12" s="16">
        <f>((((C6*0.00314)*0.22)*'Технический лист'!$M$10)+100+(((C7*0.00314)*0.21)*'Технический лист'!$O$11)+(((C6+30)*(C6+30)/1000000)*'Технический лист'!$E$20))*1.58</f>
        <v>930.6016304685714</v>
      </c>
      <c r="D12" s="16">
        <f>((((D6*0.00314)*0.22)*'Технический лист'!$M$10)+100+(((D7*0.00314)*0.21)*'Технический лист'!$O$11)+(((D6+30)*(D6+30)/1000000)*'Технический лист'!$E$20))*1.58</f>
        <v>963.9871090171429</v>
      </c>
      <c r="E12" s="16">
        <f>((((E6*0.00314)*0.22)*'Технический лист'!$M$10)+100+(((E7*0.00314)*0.21)*'Технический лист'!$O$11)+(((E6+30)*(E6+30)/1000000)*'Технический лист'!$E$20))*1.58</f>
        <v>997.6885875657144</v>
      </c>
      <c r="F12" s="16">
        <f>((((F6*0.00314)*0.22)*'Технический лист'!$M$10)+100+(((F7*0.00314)*0.21)*'Технический лист'!$O$11)+(((F6+30)*(F6+30)/1000000)*'Технический лист'!$E$20))*1.58</f>
        <v>1031.7060661142857</v>
      </c>
      <c r="G12" s="16">
        <f>((((G6*0.00314)*0.22)*'Технический лист'!$M$10)+100+(((G7*0.00314)*0.21)*'Технический лист'!$O$11)+(((G6+30)*(G6+30)/1000000)*'Технический лист'!$E$20))*1.58</f>
        <v>1066.0395446628572</v>
      </c>
      <c r="H12" s="16">
        <f>((((H6*0.00314)*0.22)*'Технический лист'!$M$10)+100+(((H7*0.00314)*0.21)*'Технический лист'!$O$11)+(((H6+30)*(H6+30)/1000000)*'Технический лист'!$E$20))*1.58</f>
        <v>1135.6545017600001</v>
      </c>
      <c r="I12" s="16">
        <f>((((I6*0.00314)*0.22)*'Технический лист'!$M$10)+100+(((I7*0.00314)*0.21)*'Технический лист'!$O$11)+(((I6+30)*(I6+30)/1000000)*'Технический лист'!$E$20))*1.58</f>
        <v>1206.533458857143</v>
      </c>
      <c r="J12" s="16">
        <f>((((J6*0.00314)*0.22)*'Технический лист'!$M$10)+100+(((J7*0.00314)*0.21)*'Технический лист'!$O$11)+(((J6+30)*(J6+30)/1000000)*'Технический лист'!$E$20))*1.58</f>
        <v>1278.6764159542856</v>
      </c>
      <c r="K12" s="16">
        <f>((((K6*0.00314)*0.22)*'Технический лист'!$M$10)+100+(((K7*0.00314)*0.21)*'Технический лист'!$O$11)+(((K6+30)*(K6+30)/1000000)*'Технический лист'!$E$20))*1.58</f>
        <v>1426.7543301485714</v>
      </c>
      <c r="L12" s="16">
        <f>((((L6*0.00314)*0.22)*'Технический лист'!$M$10)+100+(((L7*0.00314)*0.21)*'Технический лист'!$O$11)+(((L6+30)*(L6+30)/1000000)*'Технический лист'!$E$20))*1.58</f>
        <v>1579.8882443428572</v>
      </c>
      <c r="M12" s="16">
        <f>((((M6*0.00314)*0.22)*'Технический лист'!$M$10)+100+(((M7*0.00314)*0.21)*'Технический лист'!$O$11)+(((M6+30)*(M6+30)/1000000)*'Технический лист'!$E$20))*1.58</f>
        <v>1738.078158537143</v>
      </c>
      <c r="N12" s="16">
        <f>((((N6*0.00314)*0.22)*'Технический лист'!$M$10)+100+(((N7*0.00314)*0.21)*'Технический лист'!$O$11)+(((N6+30)*(N6+30)/1000000)*'Технический лист'!$E$20))*1.58</f>
        <v>1984.8430298285714</v>
      </c>
      <c r="O12" s="16">
        <f>((((O6*0.00314)*0.22)*'Технический лист'!$M$10)+100+(((O7*0.00314)*0.21)*'Технический лист'!$O$11)+(((O6+30)*(O6+30)/1000000)*'Технический лист'!$E$20))*1.58</f>
        <v>2069.625986925714</v>
      </c>
      <c r="P12" s="16">
        <f>((((P6*0.00314)*0.22)*'Технический лист'!$M$10)+100+(((P7*0.00314)*0.21)*'Технический лист'!$O$11)+(((P6+30)*(P6+30)/1000000)*'Технический лист'!$E$20))*1.58</f>
        <v>2155.672944022857</v>
      </c>
      <c r="Q12" s="16">
        <f>((((Q6*0.00314)*0.22)*'Технический лист'!$M$10)+100+(((Q7*0.00314)*0.21)*'Технический лист'!$O$11)+(((Q6+30)*(Q6+30)/1000000)*'Технический лист'!$E$20))*1.58</f>
        <v>2242.98390112</v>
      </c>
      <c r="R12" s="16">
        <f>((((R6*0.00314)*0.22)*'Технический лист'!$M$10)+100+(((R7*0.00314)*0.21)*'Технический лист'!$O$11)+(((R6+30)*(R6+30)/1000000)*'Технический лист'!$E$20))*1.58</f>
        <v>2331.558858217143</v>
      </c>
      <c r="S12" s="16">
        <f>((((S6*0.00314)*0.22)*'Технический лист'!$M$10)+100+(((S7*0.00314)*0.21)*'Технический лист'!$O$11)+(((S6+30)*(S6+30)/1000000)*'Технический лист'!$E$20))*1.58</f>
        <v>2421.3978153142853</v>
      </c>
    </row>
    <row r="13" spans="1:19" ht="15">
      <c r="A13" s="4" t="s">
        <v>7</v>
      </c>
      <c r="B13" s="9">
        <f>(B12*2.2)+24</f>
        <v>1926.5130814171432</v>
      </c>
      <c r="C13" s="9">
        <f aca="true" t="shared" si="6" ref="C13:N13">(C12*2.2)+24</f>
        <v>2071.323587030857</v>
      </c>
      <c r="D13" s="9">
        <f t="shared" si="6"/>
        <v>2144.7716398377147</v>
      </c>
      <c r="E13" s="9">
        <f t="shared" si="6"/>
        <v>2218.914892644572</v>
      </c>
      <c r="F13" s="9">
        <f t="shared" si="6"/>
        <v>2293.7533454514287</v>
      </c>
      <c r="G13" s="9">
        <f t="shared" si="6"/>
        <v>2369.286998258286</v>
      </c>
      <c r="H13" s="9">
        <f t="shared" si="6"/>
        <v>2522.4399038720003</v>
      </c>
      <c r="I13" s="9">
        <f t="shared" si="6"/>
        <v>2678.3736094857145</v>
      </c>
      <c r="J13" s="9">
        <f t="shared" si="6"/>
        <v>2837.0881150994287</v>
      </c>
      <c r="K13" s="9">
        <f t="shared" si="6"/>
        <v>3162.859526326857</v>
      </c>
      <c r="L13" s="9">
        <f t="shared" si="6"/>
        <v>3499.754137554286</v>
      </c>
      <c r="M13" s="9">
        <f t="shared" si="6"/>
        <v>3847.771948781715</v>
      </c>
      <c r="N13" s="9">
        <f t="shared" si="6"/>
        <v>4390.6546656228575</v>
      </c>
      <c r="O13" s="9">
        <f aca="true" t="shared" si="7" ref="O13:S13">(O12*2.2)+24</f>
        <v>4577.177171236572</v>
      </c>
      <c r="P13" s="9">
        <f t="shared" si="7"/>
        <v>4766.480476850285</v>
      </c>
      <c r="Q13" s="9">
        <f t="shared" si="7"/>
        <v>4958.5645824640005</v>
      </c>
      <c r="R13" s="9">
        <f t="shared" si="7"/>
        <v>5153.429488077715</v>
      </c>
      <c r="S13" s="9">
        <f t="shared" si="7"/>
        <v>5351.075193691428</v>
      </c>
    </row>
    <row r="14" spans="1:19" ht="15">
      <c r="A14" s="4" t="s">
        <v>8</v>
      </c>
      <c r="B14" s="16">
        <f>((((B6*0.00314)*0.2)*'Технический лист'!$M$10)+50+(((B7*0.00314)*0.22)*'Технический лист'!$O$11))*1.57</f>
        <v>651.4146369108227</v>
      </c>
      <c r="C14" s="16">
        <f>((((C6*0.00314)*0.2)*'Технический лист'!$M$10)+50+(((C7*0.00314)*0.22)*'Технический лист'!$O$11))*1.57</f>
        <v>697.0073565485715</v>
      </c>
      <c r="D14" s="16">
        <f>((((D6*0.00314)*0.2)*'Технический лист'!$M$10)+50+(((D7*0.00314)*0.22)*'Технический лист'!$O$11))*1.57</f>
        <v>719.8037163674459</v>
      </c>
      <c r="E14" s="16">
        <f>((((E6*0.00314)*0.2)*'Технический лист'!$M$10)+50+(((E7*0.00314)*0.22)*'Технический лист'!$O$11))*1.57</f>
        <v>742.6000761863204</v>
      </c>
      <c r="F14" s="16">
        <f>((((F6*0.00314)*0.2)*'Технический лист'!$M$10)+50+(((F7*0.00314)*0.22)*'Технический лист'!$O$11))*1.57</f>
        <v>765.396436005195</v>
      </c>
      <c r="G14" s="16">
        <f>((((G6*0.00314)*0.2)*'Технический лист'!$M$10)+50+(((G7*0.00314)*0.22)*'Технический лист'!$O$11))*1.57</f>
        <v>788.1927958240693</v>
      </c>
      <c r="H14" s="16">
        <f>((((H6*0.00314)*0.2)*'Технический лист'!$M$10)+50+(((H7*0.00314)*0.22)*'Технический лист'!$O$11))*1.57</f>
        <v>833.7855154618181</v>
      </c>
      <c r="I14" s="16">
        <f>((((I6*0.00314)*0.2)*'Технический лист'!$M$10)+50+(((I7*0.00314)*0.22)*'Технический лист'!$O$11))*1.57</f>
        <v>879.3782350995672</v>
      </c>
      <c r="J14" s="16">
        <f>((((J6*0.00314)*0.2)*'Технический лист'!$M$10)+50+(((J7*0.00314)*0.22)*'Технический лист'!$O$11))*1.57</f>
        <v>924.9709547373161</v>
      </c>
      <c r="K14" s="16">
        <f>((((K6*0.00314)*0.2)*'Технический лист'!$M$10)+50+(((K7*0.00314)*0.22)*'Технический лист'!$O$11))*1.57</f>
        <v>1016.156394012814</v>
      </c>
      <c r="L14" s="16">
        <f>((((L6*0.00314)*0.2)*'Технический лист'!$M$10)+50+(((L7*0.00314)*0.22)*'Технический лист'!$O$11))*1.57</f>
        <v>1107.3418332883118</v>
      </c>
      <c r="M14" s="16">
        <f>((((M6*0.00314)*0.2)*'Технический лист'!$M$10)+50+(((M7*0.00314)*0.22)*'Технический лист'!$O$11))*1.57</f>
        <v>1198.5272725638094</v>
      </c>
      <c r="N14" s="16">
        <f>((((N6*0.00314)*0.2)*'Технический лист'!$M$10)+50+(((N7*0.00314)*0.22)*'Технический лист'!$O$11))*1.57</f>
        <v>1335.3054314770566</v>
      </c>
      <c r="O14" s="16">
        <f>((((O6*0.00314)*0.2)*'Технический лист'!$M$10)+50+(((O7*0.00314)*0.22)*'Технический лист'!$O$11))*1.57</f>
        <v>1380.8981511148054</v>
      </c>
      <c r="P14" s="16">
        <f>((((P6*0.00314)*0.2)*'Технический лист'!$M$10)+50+(((P7*0.00314)*0.22)*'Технический лист'!$O$11))*1.57</f>
        <v>1426.4908707525542</v>
      </c>
      <c r="Q14" s="16">
        <f>((((Q6*0.00314)*0.2)*'Технический лист'!$M$10)+50+(((Q7*0.00314)*0.22)*'Технический лист'!$O$11))*1.57</f>
        <v>1472.0835903903032</v>
      </c>
      <c r="R14" s="16">
        <f>((((R6*0.00314)*0.2)*'Технический лист'!$M$10)+50+(((R7*0.00314)*0.22)*'Технический лист'!$O$11))*1.57</f>
        <v>1517.676310028052</v>
      </c>
      <c r="S14" s="16">
        <f>((((S6*0.00314)*0.2)*'Технический лист'!$M$10)+50+(((S7*0.00314)*0.22)*'Технический лист'!$O$11))*1.57</f>
        <v>1563.2690296658009</v>
      </c>
    </row>
    <row r="15" spans="1:19" ht="15">
      <c r="A15" s="4" t="s">
        <v>99</v>
      </c>
      <c r="B15" s="16">
        <v>3210</v>
      </c>
      <c r="C15" s="16">
        <v>3442</v>
      </c>
      <c r="D15" s="16">
        <v>3562</v>
      </c>
      <c r="E15" s="16">
        <v>3682</v>
      </c>
      <c r="F15" s="16">
        <v>3802</v>
      </c>
      <c r="G15" s="16">
        <v>3930</v>
      </c>
      <c r="H15" s="16">
        <v>4185</v>
      </c>
      <c r="I15" s="16">
        <v>4440</v>
      </c>
      <c r="J15" s="16">
        <v>4702</v>
      </c>
      <c r="K15" s="16">
        <v>5250</v>
      </c>
      <c r="L15" s="16">
        <v>5812</v>
      </c>
      <c r="M15" s="16">
        <v>6412</v>
      </c>
      <c r="N15" s="16">
        <v>7350</v>
      </c>
      <c r="O15" s="16">
        <v>7672</v>
      </c>
      <c r="P15" s="16">
        <v>8002</v>
      </c>
      <c r="Q15" s="16">
        <v>8340</v>
      </c>
      <c r="R15" s="16">
        <v>8692</v>
      </c>
      <c r="S15" s="16">
        <v>9030</v>
      </c>
    </row>
    <row r="16" spans="1:19" ht="15">
      <c r="A16" s="4" t="s">
        <v>102</v>
      </c>
      <c r="B16" s="16">
        <v>3210</v>
      </c>
      <c r="C16" s="16">
        <v>3442</v>
      </c>
      <c r="D16" s="16">
        <v>3562</v>
      </c>
      <c r="E16" s="16">
        <v>3682</v>
      </c>
      <c r="F16" s="16">
        <v>3802</v>
      </c>
      <c r="G16" s="16">
        <v>3930</v>
      </c>
      <c r="H16" s="16">
        <v>4185</v>
      </c>
      <c r="I16" s="16">
        <v>4440</v>
      </c>
      <c r="J16" s="16">
        <v>4702</v>
      </c>
      <c r="K16" s="16">
        <v>5250</v>
      </c>
      <c r="L16" s="16">
        <v>5812</v>
      </c>
      <c r="M16" s="16">
        <v>6412</v>
      </c>
      <c r="N16" s="16">
        <v>7350</v>
      </c>
      <c r="O16" s="16">
        <v>7672</v>
      </c>
      <c r="P16" s="16">
        <v>8002</v>
      </c>
      <c r="Q16" s="16">
        <v>8340</v>
      </c>
      <c r="R16" s="16">
        <v>8692</v>
      </c>
      <c r="S16" s="16">
        <v>9030</v>
      </c>
    </row>
    <row r="17" spans="1:19" ht="15">
      <c r="A17" s="4" t="s">
        <v>9</v>
      </c>
      <c r="B17" s="9">
        <f>((((B6*0.00314)*((B6+545)/1000))*'Технический лист'!$K$10)+370+((B7*0.00314)*((B7+450)/1000))*'Технический лист'!$K$11)*1.65</f>
        <v>2139.521317857143</v>
      </c>
      <c r="C17" s="9">
        <f>((((C6*0.00314)*((C6+545)/1000))*'Технический лист'!$K$10)+370+((C7*0.00314)*((C7+450)/1000))*'Технический лист'!$K$11)*1.65</f>
        <v>2295.2330812714285</v>
      </c>
      <c r="D17" s="9">
        <f>((((D6*0.00314)*((D6+545)/1000))*'Технический лист'!$K$10)+370+((D7*0.00314)*((D7+450)/1000))*'Технический лист'!$K$11)*1.65</f>
        <v>2374.599093271428</v>
      </c>
      <c r="E17" s="9">
        <f>((((E6*0.00314)*((E6+545)/1000))*'Технический лист'!$K$10)+370+((E7*0.00314)*((E7+450)/1000))*'Технический лист'!$K$11)*1.65</f>
        <v>2454.9718588</v>
      </c>
      <c r="F17" s="9">
        <f>((((F6*0.00314)*((F6+545)/1000))*'Технический лист'!$K$10)+370+((F7*0.00314)*((F7+450)/1000))*'Технический лист'!$K$11)*1.65</f>
        <v>2536.3513778571423</v>
      </c>
      <c r="G17" s="9">
        <f>((((G6*0.00314)*((G6+545)/1000))*'Технический лист'!$K$10)+370+((G7*0.00314)*((G7+450)/1000))*'Технический лист'!$K$11)*1.65</f>
        <v>2618.737650442857</v>
      </c>
      <c r="H17" s="9">
        <f>((((H6*0.00314)*((H6+545)/1000))*'Технический лист'!$K$10)+370+((H7*0.00314)*((H7+450)/1000))*'Технический лист'!$K$11)*1.65</f>
        <v>2786.5304561999997</v>
      </c>
      <c r="I17" s="9">
        <f>((((I6*0.00314)*((I6+545)/1000))*'Технический лист'!$K$10)+370+((I7*0.00314)*((I7+450)/1000))*'Технический лист'!$K$11)*1.65</f>
        <v>2958.350276071428</v>
      </c>
      <c r="J17" s="9">
        <f>((((J6*0.00314)*((J6+545)/1000))*'Технический лист'!$K$10)+370+((J7*0.00314)*((J7+450)/1000))*'Технический лист'!$K$11)*1.65</f>
        <v>3134.197110057142</v>
      </c>
      <c r="K17" s="9">
        <f>((((K6*0.00314)*((K6+545)/1000))*'Технический лист'!$K$10)+370+((K7*0.00314)*((K7+450)/1000))*'Технический лист'!$K$11)*1.65</f>
        <v>3497.9718203714283</v>
      </c>
      <c r="L17" s="9">
        <f>((((L6*0.00314)*((L6+545)/1000))*'Технический лист'!$K$10)+370+((L7*0.00314)*((L7+450)/1000))*'Технический лист'!$K$11)*1.65</f>
        <v>3877.8545871428564</v>
      </c>
      <c r="M17" s="9">
        <f>((((M6*0.00314)*((M6+545)/1000))*'Технический лист'!$K$10)+370+((M7*0.00314)*((M7+450)/1000))*'Технический лист'!$K$11)*1.65</f>
        <v>4273.8454103714275</v>
      </c>
      <c r="N17" s="9">
        <f>((((N6*0.00314)*((N6+545)/1000))*'Технический лист'!$K$10)+370+((N7*0.00314)*((N7+450)/1000))*'Технический лист'!$K$11)*1.65</f>
        <v>4898.034251071428</v>
      </c>
      <c r="O17" s="9">
        <f>((((O6*0.00314)*((O6+545)/1000))*'Технический лист'!$K$10)+370+((O7*0.00314)*((O7+450)/1000))*'Технический лист'!$K$11)*1.65</f>
        <v>5114.1512262</v>
      </c>
      <c r="P17" s="9">
        <f>((((P6*0.00314)*((P6+545)/1000))*'Технический лист'!$K$10)+370+((P7*0.00314)*((P7+450)/1000))*'Технический лист'!$K$11)*1.65</f>
        <v>5334.295215442856</v>
      </c>
      <c r="Q17" s="9">
        <f>((((Q6*0.00314)*((Q6+545)/1000))*'Технический лист'!$K$10)+370+((Q7*0.00314)*((Q7+450)/1000))*'Технический лист'!$K$11)*1.65</f>
        <v>5558.466218799999</v>
      </c>
      <c r="R17" s="9">
        <f>((((R6*0.00314)*((R6+545)/1000))*'Технический лист'!$K$10)+370+((R7*0.00314)*((R7+450)/1000))*'Технический лист'!$K$11)*1.65</f>
        <v>5786.664236271427</v>
      </c>
      <c r="S17" s="9">
        <f>((((S6*0.00314)*((S6+545)/1000))*'Технический лист'!$K$10)+370+((S7*0.00314)*((S7+450)/1000))*'Технический лист'!$K$11)*1.65</f>
        <v>6018.889267857142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64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8" ref="C23:N23">C22+100</f>
        <v>210</v>
      </c>
      <c r="D23" s="10">
        <f t="shared" si="8"/>
        <v>215</v>
      </c>
      <c r="E23" s="10">
        <f t="shared" si="8"/>
        <v>220</v>
      </c>
      <c r="F23" s="10">
        <f t="shared" si="8"/>
        <v>225</v>
      </c>
      <c r="G23" s="10">
        <f t="shared" si="8"/>
        <v>230</v>
      </c>
      <c r="H23" s="10">
        <f t="shared" si="8"/>
        <v>240</v>
      </c>
      <c r="I23" s="10">
        <f t="shared" si="8"/>
        <v>250</v>
      </c>
      <c r="J23" s="10">
        <f t="shared" si="8"/>
        <v>260</v>
      </c>
      <c r="K23" s="10">
        <f t="shared" si="8"/>
        <v>280</v>
      </c>
      <c r="L23" s="10">
        <f t="shared" si="8"/>
        <v>300</v>
      </c>
      <c r="M23" s="10">
        <f t="shared" si="8"/>
        <v>320</v>
      </c>
      <c r="N23" s="10">
        <f t="shared" si="8"/>
        <v>350</v>
      </c>
      <c r="O23" s="10">
        <f aca="true" t="shared" si="9" ref="O23:S23">O22+100</f>
        <v>360</v>
      </c>
      <c r="P23" s="10">
        <f t="shared" si="9"/>
        <v>370</v>
      </c>
      <c r="Q23" s="10">
        <f t="shared" si="9"/>
        <v>380</v>
      </c>
      <c r="R23" s="10">
        <f t="shared" si="9"/>
        <v>390</v>
      </c>
      <c r="S23" s="10">
        <f t="shared" si="9"/>
        <v>400</v>
      </c>
    </row>
    <row r="24" spans="1:19" ht="15">
      <c r="A24" s="4" t="s">
        <v>4</v>
      </c>
      <c r="B24" s="16">
        <f>(((B22*0.00314)*'Технический лист'!$G$10)+365+((B23*0.00314)*'Технический лист'!$G$5))*1.52</f>
        <v>2731.0356405194807</v>
      </c>
      <c r="C24" s="16">
        <f>(((C22*0.00314)*'Технический лист'!$G$10)+365+((C23*0.00314)*'Технический лист'!$G$5))*1.52</f>
        <v>2894.4401965714287</v>
      </c>
      <c r="D24" s="16">
        <f>(((D22*0.00314)*'Технический лист'!$G$10)+365+((D23*0.00314)*'Технический лист'!$G$5))*1.52</f>
        <v>2976.1424745974023</v>
      </c>
      <c r="E24" s="16">
        <f>(((E22*0.00314)*'Технический лист'!$G$10)+365+((E23*0.00314)*'Технический лист'!$G$5))*1.52</f>
        <v>3057.8447526233767</v>
      </c>
      <c r="F24" s="16">
        <f>(((F22*0.00314)*'Технический лист'!$G$10)+365+((F23*0.00314)*'Технический лист'!$G$5))*1.52</f>
        <v>3139.5470306493507</v>
      </c>
      <c r="G24" s="16">
        <f>(((G22*0.00314)*'Технический лист'!$G$10)+365+((G23*0.00314)*'Технический лист'!$G$5))*1.52</f>
        <v>3221.2493086753243</v>
      </c>
      <c r="H24" s="16">
        <f>(((H22*0.00314)*'Технический лист'!$G$10)+365+((H23*0.00314)*'Технический лист'!$G$5))*1.52</f>
        <v>3384.653864727273</v>
      </c>
      <c r="I24" s="16">
        <f>(((I22*0.00314)*'Технический лист'!$G$10)+365+((I23*0.00314)*'Технический лист'!$G$5))*1.52</f>
        <v>3548.058420779221</v>
      </c>
      <c r="J24" s="16">
        <f>(((J22*0.00314)*'Технический лист'!$G$10)+365+((J23*0.00314)*'Технический лист'!$G$5))*1.52</f>
        <v>3711.4629768311684</v>
      </c>
      <c r="K24" s="16">
        <f>(((K22*0.00314)*'Технический лист'!$G$10)+365+((K23*0.00314)*'Технический лист'!$G$5))*1.52</f>
        <v>4038.2720889350644</v>
      </c>
      <c r="L24" s="16">
        <f>(((L22*0.00314)*'Технический лист'!$G$10)+365+((L23*0.00314)*'Технический лист'!$G$5))*1.52</f>
        <v>4365.081201038961</v>
      </c>
      <c r="M24" s="16">
        <f>(((M22*0.00314)*'Технический лист'!$G$10)+365+((M23*0.00314)*'Технический лист'!$G$5))*1.52</f>
        <v>4691.890313142856</v>
      </c>
      <c r="N24" s="16">
        <f>(((N22*0.00314)*'Технический лист'!$G$10)+365+((N23*0.00314)*'Технический лист'!$G$5))*1.52</f>
        <v>5182.103981298701</v>
      </c>
      <c r="O24" s="16">
        <f>(((O22*0.00314)*'Технический лист'!$G$10)+365+((O23*0.00314)*'Технический лист'!$G$5))*1.52</f>
        <v>5345.508537350649</v>
      </c>
      <c r="P24" s="16">
        <f>(((P22*0.00314)*'Технический лист'!$G$10)+365+((P23*0.00314)*'Технический лист'!$G$5))*1.52</f>
        <v>5508.913093402597</v>
      </c>
      <c r="Q24" s="16">
        <f>(((Q22*0.00314)*'Технический лист'!$G$10)+365+((Q23*0.00314)*'Технический лист'!$G$5))*1.52</f>
        <v>5672.317649454545</v>
      </c>
      <c r="R24" s="16">
        <f>(((R22*0.00314)*'Технический лист'!$G$10)+365+((R23*0.00314)*'Технический лист'!$G$5))*1.52</f>
        <v>5835.722205506493</v>
      </c>
      <c r="S24" s="16">
        <f>(((S22*0.00314)*'Технический лист'!$G$10)+365+((S23*0.00314)*'Технический лист'!$G$5))*1.52</f>
        <v>5999.126761558441</v>
      </c>
    </row>
    <row r="25" spans="1:19" ht="15">
      <c r="A25" s="4" t="s">
        <v>3</v>
      </c>
      <c r="B25" s="9">
        <f>((B24/2)*1.07)-10</f>
        <v>1451.1040676779223</v>
      </c>
      <c r="C25" s="9">
        <f aca="true" t="shared" si="10" ref="C25:N25">((C24/2)*1.07)-10</f>
        <v>1538.5255051657145</v>
      </c>
      <c r="D25" s="9">
        <f t="shared" si="10"/>
        <v>1582.2362239096103</v>
      </c>
      <c r="E25" s="9">
        <f t="shared" si="10"/>
        <v>1625.9469426535065</v>
      </c>
      <c r="F25" s="9">
        <f t="shared" si="10"/>
        <v>1669.6576613974028</v>
      </c>
      <c r="G25" s="9">
        <f t="shared" si="10"/>
        <v>1713.3683801412985</v>
      </c>
      <c r="H25" s="9">
        <f t="shared" si="10"/>
        <v>1800.789817629091</v>
      </c>
      <c r="I25" s="9">
        <f t="shared" si="10"/>
        <v>1888.2112551168832</v>
      </c>
      <c r="J25" s="9">
        <f t="shared" si="10"/>
        <v>1975.6326926046752</v>
      </c>
      <c r="K25" s="9">
        <f t="shared" si="10"/>
        <v>2150.4755675802594</v>
      </c>
      <c r="L25" s="9">
        <f t="shared" si="10"/>
        <v>2325.3184425558443</v>
      </c>
      <c r="M25" s="9">
        <f t="shared" si="10"/>
        <v>2500.1613175314283</v>
      </c>
      <c r="N25" s="9">
        <f t="shared" si="10"/>
        <v>2762.425629994805</v>
      </c>
      <c r="O25" s="9">
        <f aca="true" t="shared" si="11" ref="O25:S25">((O24/2)*1.07)-10</f>
        <v>2849.8470674825976</v>
      </c>
      <c r="P25" s="9">
        <f t="shared" si="11"/>
        <v>2937.2685049703896</v>
      </c>
      <c r="Q25" s="9">
        <f t="shared" si="11"/>
        <v>3024.6899424581816</v>
      </c>
      <c r="R25" s="9">
        <f t="shared" si="11"/>
        <v>3112.111379945974</v>
      </c>
      <c r="S25" s="9">
        <f t="shared" si="11"/>
        <v>3199.532817433766</v>
      </c>
    </row>
    <row r="26" spans="1:19" ht="15">
      <c r="A26" s="4" t="s">
        <v>5</v>
      </c>
      <c r="B26" s="16">
        <f>((((B22*0.00314)*0.5)*'Технический лист'!$I$10)+310+(((B23*0.00314)*0.5)*'Технический лист'!$I$5))*1.58</f>
        <v>2159.1600394805196</v>
      </c>
      <c r="C26" s="16">
        <f>((((C22*0.00314)*0.5)*'Технический лист'!$I$10)+310+(((C23*0.00314)*0.5)*'Технический лист'!$I$5))*1.58</f>
        <v>2281.7925274285717</v>
      </c>
      <c r="D26" s="16">
        <f>((((D22*0.00314)*0.5)*'Технический лист'!$I$10)+310+(((D23*0.00314)*0.5)*'Технический лист'!$I$5))*1.58</f>
        <v>2343.1087714025975</v>
      </c>
      <c r="E26" s="16">
        <f>((((E22*0.00314)*0.5)*'Технический лист'!$I$10)+310+(((E23*0.00314)*0.5)*'Технический лист'!$I$5))*1.58</f>
        <v>2404.425015376624</v>
      </c>
      <c r="F26" s="16">
        <f>((((F22*0.00314)*0.5)*'Технический лист'!$I$10)+310+(((F23*0.00314)*0.5)*'Технический лист'!$I$5))*1.58</f>
        <v>2465.741259350649</v>
      </c>
      <c r="G26" s="16">
        <f>((((G22*0.00314)*0.5)*'Технический лист'!$I$10)+310+(((G23*0.00314)*0.5)*'Технический лист'!$I$5))*1.58</f>
        <v>2527.0575033246755</v>
      </c>
      <c r="H26" s="16">
        <f>((((H22*0.00314)*0.5)*'Технический лист'!$I$10)+310+(((H23*0.00314)*0.5)*'Технический лист'!$I$5))*1.58</f>
        <v>2649.689991272727</v>
      </c>
      <c r="I26" s="16">
        <f>((((I22*0.00314)*0.5)*'Технический лист'!$I$10)+310+(((I23*0.00314)*0.5)*'Технический лист'!$I$5))*1.58</f>
        <v>2772.322479220779</v>
      </c>
      <c r="J26" s="16">
        <f>((((J22*0.00314)*0.5)*'Технический лист'!$I$10)+310+(((J23*0.00314)*0.5)*'Технический лист'!$I$5))*1.58</f>
        <v>2894.954967168831</v>
      </c>
      <c r="K26" s="16">
        <f>((((K22*0.00314)*0.5)*'Технический лист'!$I$10)+310+(((K23*0.00314)*0.5)*'Технический лист'!$I$5))*1.58</f>
        <v>3140.2199430649353</v>
      </c>
      <c r="L26" s="16">
        <f>((((L22*0.00314)*0.5)*'Технический лист'!$I$10)+310+(((L23*0.00314)*0.5)*'Технический лист'!$I$5))*1.58</f>
        <v>3385.484918961039</v>
      </c>
      <c r="M26" s="16">
        <f>((((M22*0.00314)*0.5)*'Технический лист'!$I$10)+310+(((M23*0.00314)*0.5)*'Технический лист'!$I$5))*1.58</f>
        <v>3630.7498948571433</v>
      </c>
      <c r="N26" s="16">
        <f>((((N22*0.00314)*0.5)*'Технический лист'!$I$10)+310+(((N23*0.00314)*0.5)*'Технический лист'!$I$5))*1.58</f>
        <v>3998.647358701299</v>
      </c>
      <c r="O26" s="16">
        <f>((((O22*0.00314)*0.5)*'Технический лист'!$I$10)+310+(((O23*0.00314)*0.5)*'Технический лист'!$I$5))*1.58</f>
        <v>4121.279846649351</v>
      </c>
      <c r="P26" s="16">
        <f>((((P22*0.00314)*0.5)*'Технический лист'!$I$10)+310+(((P23*0.00314)*0.5)*'Технический лист'!$I$5))*1.58</f>
        <v>4243.912334597403</v>
      </c>
      <c r="Q26" s="16">
        <f>((((Q22*0.00314)*0.5)*'Технический лист'!$I$10)+310+(((Q23*0.00314)*0.5)*'Технический лист'!$I$5))*1.58</f>
        <v>4366.544822545455</v>
      </c>
      <c r="R26" s="16">
        <f>((((R22*0.00314)*0.5)*'Технический лист'!$I$10)+310+(((R23*0.00314)*0.5)*'Технический лист'!$I$5))*1.58</f>
        <v>4489.177310493506</v>
      </c>
      <c r="S26" s="16">
        <f>((((S22*0.00314)*0.5)*'Технический лист'!$I$10)+310+(((S23*0.00314)*0.5)*'Технический лист'!$I$5))*1.58</f>
        <v>4611.809798441558</v>
      </c>
    </row>
    <row r="27" spans="1:19" ht="15">
      <c r="A27" s="4" t="s">
        <v>96</v>
      </c>
      <c r="B27" s="9">
        <f>((B26*2)/3)-6</f>
        <v>1433.4400263203463</v>
      </c>
      <c r="C27" s="9">
        <f aca="true" t="shared" si="12" ref="C27:N27">((C26*2)/3)-6</f>
        <v>1515.1950182857145</v>
      </c>
      <c r="D27" s="9">
        <f t="shared" si="12"/>
        <v>1556.0725142683984</v>
      </c>
      <c r="E27" s="9">
        <f t="shared" si="12"/>
        <v>1596.9500102510826</v>
      </c>
      <c r="F27" s="9">
        <f t="shared" si="12"/>
        <v>1637.8275062337661</v>
      </c>
      <c r="G27" s="9">
        <f t="shared" si="12"/>
        <v>1678.7050022164503</v>
      </c>
      <c r="H27" s="9">
        <f t="shared" si="12"/>
        <v>1760.459994181818</v>
      </c>
      <c r="I27" s="9">
        <f t="shared" si="12"/>
        <v>1842.214986147186</v>
      </c>
      <c r="J27" s="9">
        <f t="shared" si="12"/>
        <v>1923.969978112554</v>
      </c>
      <c r="K27" s="9">
        <f t="shared" si="12"/>
        <v>2087.47996204329</v>
      </c>
      <c r="L27" s="9">
        <f t="shared" si="12"/>
        <v>2250.989945974026</v>
      </c>
      <c r="M27" s="9">
        <f t="shared" si="12"/>
        <v>2414.499929904762</v>
      </c>
      <c r="N27" s="9">
        <f t="shared" si="12"/>
        <v>2659.764905800866</v>
      </c>
      <c r="O27" s="9">
        <f aca="true" t="shared" si="13" ref="O27:S27">((O26*2)/3)-6</f>
        <v>2741.5198977662344</v>
      </c>
      <c r="P27" s="9">
        <f t="shared" si="13"/>
        <v>2823.274889731602</v>
      </c>
      <c r="Q27" s="9">
        <f t="shared" si="13"/>
        <v>2905.02988169697</v>
      </c>
      <c r="R27" s="9">
        <f t="shared" si="13"/>
        <v>2986.7848736623378</v>
      </c>
      <c r="S27" s="9">
        <f t="shared" si="13"/>
        <v>3068.5398656277052</v>
      </c>
    </row>
    <row r="28" spans="1:19" ht="15">
      <c r="A28" s="4" t="s">
        <v>6</v>
      </c>
      <c r="B28" s="16">
        <f>((((B22*0.00314)*0.22)*'Технический лист'!$M$10)+100+(((B23*0.00314)*0.21)*'Технический лист'!$O$5)+(((B22+30)*(B22+30)/1000000)*'Технический лист'!$E$20))*1.57</f>
        <v>1053.3817570285714</v>
      </c>
      <c r="C28" s="16">
        <f>((((C22*0.00314)*0.22)*'Технический лист'!$M$10)+100+(((C23*0.00314)*0.21)*'Технический лист'!$O$5)+(((C22+30)*(C22+30)/1000000)*'Технический лист'!$E$20))*1.57</f>
        <v>1128.4919314514286</v>
      </c>
      <c r="D28" s="16">
        <f>((((D22*0.00314)*0.22)*'Технический лист'!$M$10)+100+(((D23*0.00314)*0.21)*'Технический лист'!$O$5)+(((D22+30)*(D22+30)/1000000)*'Технический лист'!$E$20))*1.57</f>
        <v>1166.5180186628572</v>
      </c>
      <c r="E28" s="16">
        <f>((((E22*0.00314)*0.22)*'Технический лист'!$M$10)+100+(((E23*0.00314)*0.21)*'Технический лист'!$O$5)+(((E22+30)*(E22+30)/1000000)*'Технический лист'!$E$20))*1.57</f>
        <v>1204.8581058742857</v>
      </c>
      <c r="F28" s="16">
        <f>((((F22*0.00314)*0.22)*'Технический лист'!$M$10)+100+(((F23*0.00314)*0.21)*'Технический лист'!$O$5)+(((F22+30)*(F22+30)/1000000)*'Технический лист'!$E$20))*1.57</f>
        <v>1243.5121930857142</v>
      </c>
      <c r="G28" s="16">
        <f>((((G22*0.00314)*0.22)*'Технический лист'!$M$10)+100+(((G23*0.00314)*0.21)*'Технический лист'!$O$5)+(((G22+30)*(G22+30)/1000000)*'Технический лист'!$E$20))*1.57</f>
        <v>1282.4802802971428</v>
      </c>
      <c r="H28" s="16">
        <f>((((H22*0.00314)*0.22)*'Технический лист'!$M$10)+100+(((H23*0.00314)*0.21)*'Технический лист'!$O$5)+(((H22+30)*(H22+30)/1000000)*'Технический лист'!$E$20))*1.57</f>
        <v>1361.35845472</v>
      </c>
      <c r="I28" s="16">
        <f>((((I22*0.00314)*0.22)*'Технический лист'!$M$10)+100+(((I23*0.00314)*0.21)*'Технический лист'!$O$5)+(((I22+30)*(I22+30)/1000000)*'Технический лист'!$E$20))*1.57</f>
        <v>1441.4926291428571</v>
      </c>
      <c r="J28" s="16">
        <f>((((J22*0.00314)*0.22)*'Технический лист'!$M$10)+100+(((J23*0.00314)*0.21)*'Технический лист'!$O$5)+(((J22+30)*(J22+30)/1000000)*'Технический лист'!$E$20))*1.57</f>
        <v>1522.882803565714</v>
      </c>
      <c r="K28" s="16">
        <f>((((K22*0.00314)*0.22)*'Технический лист'!$M$10)+100+(((K23*0.00314)*0.21)*'Технический лист'!$O$5)+(((K22+30)*(K22+30)/1000000)*'Технический лист'!$E$20))*1.57</f>
        <v>1689.431152411429</v>
      </c>
      <c r="L28" s="16">
        <f>((((L22*0.00314)*0.22)*'Технический лист'!$M$10)+100+(((L23*0.00314)*0.21)*'Технический лист'!$O$5)+(((L22+30)*(L22+30)/1000000)*'Технический лист'!$E$20))*1.57</f>
        <v>1861.003501257143</v>
      </c>
      <c r="M28" s="16">
        <f>((((M22*0.00314)*0.22)*'Технический лист'!$M$10)+100+(((M23*0.00314)*0.21)*'Технический лист'!$O$5)+(((M22+30)*(M22+30)/1000000)*'Технический лист'!$E$20))*1.57</f>
        <v>2037.599850102857</v>
      </c>
      <c r="N28" s="16">
        <f>((((N22*0.00314)*0.22)*'Технический лист'!$M$10)+100+(((N23*0.00314)*0.21)*'Технический лист'!$O$5)+(((N22+30)*(N22+30)/1000000)*'Технический лист'!$E$20))*1.57</f>
        <v>2311.9143733714286</v>
      </c>
      <c r="O28" s="16">
        <f>((((O22*0.00314)*0.22)*'Технический лист'!$M$10)+100+(((O23*0.00314)*0.21)*'Технический лист'!$O$5)+(((O22+30)*(O22+30)/1000000)*'Технический лист'!$E$20))*1.57</f>
        <v>2405.864547794286</v>
      </c>
      <c r="P28" s="16">
        <f>((((P22*0.00314)*0.22)*'Технический лист'!$M$10)+100+(((P23*0.00314)*0.21)*'Технический лист'!$O$5)+(((P22+30)*(P22+30)/1000000)*'Технический лист'!$E$20))*1.57</f>
        <v>2501.0707222171427</v>
      </c>
      <c r="Q28" s="16">
        <f>((((Q22*0.00314)*0.22)*'Технический лист'!$M$10)+100+(((Q23*0.00314)*0.21)*'Технический лист'!$O$5)+(((Q22+30)*(Q22+30)/1000000)*'Технический лист'!$E$20))*1.57</f>
        <v>2597.53289664</v>
      </c>
      <c r="R28" s="16">
        <f>((((R22*0.00314)*0.22)*'Технический лист'!$M$10)+100+(((R23*0.00314)*0.21)*'Технический лист'!$O$5)+(((R22+30)*(R22+30)/1000000)*'Технический лист'!$E$20))*1.57</f>
        <v>2695.2510710628567</v>
      </c>
      <c r="S28" s="16">
        <f>((((S22*0.00314)*0.22)*'Технический лист'!$M$10)+100+(((S23*0.00314)*0.21)*'Технический лист'!$O$5)+(((S22+30)*(S22+30)/1000000)*'Технический лист'!$E$20))*1.57</f>
        <v>2794.2252454857144</v>
      </c>
    </row>
    <row r="29" spans="1:19" ht="15">
      <c r="A29" s="4" t="s">
        <v>7</v>
      </c>
      <c r="B29" s="9">
        <f>(B28*2.2)+24</f>
        <v>2341.439865462857</v>
      </c>
      <c r="C29" s="9">
        <f aca="true" t="shared" si="14" ref="C29:N29">(C28*2.2)+24</f>
        <v>2506.682249193143</v>
      </c>
      <c r="D29" s="9">
        <f t="shared" si="14"/>
        <v>2590.339641058286</v>
      </c>
      <c r="E29" s="9">
        <f t="shared" si="14"/>
        <v>2674.6878329234287</v>
      </c>
      <c r="F29" s="9">
        <f t="shared" si="14"/>
        <v>2759.7268247885713</v>
      </c>
      <c r="G29" s="9">
        <f t="shared" si="14"/>
        <v>2845.4566166537143</v>
      </c>
      <c r="H29" s="9">
        <f t="shared" si="14"/>
        <v>3018.988600384</v>
      </c>
      <c r="I29" s="9">
        <f t="shared" si="14"/>
        <v>3195.283784114286</v>
      </c>
      <c r="J29" s="9">
        <f t="shared" si="14"/>
        <v>3374.342167844571</v>
      </c>
      <c r="K29" s="9">
        <f t="shared" si="14"/>
        <v>3740.748535305144</v>
      </c>
      <c r="L29" s="9">
        <f t="shared" si="14"/>
        <v>4118.207702765714</v>
      </c>
      <c r="M29" s="9">
        <f t="shared" si="14"/>
        <v>4506.719670226286</v>
      </c>
      <c r="N29" s="9">
        <f t="shared" si="14"/>
        <v>5110.211621417144</v>
      </c>
      <c r="O29" s="9">
        <f aca="true" t="shared" si="15" ref="O29:S29">(O28*2.2)+24</f>
        <v>5316.90200514743</v>
      </c>
      <c r="P29" s="9">
        <f t="shared" si="15"/>
        <v>5526.355588877715</v>
      </c>
      <c r="Q29" s="9">
        <f t="shared" si="15"/>
        <v>5738.572372608001</v>
      </c>
      <c r="R29" s="9">
        <f t="shared" si="15"/>
        <v>5953.552356338285</v>
      </c>
      <c r="S29" s="9">
        <f t="shared" si="15"/>
        <v>6171.295540068572</v>
      </c>
    </row>
    <row r="30" spans="1:19" ht="15">
      <c r="A30" s="4" t="s">
        <v>8</v>
      </c>
      <c r="B30" s="16">
        <f>((((B22*0.00314)*0.2)*'Технический лист'!$M$10)+50+(((B23*0.00314)*0.22)*'Технический лист'!$O$5))*1.58</f>
        <v>860.1768925922079</v>
      </c>
      <c r="C30" s="16">
        <f>((((C22*0.00314)*0.2)*'Технический лист'!$M$10)+50+(((C23*0.00314)*0.22)*'Технический лист'!$O$5))*1.58</f>
        <v>916.2906676114285</v>
      </c>
      <c r="D30" s="16">
        <f>((((D22*0.00314)*0.2)*'Технический лист'!$M$10)+50+(((D23*0.00314)*0.22)*'Технический лист'!$O$5))*1.58</f>
        <v>944.3475551210389</v>
      </c>
      <c r="E30" s="16">
        <f>((((E22*0.00314)*0.2)*'Технический лист'!$M$10)+50+(((E23*0.00314)*0.22)*'Технический лист'!$O$5))*1.58</f>
        <v>972.4044426306494</v>
      </c>
      <c r="F30" s="16">
        <f>((((F22*0.00314)*0.2)*'Технический лист'!$M$10)+50+(((F23*0.00314)*0.22)*'Технический лист'!$O$5))*1.58</f>
        <v>1000.4613301402599</v>
      </c>
      <c r="G30" s="16">
        <f>((((G22*0.00314)*0.2)*'Технический лист'!$M$10)+50+(((G23*0.00314)*0.22)*'Технический лист'!$O$5))*1.58</f>
        <v>1028.5182176498702</v>
      </c>
      <c r="H30" s="16">
        <f>((((H22*0.00314)*0.2)*'Технический лист'!$M$10)+50+(((H23*0.00314)*0.22)*'Технический лист'!$O$5))*1.58</f>
        <v>1084.631992669091</v>
      </c>
      <c r="I30" s="16">
        <f>((((I22*0.00314)*0.2)*'Технический лист'!$M$10)+50+(((I23*0.00314)*0.22)*'Технический лист'!$O$5))*1.58</f>
        <v>1140.7457676883118</v>
      </c>
      <c r="J30" s="16">
        <f>((((J22*0.00314)*0.2)*'Технический лист'!$M$10)+50+(((J23*0.00314)*0.22)*'Технический лист'!$O$5))*1.58</f>
        <v>1196.8595427075325</v>
      </c>
      <c r="K30" s="16">
        <f>((((K22*0.00314)*0.2)*'Технический лист'!$M$10)+50+(((K23*0.00314)*0.22)*'Технический лист'!$O$5))*1.58</f>
        <v>1309.0870927459741</v>
      </c>
      <c r="L30" s="16">
        <f>((((L22*0.00314)*0.2)*'Технический лист'!$M$10)+50+(((L23*0.00314)*0.22)*'Технический лист'!$O$5))*1.58</f>
        <v>1421.3146427844158</v>
      </c>
      <c r="M30" s="16">
        <f>((((M22*0.00314)*0.2)*'Технический лист'!$M$10)+50+(((M23*0.00314)*0.22)*'Технический лист'!$O$5))*1.58</f>
        <v>1533.542192822857</v>
      </c>
      <c r="N30" s="16">
        <f>((((N22*0.00314)*0.2)*'Технический лист'!$M$10)+50+(((N23*0.00314)*0.22)*'Технический лист'!$O$5))*1.58</f>
        <v>1701.8835178805195</v>
      </c>
      <c r="O30" s="16">
        <f>((((O22*0.00314)*0.2)*'Технический лист'!$M$10)+50+(((O23*0.00314)*0.22)*'Технический лист'!$O$5))*1.58</f>
        <v>1757.9972928997406</v>
      </c>
      <c r="P30" s="16">
        <f>((((P22*0.00314)*0.2)*'Технический лист'!$M$10)+50+(((P23*0.00314)*0.22)*'Технический лист'!$O$5))*1.58</f>
        <v>1814.111067918961</v>
      </c>
      <c r="Q30" s="16">
        <f>((((Q22*0.00314)*0.2)*'Технический лист'!$M$10)+50+(((Q23*0.00314)*0.22)*'Технический лист'!$O$5))*1.58</f>
        <v>1870.2248429381816</v>
      </c>
      <c r="R30" s="16">
        <f>((((R22*0.00314)*0.2)*'Технический лист'!$M$10)+50+(((R23*0.00314)*0.22)*'Технический лист'!$O$5))*1.58</f>
        <v>1926.3386179574027</v>
      </c>
      <c r="S30" s="16">
        <f>((((S22*0.00314)*0.2)*'Технический лист'!$M$10)+50+(((S23*0.00314)*0.22)*'Технический лист'!$O$5))*1.58</f>
        <v>1982.4523929766235</v>
      </c>
    </row>
    <row r="31" spans="1:19" ht="15">
      <c r="A31" s="4" t="s">
        <v>99</v>
      </c>
      <c r="B31" s="16">
        <v>4507</v>
      </c>
      <c r="C31" s="16">
        <v>4830</v>
      </c>
      <c r="D31" s="16">
        <v>4995</v>
      </c>
      <c r="E31" s="16">
        <v>5160</v>
      </c>
      <c r="F31" s="16">
        <v>5325</v>
      </c>
      <c r="G31" s="16">
        <v>5490</v>
      </c>
      <c r="H31" s="16">
        <v>5835</v>
      </c>
      <c r="I31" s="16">
        <v>6187</v>
      </c>
      <c r="J31" s="16">
        <v>6547</v>
      </c>
      <c r="K31" s="16">
        <v>7290</v>
      </c>
      <c r="L31" s="16">
        <v>8070</v>
      </c>
      <c r="M31" s="16">
        <v>8873</v>
      </c>
      <c r="N31" s="16">
        <v>10147</v>
      </c>
      <c r="O31" s="16">
        <v>10590</v>
      </c>
      <c r="P31" s="16">
        <v>11040</v>
      </c>
      <c r="Q31" s="16">
        <v>11497</v>
      </c>
      <c r="R31" s="16">
        <v>11955</v>
      </c>
      <c r="S31" s="16">
        <v>12435</v>
      </c>
    </row>
    <row r="32" spans="1:19" ht="15">
      <c r="A32" s="4" t="s">
        <v>102</v>
      </c>
      <c r="B32" s="16">
        <v>4507</v>
      </c>
      <c r="C32" s="16">
        <v>4830</v>
      </c>
      <c r="D32" s="16">
        <v>4995</v>
      </c>
      <c r="E32" s="16">
        <v>5160</v>
      </c>
      <c r="F32" s="16">
        <v>5325</v>
      </c>
      <c r="G32" s="16">
        <v>5490</v>
      </c>
      <c r="H32" s="16">
        <v>5835</v>
      </c>
      <c r="I32" s="16">
        <v>6187</v>
      </c>
      <c r="J32" s="16">
        <v>6547</v>
      </c>
      <c r="K32" s="16">
        <v>7290</v>
      </c>
      <c r="L32" s="16">
        <v>8070</v>
      </c>
      <c r="M32" s="16">
        <v>8873</v>
      </c>
      <c r="N32" s="16">
        <v>10147</v>
      </c>
      <c r="O32" s="16">
        <v>10590</v>
      </c>
      <c r="P32" s="16">
        <v>11040</v>
      </c>
      <c r="Q32" s="16">
        <v>11497</v>
      </c>
      <c r="R32" s="16">
        <v>11955</v>
      </c>
      <c r="S32" s="16">
        <v>12435</v>
      </c>
    </row>
    <row r="33" spans="1:19" ht="15">
      <c r="A33" s="4" t="s">
        <v>9</v>
      </c>
      <c r="B33" s="9">
        <f>((((B22*0.00314)*((B22+545)/1000))*'Технический лист'!$K$10)+370+((B23*0.00314)*((B23+450)/1000))*'Технический лист'!$K$5)*1.65</f>
        <v>3006.5789378571426</v>
      </c>
      <c r="C33" s="9">
        <f>((((C22*0.00314)*((C22+545)/1000))*'Технический лист'!$K$10)+370+((C23*0.00314)*((C23+450)/1000))*'Технический лист'!$K$5)*1.65</f>
        <v>3219.649897671429</v>
      </c>
      <c r="D33" s="9">
        <f>((((D22*0.00314)*((D22+545)/1000))*'Технический лист'!$K$10)+370+((D23*0.00314)*((D23+450)/1000))*'Технический лист'!$K$5)*1.65</f>
        <v>3328.195733421428</v>
      </c>
      <c r="E33" s="9">
        <f>((((E22*0.00314)*((E22+545)/1000))*'Технический лист'!$K$10)+370+((E23*0.00314)*((E23+450)/1000))*'Технический лист'!$K$5)*1.65</f>
        <v>3438.0818064</v>
      </c>
      <c r="F33" s="9">
        <f>((((F22*0.00314)*((F22+545)/1000))*'Технический лист'!$K$10)+370+((F23*0.00314)*((F23+450)/1000))*'Технический лист'!$K$5)*1.65</f>
        <v>3549.3081166071424</v>
      </c>
      <c r="G33" s="9">
        <f>((((G22*0.00314)*((G22+545)/1000))*'Технический лист'!$K$10)+370+((G23*0.00314)*((G23+450)/1000))*'Технический лист'!$K$5)*1.65</f>
        <v>3661.874664042857</v>
      </c>
      <c r="H33" s="9">
        <f>((((H22*0.00314)*((H22+545)/1000))*'Технический лист'!$K$10)+370+((H23*0.00314)*((H23+450)/1000))*'Технический лист'!$K$5)*1.65</f>
        <v>3891.0284706</v>
      </c>
      <c r="I33" s="9">
        <f>((((I22*0.00314)*((I22+545)/1000))*'Технический лист'!$K$10)+370+((I23*0.00314)*((I23+450)/1000))*'Технический лист'!$K$5)*1.65</f>
        <v>4125.543226071428</v>
      </c>
      <c r="J33" s="9">
        <f>((((J22*0.00314)*((J22+545)/1000))*'Технический лист'!$K$10)+370+((J23*0.00314)*((J23+450)/1000))*'Технический лист'!$K$5)*1.65</f>
        <v>4365.418930457142</v>
      </c>
      <c r="K33" s="9">
        <f>((((K22*0.00314)*((K22+545)/1000))*'Технический лист'!$K$10)+370+((K23*0.00314)*((K23+450)/1000))*'Технический лист'!$K$5)*1.65</f>
        <v>4861.253185971429</v>
      </c>
      <c r="L33" s="9">
        <f>((((L22*0.00314)*((L22+545)/1000))*'Технический лист'!$K$10)+370+((L23*0.00314)*((L23+450)/1000))*'Технический лист'!$K$5)*1.65</f>
        <v>5378.531237142857</v>
      </c>
      <c r="M33" s="9">
        <f>((((M22*0.00314)*((M22+545)/1000))*'Технический лист'!$K$10)+370+((M23*0.00314)*((M23+450)/1000))*'Технический лист'!$K$5)*1.65</f>
        <v>5917.253083971427</v>
      </c>
      <c r="N33" s="9">
        <f>((((N22*0.00314)*((N22+545)/1000))*'Технический лист'!$K$10)+370+((N23*0.00314)*((N23+450)/1000))*'Технический лист'!$K$5)*1.65</f>
        <v>6765.542971071428</v>
      </c>
      <c r="O33" s="9">
        <f>((((O22*0.00314)*((O22+545)/1000))*'Технический лист'!$K$10)+370+((O23*0.00314)*((O23+450)/1000))*'Технический лист'!$K$5)*1.65</f>
        <v>7059.0281646</v>
      </c>
      <c r="P33" s="9">
        <f>((((P22*0.00314)*((P22+545)/1000))*'Технический лист'!$K$10)+370+((P23*0.00314)*((P23+450)/1000))*'Технический лист'!$K$5)*1.65</f>
        <v>7357.874307042855</v>
      </c>
      <c r="Q33" s="9">
        <f>((((Q22*0.00314)*((Q22+545)/1000))*'Технический лист'!$K$10)+370+((Q23*0.00314)*((Q23+450)/1000))*'Технический лист'!$K$5)*1.65</f>
        <v>7662.081398399999</v>
      </c>
      <c r="R33" s="9">
        <f>((((R22*0.00314)*((R22+545)/1000))*'Технический лист'!$K$10)+370+((R23*0.00314)*((R23+450)/1000))*'Технический лист'!$K$5)*1.65</f>
        <v>7971.649438671428</v>
      </c>
      <c r="S33" s="9">
        <f>((((S22*0.00314)*((S22+545)/1000))*'Технический лист'!$K$10)+370+((S23*0.00314)*((S23+450)/1000))*'Технический лист'!$K$5)*1.65</f>
        <v>8286.578427857143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A1" sqref="A1:P36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((B6*0.00314)*'Технический лист'!$G$11)+310+((B7*0.00314)*'Технический лист'!$G$11)*3.1</f>
        <v>1006.2918599999999</v>
      </c>
      <c r="C8" s="16">
        <f>((C6*0.00314)*'Технический лист'!$G$11)+310+((C7*0.00314)*'Технический лист'!$G$11)*3.1</f>
        <v>1051.8229066666665</v>
      </c>
      <c r="D8" s="16">
        <f>((D6*0.00314)*'Технический лист'!$G$11)+310+((D7*0.00314)*'Технический лист'!$G$11)*3.1</f>
        <v>1074.5884299999998</v>
      </c>
      <c r="E8" s="16">
        <f>((E6*0.00314)*'Технический лист'!$G$11)+310+((E7*0.00314)*'Технический лист'!$G$11)*3.1</f>
        <v>1097.3539533333333</v>
      </c>
      <c r="F8" s="16">
        <f>((F6*0.00314)*'Технический лист'!$G$11)+310+((F7*0.00314)*'Технический лист'!$G$11)*3.1</f>
        <v>1120.1194766666665</v>
      </c>
      <c r="G8" s="16">
        <f>((G6*0.00314)*'Технический лист'!$G$11)+310+((G7*0.00314)*'Технический лист'!$G$11)*3.1</f>
        <v>1142.8849999999998</v>
      </c>
      <c r="H8" s="16">
        <f>((H6*0.00314)*'Технический лист'!$G$11)+310+((H7*0.00314)*'Технический лист'!$G$11)*3.1</f>
        <v>1188.4160466666667</v>
      </c>
      <c r="I8" s="16">
        <f>((I6*0.00314)*'Технический лист'!$G$11)+310+((I7*0.00314)*'Технический лист'!$G$11)*3.1</f>
        <v>1233.9470933333332</v>
      </c>
      <c r="J8" s="16">
        <f>((J6*0.00314)*'Технический лист'!$G$11)+310+((J7*0.00314)*'Технический лист'!$G$11)*3.1</f>
        <v>1279.47814</v>
      </c>
      <c r="K8" s="16">
        <f>((K6*0.00314)*'Технический лист'!$G$11)+310+((K7*0.00314)*'Технический лист'!$G$11)*3.1</f>
        <v>1370.5402333333332</v>
      </c>
      <c r="L8" s="16">
        <f>((L6*0.00314)*'Технический лист'!$G$11)+310+((L7*0.00314)*'Технический лист'!$G$11)*3.1</f>
        <v>1461.6023266666666</v>
      </c>
      <c r="M8" s="16">
        <f>((M6*0.00314)*'Технический лист'!$G$11)+310+((M7*0.00314)*'Технический лист'!$G$11)*3.1</f>
        <v>1552.6644199999998</v>
      </c>
      <c r="N8" s="16">
        <f>((N6*0.00314)*'Технический лист'!$G$11)+310+((N7*0.00314)*'Технический лист'!$G$11)*3.1</f>
        <v>1689.2575599999998</v>
      </c>
      <c r="O8" s="16">
        <f>((O6*0.00314)*'Технический лист'!$G$11)+310+((O7*0.00314)*'Технический лист'!$G$11)*3.1</f>
        <v>1734.7886066666665</v>
      </c>
      <c r="P8" s="16">
        <f>((P6*0.00314)*'Технический лист'!$G$11)+310+((P7*0.00314)*'Технический лист'!$G$11)*3.1</f>
        <v>1780.3196533333332</v>
      </c>
      <c r="Q8" s="16">
        <f>((Q6*0.00314)*'Технический лист'!$G$11)+310+((Q7*0.00314)*'Технический лист'!$G$11)*3.1</f>
        <v>1825.8506999999997</v>
      </c>
      <c r="R8" s="16">
        <f>((R6*0.00314)*'Технический лист'!$G$11)+310+((R7*0.00314)*'Технический лист'!$G$11)*3.1</f>
        <v>1871.3817466666665</v>
      </c>
      <c r="S8" s="16">
        <f>((S6*0.00314)*'Технический лист'!$G$11)+310+((S7*0.00314)*'Технический лист'!$G$11)*3.1</f>
        <v>1916.9127933333332</v>
      </c>
    </row>
    <row r="9" spans="1:19" ht="15">
      <c r="A9" s="4" t="s">
        <v>3</v>
      </c>
      <c r="B9" s="9">
        <f>(B8/2)*1.07</f>
        <v>538.3661451</v>
      </c>
      <c r="C9" s="9">
        <f aca="true" t="shared" si="2" ref="C9:N9">(C8/2)*1.07</f>
        <v>562.7252550666666</v>
      </c>
      <c r="D9" s="9">
        <f t="shared" si="2"/>
        <v>574.9048100499999</v>
      </c>
      <c r="E9" s="9">
        <f t="shared" si="2"/>
        <v>587.0843650333334</v>
      </c>
      <c r="F9" s="9">
        <f t="shared" si="2"/>
        <v>599.2639200166666</v>
      </c>
      <c r="G9" s="9">
        <f t="shared" si="2"/>
        <v>611.4434749999999</v>
      </c>
      <c r="H9" s="9">
        <f t="shared" si="2"/>
        <v>635.8025849666667</v>
      </c>
      <c r="I9" s="9">
        <f t="shared" si="2"/>
        <v>660.1616949333333</v>
      </c>
      <c r="J9" s="9">
        <f t="shared" si="2"/>
        <v>684.5208049</v>
      </c>
      <c r="K9" s="9">
        <f t="shared" si="2"/>
        <v>733.2390248333332</v>
      </c>
      <c r="L9" s="9">
        <f t="shared" si="2"/>
        <v>781.9572447666667</v>
      </c>
      <c r="M9" s="9">
        <f t="shared" si="2"/>
        <v>830.6754646999999</v>
      </c>
      <c r="N9" s="9">
        <f t="shared" si="2"/>
        <v>903.7527945999999</v>
      </c>
      <c r="O9" s="9">
        <f aca="true" t="shared" si="3" ref="O9:S9">(O8/2)*1.07</f>
        <v>928.1119045666667</v>
      </c>
      <c r="P9" s="9">
        <f t="shared" si="3"/>
        <v>952.4710145333333</v>
      </c>
      <c r="Q9" s="9">
        <f t="shared" si="3"/>
        <v>976.8301244999999</v>
      </c>
      <c r="R9" s="9">
        <f t="shared" si="3"/>
        <v>1001.1892344666666</v>
      </c>
      <c r="S9" s="9">
        <f t="shared" si="3"/>
        <v>1025.5483444333333</v>
      </c>
    </row>
    <row r="10" spans="1:19" ht="15">
      <c r="A10" s="4" t="s">
        <v>5</v>
      </c>
      <c r="B10" s="16">
        <f>(((B6*0.00314)*0.5)*'Технический лист'!$I$11)+310+(((B7*0.00314)*0.5)*'Технический лист'!$I$11)*3.1</f>
        <v>978.07268</v>
      </c>
      <c r="C10" s="16">
        <f>(((C6*0.00314)*0.5)*'Технический лист'!$I$11)+310+(((C7*0.00314)*0.5)*'Технический лист'!$I$11)*3.1</f>
        <v>1021.7584533333334</v>
      </c>
      <c r="D10" s="16">
        <f>(((D6*0.00314)*0.5)*'Технический лист'!$I$11)+310+(((D7*0.00314)*0.5)*'Технический лист'!$I$11)*3.1</f>
        <v>1043.60134</v>
      </c>
      <c r="E10" s="16">
        <f>(((E6*0.00314)*0.5)*'Технический лист'!$I$11)+310+(((E7*0.00314)*0.5)*'Технический лист'!$I$11)*3.1</f>
        <v>1065.4442266666667</v>
      </c>
      <c r="F10" s="16">
        <f>(((F6*0.00314)*0.5)*'Технический лист'!$I$11)+310+(((F7*0.00314)*0.5)*'Технический лист'!$I$11)*3.1</f>
        <v>1087.2871133333333</v>
      </c>
      <c r="G10" s="16">
        <f>(((G6*0.00314)*0.5)*'Технический лист'!$I$11)+310+(((G7*0.00314)*0.5)*'Технический лист'!$I$11)*3.1</f>
        <v>1109.1299999999999</v>
      </c>
      <c r="H10" s="16">
        <f>(((H6*0.00314)*0.5)*'Технический лист'!$I$11)+310+(((H7*0.00314)*0.5)*'Технический лист'!$I$11)*3.1</f>
        <v>1152.8157733333333</v>
      </c>
      <c r="I10" s="16">
        <f>(((I6*0.00314)*0.5)*'Технический лист'!$I$11)+310+(((I7*0.00314)*0.5)*'Технический лист'!$I$11)*3.1</f>
        <v>1196.5015466666666</v>
      </c>
      <c r="J10" s="16">
        <f>(((J6*0.00314)*0.5)*'Технический лист'!$I$11)+310+(((J7*0.00314)*0.5)*'Технический лист'!$I$11)*3.1</f>
        <v>1240.18732</v>
      </c>
      <c r="K10" s="16">
        <f>(((K6*0.00314)*0.5)*'Технический лист'!$I$11)+310+(((K7*0.00314)*0.5)*'Технический лист'!$I$11)*3.1</f>
        <v>1327.5588666666667</v>
      </c>
      <c r="L10" s="16">
        <f>(((L6*0.00314)*0.5)*'Технический лист'!$I$11)+310+(((L7*0.00314)*0.5)*'Технический лист'!$I$11)*3.1</f>
        <v>1414.9304133333335</v>
      </c>
      <c r="M10" s="16">
        <f>(((M6*0.00314)*0.5)*'Технический лист'!$I$11)+310+(((M7*0.00314)*0.5)*'Технический лист'!$I$11)*3.1</f>
        <v>1502.3019599999998</v>
      </c>
      <c r="N10" s="16">
        <f>(((N6*0.00314)*0.5)*'Технический лист'!$I$11)+310+(((N7*0.00314)*0.5)*'Технический лист'!$I$11)*3.1</f>
        <v>1633.3592799999997</v>
      </c>
      <c r="O10" s="16">
        <f>(((O6*0.00314)*0.5)*'Технический лист'!$I$11)+310+(((O7*0.00314)*0.5)*'Технический лист'!$I$11)*3.1</f>
        <v>1677.0450533333333</v>
      </c>
      <c r="P10" s="16">
        <f>(((P6*0.00314)*0.5)*'Технический лист'!$I$11)+310+(((P7*0.00314)*0.5)*'Технический лист'!$I$11)*3.1</f>
        <v>1720.7308266666666</v>
      </c>
      <c r="Q10" s="16">
        <f>(((Q6*0.00314)*0.5)*'Технический лист'!$I$11)+310+(((Q7*0.00314)*0.5)*'Технический лист'!$I$11)*3.1</f>
        <v>1764.4166</v>
      </c>
      <c r="R10" s="16">
        <f>(((R6*0.00314)*0.5)*'Технический лист'!$I$11)+310+(((R7*0.00314)*0.5)*'Технический лист'!$I$11)*3.1</f>
        <v>1808.1023733333334</v>
      </c>
      <c r="S10" s="16">
        <f>(((S6*0.00314)*0.5)*'Технический лист'!$I$11)+310+(((S7*0.00314)*0.5)*'Технический лист'!$I$11)*3.1</f>
        <v>1851.7881466666668</v>
      </c>
    </row>
    <row r="11" spans="1:19" ht="15">
      <c r="A11" s="4" t="s">
        <v>96</v>
      </c>
      <c r="B11" s="9">
        <f>(B10*2)/3</f>
        <v>652.0484533333333</v>
      </c>
      <c r="C11" s="9">
        <f aca="true" t="shared" si="4" ref="C11:N11">(C10*2)/3</f>
        <v>681.1723022222222</v>
      </c>
      <c r="D11" s="9">
        <f t="shared" si="4"/>
        <v>695.7342266666666</v>
      </c>
      <c r="E11" s="9">
        <f t="shared" si="4"/>
        <v>710.2961511111112</v>
      </c>
      <c r="F11" s="9">
        <f t="shared" si="4"/>
        <v>724.8580755555555</v>
      </c>
      <c r="G11" s="9">
        <f t="shared" si="4"/>
        <v>739.42</v>
      </c>
      <c r="H11" s="9">
        <f t="shared" si="4"/>
        <v>768.5438488888889</v>
      </c>
      <c r="I11" s="9">
        <f t="shared" si="4"/>
        <v>797.6676977777778</v>
      </c>
      <c r="J11" s="9">
        <f t="shared" si="4"/>
        <v>826.7915466666667</v>
      </c>
      <c r="K11" s="9">
        <f t="shared" si="4"/>
        <v>885.0392444444445</v>
      </c>
      <c r="L11" s="9">
        <f t="shared" si="4"/>
        <v>943.2869422222224</v>
      </c>
      <c r="M11" s="9">
        <f t="shared" si="4"/>
        <v>1001.5346399999999</v>
      </c>
      <c r="N11" s="9">
        <f t="shared" si="4"/>
        <v>1088.9061866666664</v>
      </c>
      <c r="O11" s="9">
        <f aca="true" t="shared" si="5" ref="O11:S11">(O10*2)/3</f>
        <v>1118.0300355555555</v>
      </c>
      <c r="P11" s="9">
        <f t="shared" si="5"/>
        <v>1147.1538844444444</v>
      </c>
      <c r="Q11" s="9">
        <f t="shared" si="5"/>
        <v>1176.2777333333333</v>
      </c>
      <c r="R11" s="9">
        <f t="shared" si="5"/>
        <v>1205.4015822222223</v>
      </c>
      <c r="S11" s="9">
        <f t="shared" si="5"/>
        <v>1234.5254311111112</v>
      </c>
    </row>
    <row r="12" spans="1:19" ht="15">
      <c r="A12" s="4" t="s">
        <v>6</v>
      </c>
      <c r="B12" s="16">
        <f>(((B6*0.00314)*0.22)*'Технический лист'!$M$11)+100+(((B7*0.00314)*0.21)*'Технический лист'!$O$11)+(((B6+30)*(B6+30)/1000000)*'Технический лист'!$E$19)*4.6</f>
        <v>531.2286693333333</v>
      </c>
      <c r="C12" s="16">
        <f>(((C6*0.00314)*0.22)*'Технический лист'!$M$11)+100+(((C7*0.00314)*0.21)*'Технический лист'!$O$11)+(((C6+30)*(C6+30)/1000000)*'Технический лист'!$E$19)*4.6</f>
        <v>580.9876266666666</v>
      </c>
      <c r="D12" s="16">
        <f>(((D6*0.00314)*0.22)*'Технический лист'!$M$11)+100+(((D7*0.00314)*0.21)*'Технический лист'!$O$11)+(((D6+30)*(D6+30)/1000000)*'Технический лист'!$E$19)*4.6</f>
        <v>606.7296053333332</v>
      </c>
      <c r="E12" s="16">
        <f>(((E6*0.00314)*0.22)*'Технический лист'!$M$11)+100+(((E7*0.00314)*0.21)*'Технический лист'!$O$11)+(((E6+30)*(E6+30)/1000000)*'Технический лист'!$E$19)*4.6</f>
        <v>633.046584</v>
      </c>
      <c r="F12" s="16">
        <f>(((F6*0.00314)*0.22)*'Технический лист'!$M$11)+100+(((F7*0.00314)*0.21)*'Технический лист'!$O$11)+(((F6+30)*(F6+30)/1000000)*'Технический лист'!$E$19)*4.6</f>
        <v>659.9385626666667</v>
      </c>
      <c r="G12" s="16">
        <f>(((G6*0.00314)*0.22)*'Технический лист'!$M$11)+100+(((G7*0.00314)*0.21)*'Технический лист'!$O$11)+(((G6+30)*(G6+30)/1000000)*'Технический лист'!$E$19)*4.6</f>
        <v>687.4055413333333</v>
      </c>
      <c r="H12" s="16">
        <f>(((H6*0.00314)*0.22)*'Технический лист'!$M$11)+100+(((H7*0.00314)*0.21)*'Технический лист'!$O$11)+(((H6+30)*(H6+30)/1000000)*'Технический лист'!$E$19)*4.6</f>
        <v>744.0644986666666</v>
      </c>
      <c r="I12" s="16">
        <f>(((I6*0.00314)*0.22)*'Технический лист'!$M$11)+100+(((I7*0.00314)*0.21)*'Технический лист'!$O$11)+(((I6+30)*(I6+30)/1000000)*'Технический лист'!$E$19)*4.6</f>
        <v>803.0234559999999</v>
      </c>
      <c r="J12" s="16">
        <f>(((J6*0.00314)*0.22)*'Технический лист'!$M$11)+100+(((J7*0.00314)*0.21)*'Технический лист'!$O$11)+(((J6+30)*(J6+30)/1000000)*'Технический лист'!$E$19)*4.6</f>
        <v>864.2824133333334</v>
      </c>
      <c r="K12" s="16">
        <f>(((K6*0.00314)*0.22)*'Технический лист'!$M$11)+100+(((K7*0.00314)*0.21)*'Технический лист'!$O$11)+(((K6+30)*(K6+30)/1000000)*'Технический лист'!$E$19)*4.6</f>
        <v>993.700328</v>
      </c>
      <c r="L12" s="16">
        <f>(((L6*0.00314)*0.22)*'Технический лист'!$M$11)+100+(((L7*0.00314)*0.21)*'Технический лист'!$O$11)+(((L6+30)*(L6+30)/1000000)*'Технический лист'!$E$19)*4.6</f>
        <v>1132.3182426666667</v>
      </c>
      <c r="M12" s="16">
        <f>(((M6*0.00314)*0.22)*'Технический лист'!$M$11)+100+(((M7*0.00314)*0.21)*'Технический лист'!$O$11)+(((M6+30)*(M6+30)/1000000)*'Технический лист'!$E$19)*4.6</f>
        <v>1280.1361573333334</v>
      </c>
      <c r="N12" s="16">
        <f>(((N6*0.00314)*0.22)*'Технический лист'!$M$11)+100+(((N7*0.00314)*0.21)*'Технический лист'!$O$11)+(((N6+30)*(N6+30)/1000000)*'Технический лист'!$E$19)*4.6</f>
        <v>1519.1130293333333</v>
      </c>
      <c r="O12" s="16">
        <f>(((O6*0.00314)*0.22)*'Технический лист'!$M$11)+100+(((O7*0.00314)*0.21)*'Технический лист'!$O$11)+(((O6+30)*(O6+30)/1000000)*'Технический лист'!$E$19)*4.6</f>
        <v>1603.3719866666665</v>
      </c>
      <c r="P12" s="16">
        <f>(((P6*0.00314)*0.22)*'Технический лист'!$M$11)+100+(((P7*0.00314)*0.21)*'Технический лист'!$O$11)+(((P6+30)*(P6+30)/1000000)*'Технический лист'!$E$19)*4.6</f>
        <v>1689.930944</v>
      </c>
      <c r="Q12" s="16">
        <f>(((Q6*0.00314)*0.22)*'Технический лист'!$M$11)+100+(((Q7*0.00314)*0.21)*'Технический лист'!$O$11)+(((Q6+30)*(Q6+30)/1000000)*'Технический лист'!$E$19)*4.6</f>
        <v>1778.789901333333</v>
      </c>
      <c r="R12" s="16">
        <f>(((R6*0.00314)*0.22)*'Технический лист'!$M$11)+100+(((R7*0.00314)*0.21)*'Технический лист'!$O$11)+(((R6+30)*(R6+30)/1000000)*'Технический лист'!$E$19)*4.6</f>
        <v>1869.9488586666666</v>
      </c>
      <c r="S12" s="16">
        <f>(((S6*0.00314)*0.22)*'Технический лист'!$M$11)+100+(((S7*0.00314)*0.21)*'Технический лист'!$O$11)+(((S6+30)*(S6+30)/1000000)*'Технический лист'!$E$19)*4.6</f>
        <v>1963.407816</v>
      </c>
    </row>
    <row r="13" spans="1:19" ht="15">
      <c r="A13" s="4" t="s">
        <v>7</v>
      </c>
      <c r="B13" s="9">
        <f>B12*1.8</f>
        <v>956.2116047999999</v>
      </c>
      <c r="C13" s="9">
        <f aca="true" t="shared" si="6" ref="C13:N13">C12*1.8</f>
        <v>1045.777728</v>
      </c>
      <c r="D13" s="9">
        <f t="shared" si="6"/>
        <v>1092.1132896</v>
      </c>
      <c r="E13" s="9">
        <f t="shared" si="6"/>
        <v>1139.4838512000001</v>
      </c>
      <c r="F13" s="9">
        <f t="shared" si="6"/>
        <v>1187.8894128000002</v>
      </c>
      <c r="G13" s="9">
        <f t="shared" si="6"/>
        <v>1237.3299744</v>
      </c>
      <c r="H13" s="9">
        <f t="shared" si="6"/>
        <v>1339.3160976</v>
      </c>
      <c r="I13" s="9">
        <f t="shared" si="6"/>
        <v>1445.4422207999999</v>
      </c>
      <c r="J13" s="9">
        <f t="shared" si="6"/>
        <v>1555.7083440000001</v>
      </c>
      <c r="K13" s="9">
        <f t="shared" si="6"/>
        <v>1788.6605904</v>
      </c>
      <c r="L13" s="9">
        <f t="shared" si="6"/>
        <v>2038.1728368000001</v>
      </c>
      <c r="M13" s="9">
        <f t="shared" si="6"/>
        <v>2304.2450832</v>
      </c>
      <c r="N13" s="9">
        <f t="shared" si="6"/>
        <v>2734.4034528</v>
      </c>
      <c r="O13" s="9">
        <f aca="true" t="shared" si="7" ref="O13:S13">O12*1.8</f>
        <v>2886.069576</v>
      </c>
      <c r="P13" s="9">
        <f t="shared" si="7"/>
        <v>3041.8756992</v>
      </c>
      <c r="Q13" s="9">
        <f t="shared" si="7"/>
        <v>3201.8218223999997</v>
      </c>
      <c r="R13" s="9">
        <f t="shared" si="7"/>
        <v>3365.9079456</v>
      </c>
      <c r="S13" s="9">
        <f t="shared" si="7"/>
        <v>3534.1340688</v>
      </c>
    </row>
    <row r="14" spans="1:19" ht="15">
      <c r="A14" s="4" t="s">
        <v>8</v>
      </c>
      <c r="B14" s="16">
        <f>(((B6*0.00314)*0.2)*'Технический лист'!$M$11)+50+(((B7*0.00314)*0.22)*'Технический лист'!$O$11)*3</f>
        <v>535.4431626666667</v>
      </c>
      <c r="C14" s="16">
        <f>(((C6*0.00314)*0.2)*'Технический лист'!$M$11)+50+(((C7*0.00314)*0.22)*'Технический лист'!$O$11)*3</f>
        <v>568.3394773333334</v>
      </c>
      <c r="D14" s="16">
        <f>(((D6*0.00314)*0.2)*'Технический лист'!$M$11)+50+(((D7*0.00314)*0.22)*'Технический лист'!$O$11)*3</f>
        <v>584.7876346666667</v>
      </c>
      <c r="E14" s="16">
        <f>(((E6*0.00314)*0.2)*'Технический лист'!$M$11)+50+(((E7*0.00314)*0.22)*'Технический лист'!$O$11)*3</f>
        <v>601.2357920000001</v>
      </c>
      <c r="F14" s="16">
        <f>(((F6*0.00314)*0.2)*'Технический лист'!$M$11)+50+(((F7*0.00314)*0.22)*'Технический лист'!$O$11)*3</f>
        <v>617.6839493333334</v>
      </c>
      <c r="G14" s="16">
        <f>(((G6*0.00314)*0.2)*'Технический лист'!$M$11)+50+(((G7*0.00314)*0.22)*'Технический лист'!$O$11)*3</f>
        <v>634.1321066666667</v>
      </c>
      <c r="H14" s="16">
        <f>(((H6*0.00314)*0.2)*'Технический лист'!$M$11)+50+(((H7*0.00314)*0.22)*'Технический лист'!$O$11)*3</f>
        <v>667.0284213333334</v>
      </c>
      <c r="I14" s="16">
        <f>(((I6*0.00314)*0.2)*'Технический лист'!$M$11)+50+(((I7*0.00314)*0.22)*'Технический лист'!$O$11)*3</f>
        <v>699.924736</v>
      </c>
      <c r="J14" s="16">
        <f>(((J6*0.00314)*0.2)*'Технический лист'!$M$11)+50+(((J7*0.00314)*0.22)*'Технический лист'!$O$11)*3</f>
        <v>732.8210506666667</v>
      </c>
      <c r="K14" s="16">
        <f>(((K6*0.00314)*0.2)*'Технический лист'!$M$11)+50+(((K7*0.00314)*0.22)*'Технический лист'!$O$11)*3</f>
        <v>798.61368</v>
      </c>
      <c r="L14" s="16">
        <f>(((L6*0.00314)*0.2)*'Технический лист'!$M$11)+50+(((L7*0.00314)*0.22)*'Технический лист'!$O$11)*3</f>
        <v>864.4063093333334</v>
      </c>
      <c r="M14" s="16">
        <f>(((M6*0.00314)*0.2)*'Технический лист'!$M$11)+50+(((M7*0.00314)*0.22)*'Технический лист'!$O$11)*3</f>
        <v>930.1989386666667</v>
      </c>
      <c r="N14" s="16">
        <f>(((N6*0.00314)*0.2)*'Технический лист'!$M$11)+50+(((N7*0.00314)*0.22)*'Технический лист'!$O$11)*3</f>
        <v>1028.8878826666667</v>
      </c>
      <c r="O14" s="16">
        <f>(((O6*0.00314)*0.2)*'Технический лист'!$M$11)+50+(((O7*0.00314)*0.22)*'Технический лист'!$O$11)*3</f>
        <v>1061.7841973333334</v>
      </c>
      <c r="P14" s="16">
        <f>(((P6*0.00314)*0.2)*'Технический лист'!$M$11)+50+(((P7*0.00314)*0.22)*'Технический лист'!$O$11)*3</f>
        <v>1094.6805120000001</v>
      </c>
      <c r="Q14" s="16">
        <f>(((Q6*0.00314)*0.2)*'Технический лист'!$M$11)+50+(((Q7*0.00314)*0.22)*'Технический лист'!$O$11)*3</f>
        <v>1127.5768266666666</v>
      </c>
      <c r="R14" s="16">
        <f>(((R6*0.00314)*0.2)*'Технический лист'!$M$11)+50+(((R7*0.00314)*0.22)*'Технический лист'!$O$11)*3</f>
        <v>1160.4731413333334</v>
      </c>
      <c r="S14" s="16">
        <f>(((S6*0.00314)*0.2)*'Технический лист'!$M$11)+50+(((S7*0.00314)*0.22)*'Технический лист'!$O$11)*3</f>
        <v>1193.3694560000001</v>
      </c>
    </row>
    <row r="15" spans="1:19" ht="15">
      <c r="A15" s="4" t="s">
        <v>99</v>
      </c>
      <c r="B15" s="16">
        <v>1200</v>
      </c>
      <c r="C15" s="16">
        <v>1260</v>
      </c>
      <c r="D15" s="16">
        <v>1290</v>
      </c>
      <c r="E15" s="16">
        <v>1315</v>
      </c>
      <c r="F15" s="16">
        <v>1350</v>
      </c>
      <c r="G15" s="16">
        <v>1375</v>
      </c>
      <c r="H15" s="16">
        <v>1440</v>
      </c>
      <c r="I15" s="16">
        <v>1505</v>
      </c>
      <c r="J15" s="16">
        <v>1570</v>
      </c>
      <c r="K15" s="16">
        <v>1700</v>
      </c>
      <c r="L15" s="16">
        <v>1840</v>
      </c>
      <c r="M15" s="16">
        <v>1985</v>
      </c>
      <c r="N15" s="16">
        <v>2215</v>
      </c>
      <c r="O15" s="16">
        <v>2295</v>
      </c>
      <c r="P15" s="16">
        <v>2375</v>
      </c>
      <c r="Q15" s="16">
        <v>2460</v>
      </c>
      <c r="R15" s="16">
        <v>2545</v>
      </c>
      <c r="S15" s="16">
        <v>2630</v>
      </c>
    </row>
    <row r="16" spans="1:19" ht="15">
      <c r="A16" s="4" t="s">
        <v>102</v>
      </c>
      <c r="B16" s="16">
        <v>1200</v>
      </c>
      <c r="C16" s="16">
        <v>1260</v>
      </c>
      <c r="D16" s="16">
        <v>1290</v>
      </c>
      <c r="E16" s="16">
        <v>1315</v>
      </c>
      <c r="F16" s="16">
        <v>1350</v>
      </c>
      <c r="G16" s="16">
        <v>1375</v>
      </c>
      <c r="H16" s="16">
        <v>1440</v>
      </c>
      <c r="I16" s="16">
        <v>1505</v>
      </c>
      <c r="J16" s="16">
        <v>1570</v>
      </c>
      <c r="K16" s="16">
        <v>1700</v>
      </c>
      <c r="L16" s="16">
        <v>1840</v>
      </c>
      <c r="M16" s="16">
        <v>1985</v>
      </c>
      <c r="N16" s="16">
        <v>2215</v>
      </c>
      <c r="O16" s="16">
        <v>2295</v>
      </c>
      <c r="P16" s="16">
        <v>2375</v>
      </c>
      <c r="Q16" s="16">
        <v>2460</v>
      </c>
      <c r="R16" s="16">
        <v>2545</v>
      </c>
      <c r="S16" s="16">
        <v>2630</v>
      </c>
    </row>
    <row r="17" spans="1:19" ht="15">
      <c r="A17" s="4" t="s">
        <v>9</v>
      </c>
      <c r="B17" s="9">
        <f>(((B6*0.00314)*((B6+545)/1000))*'Технический лист'!$K$11)+370+((B7*0.00314)*((B7+450)/1000))*'Технический лист'!$K$11*3.7</f>
        <v>1338.5029397333335</v>
      </c>
      <c r="C17" s="9">
        <f>(((C6*0.00314)*((C6+545)/1000))*'Технический лист'!$K$11)+370+((C7*0.00314)*((C7+450)/1000))*'Технический лист'!$K$11*3.7</f>
        <v>1417.6700850666666</v>
      </c>
      <c r="D17" s="9">
        <f>(((D6*0.00314)*((D6+545)/1000))*'Технический лист'!$K$11)+370+((D7*0.00314)*((D7+450)/1000))*'Технический лист'!$K$11*3.7</f>
        <v>1458.0048399333332</v>
      </c>
      <c r="E17" s="9">
        <f>(((E6*0.00314)*((E6+545)/1000))*'Технический лист'!$K$11)+370+((E7*0.00314)*((E7+450)/1000))*'Технический лист'!$K$11*3.7</f>
        <v>1498.8403829333333</v>
      </c>
      <c r="F17" s="9">
        <f>(((F6*0.00314)*((F6+545)/1000))*'Технический лист'!$K$11)+370+((F7*0.00314)*((F7+450)/1000))*'Технический лист'!$K$11*3.7</f>
        <v>1540.1767140666666</v>
      </c>
      <c r="G17" s="9">
        <f>(((G6*0.00314)*((G6+545)/1000))*'Технический лист'!$K$11)+370+((G7*0.00314)*((G7+450)/1000))*'Технический лист'!$K$11*3.7</f>
        <v>1582.0138333333332</v>
      </c>
      <c r="H17" s="9">
        <f>(((H6*0.00314)*((H6+545)/1000))*'Технический лист'!$K$11)+370+((H7*0.00314)*((H7+450)/1000))*'Технический лист'!$K$11*3.7</f>
        <v>1667.190436266667</v>
      </c>
      <c r="I17" s="9">
        <f>(((I6*0.00314)*((I6+545)/1000))*'Технический лист'!$K$11)+370+((I7*0.00314)*((I7+450)/1000))*'Технический лист'!$K$11*3.7</f>
        <v>1754.3701917333333</v>
      </c>
      <c r="J17" s="9">
        <f>(((J6*0.00314)*((J6+545)/1000))*'Технический лист'!$K$11)+370+((J7*0.00314)*((J7+450)/1000))*'Технический лист'!$K$11*3.7</f>
        <v>1843.5530997333335</v>
      </c>
      <c r="K17" s="9">
        <f>(((K6*0.00314)*((K6+545)/1000))*'Технический лист'!$K$11)+370+((K7*0.00314)*((K7+450)/1000))*'Технический лист'!$K$11*3.7</f>
        <v>2027.9283733333334</v>
      </c>
      <c r="L17" s="9">
        <f>(((L6*0.00314)*((L6+545)/1000))*'Технический лист'!$K$11)+370+((L7*0.00314)*((L7+450)/1000))*'Технический лист'!$K$11*3.7</f>
        <v>2220.3162570666664</v>
      </c>
      <c r="M17" s="9">
        <f>(((M6*0.00314)*((M6+545)/1000))*'Технический лист'!$K$11)+370+((M7*0.00314)*((M7+450)/1000))*'Технический лист'!$K$11*3.7</f>
        <v>2420.7167509333335</v>
      </c>
      <c r="N17" s="9">
        <f>(((N6*0.00314)*((N6+545)/1000))*'Технический лист'!$K$11)+370+((N7*0.00314)*((N7+450)/1000))*'Технический лист'!$K$11*3.7</f>
        <v>2736.341135733333</v>
      </c>
      <c r="O17" s="9">
        <f>(((O6*0.00314)*((O6+545)/1000))*'Технический лист'!$K$11)+370+((O7*0.00314)*((O7+450)/1000))*'Технический лист'!$K$11*3.7</f>
        <v>2845.555569066667</v>
      </c>
      <c r="P17" s="9">
        <f>(((P6*0.00314)*((P6+545)/1000))*'Технический лист'!$K$11)+370+((P7*0.00314)*((P7+450)/1000))*'Технический лист'!$K$11*3.7</f>
        <v>2956.773154933334</v>
      </c>
      <c r="Q17" s="9">
        <f>(((Q6*0.00314)*((Q6+545)/1000))*'Технический лист'!$K$11)+370+((Q7*0.00314)*((Q7+450)/1000))*'Технический лист'!$K$11*3.7</f>
        <v>3069.9938933333333</v>
      </c>
      <c r="R17" s="9">
        <f>(((R6*0.00314)*((R6+545)/1000))*'Технический лист'!$K$11)+370+((R7*0.00314)*((R7+450)/1000))*'Технический лист'!$K$11*3.7</f>
        <v>3185.217784266667</v>
      </c>
      <c r="S17" s="9">
        <f>(((S6*0.00314)*((S6+545)/1000))*'Технический лист'!$K$11)+370+((S7*0.00314)*((S7+450)/1000))*'Технический лист'!$K$11*3.7</f>
        <v>3302.4448277333327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87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((B22*0.00314)*'Технический лист'!$G$11)+310+((B23*0.00314)*'Технический лист'!$G$5)*2.4</f>
        <v>1876.4036533333335</v>
      </c>
      <c r="C24" s="16">
        <f>((C22*0.00314)*'Технический лист'!$G$11)+310+((C23*0.00314)*'Технический лист'!$G$5)*2.4</f>
        <v>1973.1177466666668</v>
      </c>
      <c r="D24" s="16">
        <f>((D22*0.00314)*'Технический лист'!$G$11)+310+((D23*0.00314)*'Технический лист'!$G$5)*2.4</f>
        <v>2021.474793333333</v>
      </c>
      <c r="E24" s="16">
        <f>((E22*0.00314)*'Технический лист'!$G$11)+310+((E23*0.00314)*'Технический лист'!$G$5)*2.4</f>
        <v>2069.83184</v>
      </c>
      <c r="F24" s="16">
        <f>((F22*0.00314)*'Технический лист'!$G$11)+310+((F23*0.00314)*'Технический лист'!$G$5)*2.4</f>
        <v>2118.1888866666663</v>
      </c>
      <c r="G24" s="16">
        <f>((G22*0.00314)*'Технический лист'!$G$11)+310+((G23*0.00314)*'Технический лист'!$G$5)*2.4</f>
        <v>2166.5459333333333</v>
      </c>
      <c r="H24" s="16">
        <f>((H22*0.00314)*'Технический лист'!$G$11)+310+((H23*0.00314)*'Технический лист'!$G$5)*2.4</f>
        <v>2263.2600266666664</v>
      </c>
      <c r="I24" s="16">
        <f>((I22*0.00314)*'Технический лист'!$G$11)+310+((I23*0.00314)*'Технический лист'!$G$5)*2.4</f>
        <v>2359.97412</v>
      </c>
      <c r="J24" s="16">
        <f>((J22*0.00314)*'Технический лист'!$G$11)+310+((J23*0.00314)*'Технический лист'!$G$5)*2.4</f>
        <v>2456.688213333333</v>
      </c>
      <c r="K24" s="16">
        <f>((K22*0.00314)*'Технический лист'!$G$11)+310+((K23*0.00314)*'Технический лист'!$G$5)*2.4</f>
        <v>2650.1164</v>
      </c>
      <c r="L24" s="16">
        <f>((L22*0.00314)*'Технический лист'!$G$11)+310+((L23*0.00314)*'Технический лист'!$G$5)*2.4</f>
        <v>2843.544586666667</v>
      </c>
      <c r="M24" s="16">
        <f>((M22*0.00314)*'Технический лист'!$G$11)+310+((M23*0.00314)*'Технический лист'!$G$5)*2.4</f>
        <v>3036.972773333333</v>
      </c>
      <c r="N24" s="16">
        <f>((N22*0.00314)*'Технический лист'!$G$11)+310+((N23*0.00314)*'Технический лист'!$G$5)*2.4</f>
        <v>3327.115053333333</v>
      </c>
      <c r="O24" s="16">
        <f>((O22*0.00314)*'Технический лист'!$G$11)+310+((O23*0.00314)*'Технический лист'!$G$5)*2.4</f>
        <v>3423.8291466666665</v>
      </c>
      <c r="P24" s="16">
        <f>((P22*0.00314)*'Технический лист'!$G$11)+310+((P23*0.00314)*'Технический лист'!$G$5)*2.4</f>
        <v>3520.5432400000004</v>
      </c>
      <c r="Q24" s="16">
        <f>((Q22*0.00314)*'Технический лист'!$G$11)+310+((Q23*0.00314)*'Технический лист'!$G$5)*2.4</f>
        <v>3617.257333333333</v>
      </c>
      <c r="R24" s="16">
        <f>((R22*0.00314)*'Технический лист'!$G$11)+310+((R23*0.00314)*'Технический лист'!$G$5)*2.4</f>
        <v>3713.971426666667</v>
      </c>
      <c r="S24" s="16">
        <f>((S22*0.00314)*'Технический лист'!$G$11)+310+((S23*0.00314)*'Технический лист'!$G$5)*2.4</f>
        <v>3810.6855199999995</v>
      </c>
    </row>
    <row r="25" spans="1:19" ht="15">
      <c r="A25" s="4" t="s">
        <v>3</v>
      </c>
      <c r="B25" s="9">
        <f>(B24/2)*1.07</f>
        <v>1003.8759545333335</v>
      </c>
      <c r="C25" s="9">
        <f aca="true" t="shared" si="10" ref="C25:N25">(C24/2)*1.07</f>
        <v>1055.6179944666667</v>
      </c>
      <c r="D25" s="9">
        <f t="shared" si="10"/>
        <v>1081.4890144333333</v>
      </c>
      <c r="E25" s="9">
        <f t="shared" si="10"/>
        <v>1107.3600344</v>
      </c>
      <c r="F25" s="9">
        <f t="shared" si="10"/>
        <v>1133.2310543666665</v>
      </c>
      <c r="G25" s="9">
        <f t="shared" si="10"/>
        <v>1159.1020743333333</v>
      </c>
      <c r="H25" s="9">
        <f t="shared" si="10"/>
        <v>1210.8441142666666</v>
      </c>
      <c r="I25" s="9">
        <f t="shared" si="10"/>
        <v>1262.5861542</v>
      </c>
      <c r="J25" s="9">
        <f t="shared" si="10"/>
        <v>1314.3281941333332</v>
      </c>
      <c r="K25" s="9">
        <f t="shared" si="10"/>
        <v>1417.8122740000001</v>
      </c>
      <c r="L25" s="9">
        <f t="shared" si="10"/>
        <v>1521.2963538666668</v>
      </c>
      <c r="M25" s="9">
        <f t="shared" si="10"/>
        <v>1624.7804337333332</v>
      </c>
      <c r="N25" s="9">
        <f t="shared" si="10"/>
        <v>1780.0065535333333</v>
      </c>
      <c r="O25" s="9">
        <f aca="true" t="shared" si="11" ref="O25:S25">(O24/2)*1.07</f>
        <v>1831.7485934666668</v>
      </c>
      <c r="P25" s="9">
        <f t="shared" si="11"/>
        <v>1883.4906334000004</v>
      </c>
      <c r="Q25" s="9">
        <f t="shared" si="11"/>
        <v>1935.2326733333332</v>
      </c>
      <c r="R25" s="9">
        <f t="shared" si="11"/>
        <v>1986.9747132666669</v>
      </c>
      <c r="S25" s="9">
        <f t="shared" si="11"/>
        <v>2038.7167531999999</v>
      </c>
    </row>
    <row r="26" spans="1:19" ht="15">
      <c r="A26" s="4" t="s">
        <v>5</v>
      </c>
      <c r="B26" s="16">
        <f>(((B22*0.00314)*0.5)*'Технический лист'!$I$11)+310+(((B23*0.00314)*0.5)*'Технический лист'!$I$5)*2.8</f>
        <v>1751.2641866666668</v>
      </c>
      <c r="C26" s="16">
        <f>(((C22*0.00314)*0.5)*'Технический лист'!$I$11)+310+(((C23*0.00314)*0.5)*'Технический лист'!$I$5)*2.8</f>
        <v>1840.4318133333331</v>
      </c>
      <c r="D26" s="16">
        <f>(((D22*0.00314)*0.5)*'Технический лист'!$I$11)+310+(((D23*0.00314)*0.5)*'Технический лист'!$I$5)*2.8</f>
        <v>1885.0156266666665</v>
      </c>
      <c r="E26" s="16">
        <f>(((E22*0.00314)*0.5)*'Технический лист'!$I$11)+310+(((E23*0.00314)*0.5)*'Технический лист'!$I$5)*2.8</f>
        <v>1929.59944</v>
      </c>
      <c r="F26" s="16">
        <f>(((F22*0.00314)*0.5)*'Технический лист'!$I$11)+310+(((F23*0.00314)*0.5)*'Технический лист'!$I$5)*2.8</f>
        <v>1974.1832533333331</v>
      </c>
      <c r="G26" s="16">
        <f>(((G22*0.00314)*0.5)*'Технический лист'!$I$11)+310+(((G23*0.00314)*0.5)*'Технический лист'!$I$5)*2.8</f>
        <v>2018.7670666666666</v>
      </c>
      <c r="H26" s="16">
        <f>(((H22*0.00314)*0.5)*'Технический лист'!$I$11)+310+(((H23*0.00314)*0.5)*'Технический лист'!$I$5)*2.8</f>
        <v>2107.934693333333</v>
      </c>
      <c r="I26" s="16">
        <f>(((I22*0.00314)*0.5)*'Технический лист'!$I$11)+310+(((I23*0.00314)*0.5)*'Технический лист'!$I$5)*2.8</f>
        <v>2197.10232</v>
      </c>
      <c r="J26" s="16">
        <f>(((J22*0.00314)*0.5)*'Технический лист'!$I$11)+310+(((J23*0.00314)*0.5)*'Технический лист'!$I$5)*2.8</f>
        <v>2286.2699466666663</v>
      </c>
      <c r="K26" s="16">
        <f>(((K22*0.00314)*0.5)*'Технический лист'!$I$11)+310+(((K23*0.00314)*0.5)*'Технический лист'!$I$5)*2.8</f>
        <v>2464.6052</v>
      </c>
      <c r="L26" s="16">
        <f>(((L22*0.00314)*0.5)*'Технический лист'!$I$11)+310+(((L23*0.00314)*0.5)*'Технический лист'!$I$5)*2.8</f>
        <v>2642.9404533333336</v>
      </c>
      <c r="M26" s="16">
        <f>(((M22*0.00314)*0.5)*'Технический лист'!$I$11)+310+(((M23*0.00314)*0.5)*'Технический лист'!$I$5)*2.8</f>
        <v>2821.2757066666663</v>
      </c>
      <c r="N26" s="16">
        <f>(((N22*0.00314)*0.5)*'Технический лист'!$I$11)+310+(((N23*0.00314)*0.5)*'Технический лист'!$I$5)*2.8</f>
        <v>3088.7785866666663</v>
      </c>
      <c r="O26" s="16">
        <f>(((O22*0.00314)*0.5)*'Технический лист'!$I$11)+310+(((O23*0.00314)*0.5)*'Технический лист'!$I$5)*2.8</f>
        <v>3177.946213333333</v>
      </c>
      <c r="P26" s="16">
        <f>(((P22*0.00314)*0.5)*'Технический лист'!$I$11)+310+(((P23*0.00314)*0.5)*'Технический лист'!$I$5)*2.8</f>
        <v>3267.11384</v>
      </c>
      <c r="Q26" s="16">
        <f>(((Q22*0.00314)*0.5)*'Технический лист'!$I$11)+310+(((Q23*0.00314)*0.5)*'Технический лист'!$I$5)*2.8</f>
        <v>3356.2814666666663</v>
      </c>
      <c r="R26" s="16">
        <f>(((R22*0.00314)*0.5)*'Технический лист'!$I$11)+310+(((R23*0.00314)*0.5)*'Технический лист'!$I$5)*2.8</f>
        <v>3445.449093333333</v>
      </c>
      <c r="S26" s="16">
        <f>(((S22*0.00314)*0.5)*'Технический лист'!$I$11)+310+(((S23*0.00314)*0.5)*'Технический лист'!$I$5)*2.8</f>
        <v>3534.61672</v>
      </c>
    </row>
    <row r="27" spans="1:19" ht="15">
      <c r="A27" s="4" t="s">
        <v>96</v>
      </c>
      <c r="B27" s="9">
        <f>(B26*2)/3</f>
        <v>1167.509457777778</v>
      </c>
      <c r="C27" s="9">
        <f aca="true" t="shared" si="12" ref="C27:N27">(C26*2)/3</f>
        <v>1226.954542222222</v>
      </c>
      <c r="D27" s="9">
        <f t="shared" si="12"/>
        <v>1256.6770844444443</v>
      </c>
      <c r="E27" s="9">
        <f t="shared" si="12"/>
        <v>1286.3996266666666</v>
      </c>
      <c r="F27" s="9">
        <f t="shared" si="12"/>
        <v>1316.1221688888888</v>
      </c>
      <c r="G27" s="9">
        <f t="shared" si="12"/>
        <v>1345.844711111111</v>
      </c>
      <c r="H27" s="9">
        <f t="shared" si="12"/>
        <v>1405.2897955555554</v>
      </c>
      <c r="I27" s="9">
        <f t="shared" si="12"/>
        <v>1464.73488</v>
      </c>
      <c r="J27" s="9">
        <f t="shared" si="12"/>
        <v>1524.1799644444443</v>
      </c>
      <c r="K27" s="9">
        <f t="shared" si="12"/>
        <v>1643.0701333333334</v>
      </c>
      <c r="L27" s="9">
        <f t="shared" si="12"/>
        <v>1761.9603022222225</v>
      </c>
      <c r="M27" s="9">
        <f t="shared" si="12"/>
        <v>1880.850471111111</v>
      </c>
      <c r="N27" s="9">
        <f t="shared" si="12"/>
        <v>2059.185724444444</v>
      </c>
      <c r="O27" s="9">
        <f aca="true" t="shared" si="13" ref="O27:S27">(O26*2)/3</f>
        <v>2118.6308088888886</v>
      </c>
      <c r="P27" s="9">
        <f t="shared" si="13"/>
        <v>2178.075893333333</v>
      </c>
      <c r="Q27" s="9">
        <f t="shared" si="13"/>
        <v>2237.5209777777777</v>
      </c>
      <c r="R27" s="9">
        <f t="shared" si="13"/>
        <v>2296.9660622222223</v>
      </c>
      <c r="S27" s="9">
        <f t="shared" si="13"/>
        <v>2356.411146666667</v>
      </c>
    </row>
    <row r="28" spans="1:19" ht="15">
      <c r="A28" s="4" t="s">
        <v>6</v>
      </c>
      <c r="B28" s="16">
        <f>(((B22*0.00314)*0.22)*'Технический лист'!$M$11)+100+(((B23*0.00314)*0.21)*'Технический лист'!$O$5)+(((B22+30)*(B22+30)/1000000)*'Технический лист'!$E$19)*5.3</f>
        <v>665.8768613333333</v>
      </c>
      <c r="C28" s="16">
        <f>(((C22*0.00314)*0.22)*'Технический лист'!$M$11)+100+(((C23*0.00314)*0.21)*'Технический лист'!$O$5)+(((C22+30)*(C22+30)/1000000)*'Технический лист'!$E$19)*5.3</f>
        <v>726.5415946666667</v>
      </c>
      <c r="D28" s="16">
        <f>(((D22*0.00314)*0.22)*'Технический лист'!$M$11)+100+(((D23*0.00314)*0.21)*'Технический лист'!$O$5)+(((D22+30)*(D22+30)/1000000)*'Технический лист'!$E$19)*5.3</f>
        <v>757.8677113333333</v>
      </c>
      <c r="E28" s="16">
        <f>(((E22*0.00314)*0.22)*'Технический лист'!$M$11)+100+(((E23*0.00314)*0.21)*'Технический лист'!$O$5)+(((E22+30)*(E22+30)/1000000)*'Технический лист'!$E$19)*5.3</f>
        <v>789.8563280000001</v>
      </c>
      <c r="F28" s="16">
        <f>(((F22*0.00314)*0.22)*'Технический лист'!$M$11)+100+(((F23*0.00314)*0.21)*'Технический лист'!$O$5)+(((F22+30)*(F22+30)/1000000)*'Технический лист'!$E$19)*5.3</f>
        <v>822.5074446666666</v>
      </c>
      <c r="G28" s="16">
        <f>(((G22*0.00314)*0.22)*'Технический лист'!$M$11)+100+(((G23*0.00314)*0.21)*'Технический лист'!$O$5)+(((G22+30)*(G22+30)/1000000)*'Технический лист'!$E$19)*5.3</f>
        <v>855.8210613333333</v>
      </c>
      <c r="H28" s="16">
        <f>(((H22*0.00314)*0.22)*'Технический лист'!$M$11)+100+(((H23*0.00314)*0.21)*'Технический лист'!$O$5)+(((H22+30)*(H22+30)/1000000)*'Технический лист'!$E$19)*5.3</f>
        <v>924.4357946666667</v>
      </c>
      <c r="I28" s="16">
        <f>(((I22*0.00314)*0.22)*'Технический лист'!$M$11)+100+(((I23*0.00314)*0.21)*'Технический лист'!$O$5)+(((I22+30)*(I22+30)/1000000)*'Технический лист'!$E$19)*5.3</f>
        <v>995.7005279999998</v>
      </c>
      <c r="J28" s="16">
        <f>(((J22*0.00314)*0.22)*'Технический лист'!$M$11)+100+(((J23*0.00314)*0.21)*'Технический лист'!$O$5)+(((J22+30)*(J22+30)/1000000)*'Технический лист'!$E$19)*5.3</f>
        <v>1069.6152613333334</v>
      </c>
      <c r="K28" s="16">
        <f>(((K22*0.00314)*0.22)*'Технический лист'!$M$11)+100+(((K23*0.00314)*0.21)*'Технический лист'!$O$5)+(((K22+30)*(K22+30)/1000000)*'Технический лист'!$E$19)*5.3</f>
        <v>1225.3947279999998</v>
      </c>
      <c r="L28" s="16">
        <f>(((L22*0.00314)*0.22)*'Технический лист'!$M$11)+100+(((L23*0.00314)*0.21)*'Технический лист'!$O$5)+(((L22+30)*(L22+30)/1000000)*'Технический лист'!$E$19)*5.3</f>
        <v>1391.7741946666665</v>
      </c>
      <c r="M28" s="16">
        <f>(((M22*0.00314)*0.22)*'Технический лист'!$M$11)+100+(((M23*0.00314)*0.21)*'Технический лист'!$O$5)+(((M22+30)*(M22+30)/1000000)*'Технический лист'!$E$19)*5.3</f>
        <v>1568.7536613333332</v>
      </c>
      <c r="N28" s="16">
        <f>(((N22*0.00314)*0.22)*'Технический лист'!$M$11)+100+(((N23*0.00314)*0.21)*'Технический лист'!$O$5)+(((N22+30)*(N22+30)/1000000)*'Технический лист'!$E$19)*5.3</f>
        <v>1854.0978613333332</v>
      </c>
      <c r="O28" s="16">
        <f>(((O22*0.00314)*0.22)*'Технический лист'!$M$11)+100+(((O23*0.00314)*0.21)*'Технический лист'!$O$5)+(((O22+30)*(O22+30)/1000000)*'Технический лист'!$E$19)*5.3</f>
        <v>1954.5125946666665</v>
      </c>
      <c r="P28" s="16">
        <f>(((P22*0.00314)*0.22)*'Технический лист'!$M$11)+100+(((P23*0.00314)*0.21)*'Технический лист'!$O$5)+(((P22+30)*(P22+30)/1000000)*'Технический лист'!$E$19)*5.3</f>
        <v>2057.5773280000003</v>
      </c>
      <c r="Q28" s="16">
        <f>(((Q22*0.00314)*0.22)*'Технический лист'!$M$11)+100+(((Q23*0.00314)*0.21)*'Технический лист'!$O$5)+(((Q22+30)*(Q22+30)/1000000)*'Технический лист'!$E$19)*5.3</f>
        <v>2163.2920613333335</v>
      </c>
      <c r="R28" s="16">
        <f>(((R22*0.00314)*0.22)*'Технический лист'!$M$11)+100+(((R23*0.00314)*0.21)*'Технический лист'!$O$5)+(((R22+30)*(R22+30)/1000000)*'Технический лист'!$E$19)*5.3</f>
        <v>2271.6567946666664</v>
      </c>
      <c r="S28" s="16">
        <f>(((S22*0.00314)*0.22)*'Технический лист'!$M$11)+100+(((S23*0.00314)*0.21)*'Технический лист'!$O$5)+(((S22+30)*(S22+30)/1000000)*'Технический лист'!$E$19)*5.3</f>
        <v>2382.671528</v>
      </c>
    </row>
    <row r="29" spans="1:19" ht="15">
      <c r="A29" s="4" t="s">
        <v>7</v>
      </c>
      <c r="B29" s="9">
        <f>B28*1.8</f>
        <v>1198.5783503999999</v>
      </c>
      <c r="C29" s="9">
        <f aca="true" t="shared" si="14" ref="C29:N29">C28*1.8</f>
        <v>1307.7748704</v>
      </c>
      <c r="D29" s="9">
        <f t="shared" si="14"/>
        <v>1364.1618804</v>
      </c>
      <c r="E29" s="9">
        <f t="shared" si="14"/>
        <v>1421.7413904000002</v>
      </c>
      <c r="F29" s="9">
        <f t="shared" si="14"/>
        <v>1480.5134004</v>
      </c>
      <c r="G29" s="9">
        <f t="shared" si="14"/>
        <v>1540.4779104</v>
      </c>
      <c r="H29" s="9">
        <f t="shared" si="14"/>
        <v>1663.9844304</v>
      </c>
      <c r="I29" s="9">
        <f t="shared" si="14"/>
        <v>1792.2609503999997</v>
      </c>
      <c r="J29" s="9">
        <f t="shared" si="14"/>
        <v>1925.3074704</v>
      </c>
      <c r="K29" s="9">
        <f t="shared" si="14"/>
        <v>2205.7105103999997</v>
      </c>
      <c r="L29" s="9">
        <f t="shared" si="14"/>
        <v>2505.1935504</v>
      </c>
      <c r="M29" s="9">
        <f t="shared" si="14"/>
        <v>2823.7565904</v>
      </c>
      <c r="N29" s="9">
        <f t="shared" si="14"/>
        <v>3337.3761504</v>
      </c>
      <c r="O29" s="9">
        <f aca="true" t="shared" si="15" ref="O29:S29">O28*1.8</f>
        <v>3518.1226703999996</v>
      </c>
      <c r="P29" s="9">
        <f t="shared" si="15"/>
        <v>3703.6391904000006</v>
      </c>
      <c r="Q29" s="9">
        <f t="shared" si="15"/>
        <v>3893.9257104000003</v>
      </c>
      <c r="R29" s="9">
        <f t="shared" si="15"/>
        <v>4088.9822303999995</v>
      </c>
      <c r="S29" s="9">
        <f t="shared" si="15"/>
        <v>4288.8087504</v>
      </c>
    </row>
    <row r="30" spans="1:19" ht="15">
      <c r="A30" s="4" t="s">
        <v>8</v>
      </c>
      <c r="B30" s="16">
        <f>(((B22*0.00314)*0.2)*'Технический лист'!$M$11)+50+(((B23*0.00314)*0.22)*'Технический лист'!$O$5)*2.2</f>
        <v>676.2724138666667</v>
      </c>
      <c r="C30" s="16">
        <f>(((C22*0.00314)*0.2)*'Технический лист'!$M$11)+50+(((C23*0.00314)*0.22)*'Технический лист'!$O$5)*2.2</f>
        <v>717.4528021333335</v>
      </c>
      <c r="D30" s="16">
        <f>(((D22*0.00314)*0.2)*'Технический лист'!$M$11)+50+(((D23*0.00314)*0.22)*'Технический лист'!$O$5)*2.2</f>
        <v>738.0429962666666</v>
      </c>
      <c r="E30" s="16">
        <f>(((E22*0.00314)*0.2)*'Технический лист'!$M$11)+50+(((E23*0.00314)*0.22)*'Технический лист'!$O$5)*2.2</f>
        <v>758.6331904000001</v>
      </c>
      <c r="F30" s="16">
        <f>(((F22*0.00314)*0.2)*'Технический лист'!$M$11)+50+(((F23*0.00314)*0.22)*'Технический лист'!$O$5)*2.2</f>
        <v>779.2233845333334</v>
      </c>
      <c r="G30" s="16">
        <f>(((G22*0.00314)*0.2)*'Технический лист'!$M$11)+50+(((G23*0.00314)*0.22)*'Технический лист'!$O$5)*2.2</f>
        <v>799.8135786666669</v>
      </c>
      <c r="H30" s="16">
        <f>(((H22*0.00314)*0.2)*'Технический лист'!$M$11)+50+(((H23*0.00314)*0.22)*'Технический лист'!$O$5)*2.2</f>
        <v>840.9939669333335</v>
      </c>
      <c r="I30" s="16">
        <f>(((I22*0.00314)*0.2)*'Технический лист'!$M$11)+50+(((I23*0.00314)*0.22)*'Технический лист'!$O$5)*2.2</f>
        <v>882.1743552000002</v>
      </c>
      <c r="J30" s="16">
        <f>(((J22*0.00314)*0.2)*'Технический лист'!$M$11)+50+(((J23*0.00314)*0.22)*'Технический лист'!$O$5)*2.2</f>
        <v>923.3547434666666</v>
      </c>
      <c r="K30" s="16">
        <f>(((K22*0.00314)*0.2)*'Технический лист'!$M$11)+50+(((K23*0.00314)*0.22)*'Технический лист'!$O$5)*2.2</f>
        <v>1005.7155200000001</v>
      </c>
      <c r="L30" s="16">
        <f>(((L22*0.00314)*0.2)*'Технический лист'!$M$11)+50+(((L23*0.00314)*0.22)*'Технический лист'!$O$5)*2.2</f>
        <v>1088.0762965333333</v>
      </c>
      <c r="M30" s="16">
        <f>(((M22*0.00314)*0.2)*'Технический лист'!$M$11)+50+(((M23*0.00314)*0.22)*'Технический лист'!$O$5)*2.2</f>
        <v>1170.4370730666667</v>
      </c>
      <c r="N30" s="16">
        <f>(((N22*0.00314)*0.2)*'Технический лист'!$M$11)+50+(((N23*0.00314)*0.22)*'Технический лист'!$O$5)*2.2</f>
        <v>1293.9782378666666</v>
      </c>
      <c r="O30" s="16">
        <f>(((O22*0.00314)*0.2)*'Технический лист'!$M$11)+50+(((O23*0.00314)*0.22)*'Технический лист'!$O$5)*2.2</f>
        <v>1335.1586261333334</v>
      </c>
      <c r="P30" s="16">
        <f>(((P22*0.00314)*0.2)*'Технический лист'!$M$11)+50+(((P23*0.00314)*0.22)*'Технический лист'!$O$5)*2.2</f>
        <v>1376.3390144000002</v>
      </c>
      <c r="Q30" s="16">
        <f>(((Q22*0.00314)*0.2)*'Технический лист'!$M$11)+50+(((Q23*0.00314)*0.22)*'Технический лист'!$O$5)*2.2</f>
        <v>1417.5194026666668</v>
      </c>
      <c r="R30" s="16">
        <f>(((R22*0.00314)*0.2)*'Технический лист'!$M$11)+50+(((R23*0.00314)*0.22)*'Технический лист'!$O$5)*2.2</f>
        <v>1458.6997909333336</v>
      </c>
      <c r="S30" s="16">
        <f>(((S22*0.00314)*0.2)*'Технический лист'!$M$11)+50+(((S23*0.00314)*0.22)*'Технический лист'!$O$5)*2.2</f>
        <v>1499.8801792</v>
      </c>
    </row>
    <row r="31" spans="1:19" ht="15">
      <c r="A31" s="4" t="s">
        <v>99</v>
      </c>
      <c r="B31" s="16">
        <v>2030</v>
      </c>
      <c r="C31" s="16">
        <v>2155</v>
      </c>
      <c r="D31" s="16">
        <v>2215</v>
      </c>
      <c r="E31" s="16">
        <v>2275</v>
      </c>
      <c r="F31" s="16">
        <v>2340</v>
      </c>
      <c r="G31" s="16">
        <v>2400</v>
      </c>
      <c r="H31" s="16">
        <v>2530</v>
      </c>
      <c r="I31" s="16">
        <v>2665</v>
      </c>
      <c r="J31" s="16">
        <v>2800</v>
      </c>
      <c r="K31" s="16">
        <v>3080</v>
      </c>
      <c r="L31" s="16">
        <v>3375</v>
      </c>
      <c r="M31" s="16">
        <v>3680</v>
      </c>
      <c r="N31" s="16">
        <v>4160</v>
      </c>
      <c r="O31" s="16">
        <v>4325</v>
      </c>
      <c r="P31" s="16">
        <v>4495</v>
      </c>
      <c r="Q31" s="16">
        <v>4665</v>
      </c>
      <c r="R31" s="16">
        <v>4840</v>
      </c>
      <c r="S31" s="16">
        <v>5020</v>
      </c>
    </row>
    <row r="32" spans="1:19" ht="15">
      <c r="A32" s="4" t="s">
        <v>102</v>
      </c>
      <c r="B32" s="16">
        <v>2030</v>
      </c>
      <c r="C32" s="16">
        <v>2155</v>
      </c>
      <c r="D32" s="16">
        <v>2215</v>
      </c>
      <c r="E32" s="16">
        <v>2275</v>
      </c>
      <c r="F32" s="16">
        <v>2340</v>
      </c>
      <c r="G32" s="16">
        <v>2400</v>
      </c>
      <c r="H32" s="16">
        <v>2530</v>
      </c>
      <c r="I32" s="16">
        <v>2665</v>
      </c>
      <c r="J32" s="16">
        <v>2800</v>
      </c>
      <c r="K32" s="16">
        <v>3080</v>
      </c>
      <c r="L32" s="16">
        <v>3375</v>
      </c>
      <c r="M32" s="16">
        <v>3680</v>
      </c>
      <c r="N32" s="16">
        <v>4160</v>
      </c>
      <c r="O32" s="16">
        <v>4325</v>
      </c>
      <c r="P32" s="16">
        <v>4495</v>
      </c>
      <c r="Q32" s="16">
        <v>4665</v>
      </c>
      <c r="R32" s="16">
        <v>4840</v>
      </c>
      <c r="S32" s="16">
        <v>5020</v>
      </c>
    </row>
    <row r="33" spans="1:19" ht="15">
      <c r="A33" s="4" t="s">
        <v>9</v>
      </c>
      <c r="B33" s="9">
        <f>(((B22*0.00314)*((B22+545)/1000))*'Технический лист'!$K$11)+370+((B23*0.00314)*((B23+450)/1000))*'Технический лист'!$K$5*2.7</f>
        <v>2264.2309992000005</v>
      </c>
      <c r="C33" s="9">
        <f>(((C22*0.00314)*((C22+545)/1000))*'Технический лист'!$K$11)+370+((C23*0.00314)*((C23+450)/1000))*'Технический лист'!$K$5*2.7</f>
        <v>2413.662133866667</v>
      </c>
      <c r="D33" s="9">
        <f>(((D22*0.00314)*((D22+545)/1000))*'Технический лист'!$K$11)+370+((D23*0.00314)*((D23+450)/1000))*'Технический лист'!$K$5*2.7</f>
        <v>2489.7876082999996</v>
      </c>
      <c r="E33" s="9">
        <f>(((E22*0.00314)*((E22+545)/1000))*'Технический лист'!$K$11)+370+((E23*0.00314)*((E23+450)/1000))*'Технический лист'!$K$5*2.7</f>
        <v>2566.8530208</v>
      </c>
      <c r="F33" s="9">
        <f>(((F22*0.00314)*((F22+545)/1000))*'Технический лист'!$K$11)+370+((F23*0.00314)*((F23+450)/1000))*'Технический лист'!$K$5*2.7</f>
        <v>2644.8583713666667</v>
      </c>
      <c r="G33" s="9">
        <f>(((G22*0.00314)*((G22+545)/1000))*'Технический лист'!$K$11)+370+((G23*0.00314)*((G23+450)/1000))*'Технический лист'!$K$5*2.7</f>
        <v>2723.80366</v>
      </c>
      <c r="H33" s="9">
        <f>(((H22*0.00314)*((H22+545)/1000))*'Технический лист'!$K$11)+370+((H23*0.00314)*((H23+450)/1000))*'Технический лист'!$K$5*2.7</f>
        <v>2884.514051466667</v>
      </c>
      <c r="I33" s="9">
        <f>(((I22*0.00314)*((I22+545)/1000))*'Технический лист'!$K$11)+370+((I23*0.00314)*((I23+450)/1000))*'Технический лист'!$K$5*2.7</f>
        <v>3048.9841952000006</v>
      </c>
      <c r="J33" s="9">
        <f>(((J22*0.00314)*((J22+545)/1000))*'Технический лист'!$K$11)+370+((J23*0.00314)*((J23+450)/1000))*'Технический лист'!$K$5*2.7</f>
        <v>3217.2140912</v>
      </c>
      <c r="K33" s="9">
        <f>(((K22*0.00314)*((K22+545)/1000))*'Технический лист'!$K$11)+370+((K23*0.00314)*((K23+450)/1000))*'Технический лист'!$K$5*2.7</f>
        <v>3564.95314</v>
      </c>
      <c r="L33" s="9">
        <f>(((L22*0.00314)*((L22+545)/1000))*'Технический лист'!$K$11)+370+((L23*0.00314)*((L23+450)/1000))*'Технический лист'!$K$5*2.7</f>
        <v>3927.7311978666667</v>
      </c>
      <c r="M33" s="9">
        <f>(((M22*0.00314)*((M22+545)/1000))*'Технический лист'!$K$11)+370+((M23*0.00314)*((M23+450)/1000))*'Технический лист'!$K$5*2.7</f>
        <v>4305.548264800001</v>
      </c>
      <c r="N33" s="9">
        <f>(((N22*0.00314)*((N22+545)/1000))*'Технический лист'!$K$11)+370+((N23*0.00314)*((N23+450)/1000))*'Технический лист'!$K$5*2.7</f>
        <v>4900.4720072</v>
      </c>
      <c r="O33" s="9">
        <f>(((O22*0.00314)*((O22+545)/1000))*'Технический лист'!$K$11)+370+((O23*0.00314)*((O23+450)/1000))*'Технический лист'!$K$5*2.7</f>
        <v>5106.299425866668</v>
      </c>
      <c r="P33" s="9">
        <f>(((P22*0.00314)*((P22+545)/1000))*'Технический лист'!$K$11)+370+((P23*0.00314)*((P23+450)/1000))*'Технический лист'!$K$5*2.7</f>
        <v>5315.886596800001</v>
      </c>
      <c r="Q33" s="9">
        <f>(((Q22*0.00314)*((Q22+545)/1000))*'Технический лист'!$K$11)+370+((Q23*0.00314)*((Q23+450)/1000))*'Технический лист'!$K$5*2.7</f>
        <v>5529.233520000001</v>
      </c>
      <c r="R33" s="9">
        <f>(((R22*0.00314)*((R22+545)/1000))*'Технический лист'!$K$11)+370+((R23*0.00314)*((R23+450)/1000))*'Технический лист'!$K$5*2.7</f>
        <v>5746.340195466668</v>
      </c>
      <c r="S33" s="9">
        <f>(((S22*0.00314)*((S22+545)/1000))*'Технический лист'!$K$11)+370+((S23*0.00314)*((S23+450)/1000))*'Технический лист'!$K$5*2.7</f>
        <v>5967.2066232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4"/>
  <sheetViews>
    <sheetView zoomScale="80" zoomScaleNormal="80" workbookViewId="0" topLeftCell="A1">
      <selection activeCell="B44" sqref="B44:X44"/>
    </sheetView>
  </sheetViews>
  <sheetFormatPr defaultColWidth="9.140625" defaultRowHeight="15"/>
  <cols>
    <col min="1" max="1" width="20.7109375" style="0" customWidth="1"/>
    <col min="2" max="2" width="6.28125" style="1" customWidth="1"/>
    <col min="3" max="24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30" ht="15">
      <c r="A5" s="41" t="s">
        <v>67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67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22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 hidden="1">
      <c r="A7" s="3" t="s">
        <v>1</v>
      </c>
      <c r="B7" s="22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P7">O6+70</f>
        <v>330</v>
      </c>
      <c r="P7" s="10">
        <f t="shared" si="1"/>
        <v>340</v>
      </c>
      <c r="Q7" s="10">
        <f aca="true" t="shared" si="2" ref="Q7">Q6+70</f>
        <v>350</v>
      </c>
      <c r="R7" s="10">
        <v>290</v>
      </c>
      <c r="S7" s="10">
        <v>290</v>
      </c>
      <c r="T7" s="10">
        <v>290</v>
      </c>
      <c r="U7" s="10">
        <v>290</v>
      </c>
      <c r="V7" s="10">
        <v>290</v>
      </c>
      <c r="W7" s="10">
        <v>290</v>
      </c>
      <c r="X7" s="10">
        <v>290</v>
      </c>
    </row>
    <row r="8" spans="1:24" ht="15">
      <c r="A8" s="4" t="s">
        <v>69</v>
      </c>
      <c r="B8" s="23">
        <f>(((B6*0.00314)*'Технический лист'!$G$3))*1.55</f>
        <v>492.54040000000003</v>
      </c>
      <c r="C8" s="23">
        <f>(((C6*0.00314)*'Технический лист'!$G$3))*1.55</f>
        <v>541.79444</v>
      </c>
      <c r="D8" s="23">
        <f>(((D6*0.00314)*'Технический лист'!$G$3))*1.55</f>
        <v>566.42146</v>
      </c>
      <c r="E8" s="23">
        <f>(((E6*0.00314)*'Технический лист'!$G$3))*1.55</f>
        <v>591.04848</v>
      </c>
      <c r="F8" s="23">
        <f>(((F6*0.00314)*'Технический лист'!$G$3))*1.55</f>
        <v>615.6755</v>
      </c>
      <c r="G8" s="23">
        <f>(((G6*0.00314)*'Технический лист'!$G$3))*1.55</f>
        <v>640.3025200000001</v>
      </c>
      <c r="H8" s="23">
        <f>(((H6*0.00314)*'Технический лист'!$G$3))*1.55</f>
        <v>689.55656</v>
      </c>
      <c r="I8" s="23">
        <f>(((I6*0.00314)*'Технический лист'!$G$3))*1.55</f>
        <v>738.8106</v>
      </c>
      <c r="J8" s="23">
        <f>(((J6*0.00314)*'Технический лист'!$G$3))*1.55</f>
        <v>788.0646399999999</v>
      </c>
      <c r="K8" s="23">
        <f>(((K6*0.00314)*'Технический лист'!$G$3))*1.55</f>
        <v>886.57272</v>
      </c>
      <c r="L8" s="23">
        <f>(((L6*0.00314)*'Технический лист'!$G$3))*1.55</f>
        <v>985.0808000000001</v>
      </c>
      <c r="M8" s="23">
        <f>(((M6*0.00314)*'Технический лист'!$G$3))*1.55</f>
        <v>1083.58888</v>
      </c>
      <c r="N8" s="23">
        <f>(((N6*0.00314)*'Технический лист'!$G$3))*1.55</f>
        <v>1231.351</v>
      </c>
      <c r="O8" s="23">
        <f>(((O6*0.00314)*'Технический лист'!$G$3))*1.55</f>
        <v>1280.6050400000001</v>
      </c>
      <c r="P8" s="23">
        <f>(((P6*0.00314)*'Технический лист'!$G$3))*1.55</f>
        <v>1329.8590800000002</v>
      </c>
      <c r="Q8" s="23">
        <f>(((Q6*0.00314)*'Технический лист'!$G$3))*1.55</f>
        <v>1379.11312</v>
      </c>
      <c r="R8" s="23">
        <f>(((R6*0.00314)*'Технический лист'!$G$3))*1.55</f>
        <v>1428.36716</v>
      </c>
      <c r="S8" s="23">
        <f>(((S6*0.00314)*'Технический лист'!$G$3))*1.55</f>
        <v>1477.6212</v>
      </c>
      <c r="T8" s="23">
        <f>(((T6*0.00314)*'Технический лист'!$G$3))*1.55</f>
        <v>1526.87524</v>
      </c>
      <c r="U8" s="23">
        <f>(((U6*0.00314)*'Технический лист'!$G$3))*1.55</f>
        <v>1576.1292799999999</v>
      </c>
      <c r="V8" s="23">
        <f>(((V6*0.00314)*'Технический лист'!$G$3))*1.55</f>
        <v>1625.38332</v>
      </c>
      <c r="W8" s="23">
        <f>(((W6*0.00314)*'Технический лист'!$G$3))*1.55</f>
        <v>1674.6373600000002</v>
      </c>
      <c r="X8" s="23">
        <f>(((X6*0.00314)*'Технический лист'!$G$3))*1.55</f>
        <v>1723.8913999999997</v>
      </c>
    </row>
    <row r="9" spans="1:24" ht="15">
      <c r="A9" s="4" t="s">
        <v>70</v>
      </c>
      <c r="B9" s="24">
        <f>((B8/2)*1.07)-10</f>
        <v>253.509114</v>
      </c>
      <c r="C9" s="9">
        <f aca="true" t="shared" si="3" ref="C9:N9">((C8/2)*1.07)-10</f>
        <v>279.86002540000004</v>
      </c>
      <c r="D9" s="9">
        <f t="shared" si="3"/>
        <v>293.0354811</v>
      </c>
      <c r="E9" s="9">
        <f t="shared" si="3"/>
        <v>306.2109368</v>
      </c>
      <c r="F9" s="9">
        <f t="shared" si="3"/>
        <v>319.38639250000006</v>
      </c>
      <c r="G9" s="9">
        <f t="shared" si="3"/>
        <v>332.56184820000004</v>
      </c>
      <c r="H9" s="9">
        <f t="shared" si="3"/>
        <v>358.9127596</v>
      </c>
      <c r="I9" s="9">
        <f t="shared" si="3"/>
        <v>385.26367100000004</v>
      </c>
      <c r="J9" s="9">
        <f t="shared" si="3"/>
        <v>411.6145824</v>
      </c>
      <c r="K9" s="9">
        <f t="shared" si="3"/>
        <v>464.3164052</v>
      </c>
      <c r="L9" s="9">
        <f t="shared" si="3"/>
        <v>517.018228</v>
      </c>
      <c r="M9" s="9">
        <f t="shared" si="3"/>
        <v>569.7200508000001</v>
      </c>
      <c r="N9" s="9">
        <f t="shared" si="3"/>
        <v>648.7727850000001</v>
      </c>
      <c r="O9" s="9">
        <f aca="true" t="shared" si="4" ref="O9:P9">((O8/2)*1.07)-10</f>
        <v>675.1236964000001</v>
      </c>
      <c r="P9" s="9">
        <f t="shared" si="4"/>
        <v>701.4746078000002</v>
      </c>
      <c r="Q9" s="9">
        <f aca="true" t="shared" si="5" ref="Q9:R9">((Q8/2)*1.07)-10</f>
        <v>727.8255192</v>
      </c>
      <c r="R9" s="9">
        <f t="shared" si="5"/>
        <v>754.1764306</v>
      </c>
      <c r="S9" s="9">
        <f aca="true" t="shared" si="6" ref="S9:X9">((S8/2)*1.07)-10</f>
        <v>780.5273420000001</v>
      </c>
      <c r="T9" s="9">
        <f t="shared" si="6"/>
        <v>806.8782534000001</v>
      </c>
      <c r="U9" s="9">
        <f t="shared" si="6"/>
        <v>833.2291648</v>
      </c>
      <c r="V9" s="9">
        <f t="shared" si="6"/>
        <v>859.5800762</v>
      </c>
      <c r="W9" s="9">
        <f t="shared" si="6"/>
        <v>885.9309876000001</v>
      </c>
      <c r="X9" s="9">
        <f t="shared" si="6"/>
        <v>912.281899</v>
      </c>
    </row>
    <row r="10" spans="1:24" ht="15">
      <c r="A10" s="4" t="s">
        <v>71</v>
      </c>
      <c r="B10" s="23">
        <f>(((B6*0.00314)*0.55)*'Технический лист'!$I$3)*1.65</f>
        <v>479.29431</v>
      </c>
      <c r="C10" s="23">
        <f>(((C6*0.00314)*0.55)*'Технический лист'!$I$3)*1.65</f>
        <v>527.223741</v>
      </c>
      <c r="D10" s="23">
        <f>(((D6*0.00314)*0.55)*'Технический лист'!$I$3)*1.65</f>
        <v>551.1884564999999</v>
      </c>
      <c r="E10" s="23">
        <f>(((E6*0.00314)*0.55)*'Технический лист'!$I$3)*1.65</f>
        <v>575.153172</v>
      </c>
      <c r="F10" s="23">
        <f>(((F6*0.00314)*0.55)*'Технический лист'!$I$3)*1.65</f>
        <v>599.1178875</v>
      </c>
      <c r="G10" s="23">
        <f>(((G6*0.00314)*0.55)*'Технический лист'!$I$3)*1.65</f>
        <v>623.0826030000001</v>
      </c>
      <c r="H10" s="23">
        <f>(((H6*0.00314)*0.55)*'Технический лист'!$I$3)*1.65</f>
        <v>671.012034</v>
      </c>
      <c r="I10" s="23">
        <f>(((I6*0.00314)*0.55)*'Технический лист'!$I$3)*1.65</f>
        <v>718.941465</v>
      </c>
      <c r="J10" s="23">
        <f>(((J6*0.00314)*0.55)*'Технический лист'!$I$3)*1.65</f>
        <v>766.870896</v>
      </c>
      <c r="K10" s="23">
        <f>(((K6*0.00314)*0.55)*'Технический лист'!$I$3)*1.65</f>
        <v>862.7297580000001</v>
      </c>
      <c r="L10" s="23">
        <f>(((L6*0.00314)*0.55)*'Технический лист'!$I$3)*1.65</f>
        <v>958.58862</v>
      </c>
      <c r="M10" s="23">
        <f>(((M6*0.00314)*0.55)*'Технический лист'!$I$3)*1.65</f>
        <v>1054.447482</v>
      </c>
      <c r="N10" s="23">
        <f>(((N6*0.00314)*0.55)*'Технический лист'!$I$3)*1.65</f>
        <v>1198.235775</v>
      </c>
      <c r="O10" s="23">
        <f>(((O6*0.00314)*0.55)*'Технический лист'!$I$3)*1.65</f>
        <v>1246.1652060000001</v>
      </c>
      <c r="P10" s="23">
        <f>(((P6*0.00314)*0.55)*'Технический лист'!$I$3)*1.65</f>
        <v>1294.094637</v>
      </c>
      <c r="Q10" s="23">
        <f>(((Q6*0.00314)*0.55)*'Технический лист'!$I$3)*1.65</f>
        <v>1342.024068</v>
      </c>
      <c r="R10" s="23">
        <f>(((R6*0.00314)*0.55)*'Технический лист'!$I$3)*1.65</f>
        <v>1389.953499</v>
      </c>
      <c r="S10" s="23">
        <f>(((S6*0.00314)*0.55)*'Технический лист'!$I$3)*1.65</f>
        <v>1437.88293</v>
      </c>
      <c r="T10" s="23">
        <f>(((T6*0.00314)*0.55)*'Технический лист'!$I$3)*1.65</f>
        <v>1485.812361</v>
      </c>
      <c r="U10" s="23">
        <f>(((U6*0.00314)*0.55)*'Технический лист'!$I$3)*1.65</f>
        <v>1533.741792</v>
      </c>
      <c r="V10" s="23">
        <f>(((V6*0.00314)*0.55)*'Технический лист'!$I$3)*1.65</f>
        <v>1581.6712229999998</v>
      </c>
      <c r="W10" s="23">
        <f>(((W6*0.00314)*0.55)*'Технический лист'!$I$3)*1.65</f>
        <v>1629.6006540000003</v>
      </c>
      <c r="X10" s="23">
        <f>(((X6*0.00314)*0.55)*'Технический лист'!$I$3)*1.65</f>
        <v>1677.530085</v>
      </c>
    </row>
    <row r="11" spans="1:24" ht="15">
      <c r="A11" s="4" t="s">
        <v>72</v>
      </c>
      <c r="B11" s="24">
        <f>((B10*2)/3)-6</f>
        <v>313.52954</v>
      </c>
      <c r="C11" s="9">
        <f aca="true" t="shared" si="7" ref="C11:N11">((C10*2)/3)-6</f>
        <v>345.48249400000003</v>
      </c>
      <c r="D11" s="9">
        <f t="shared" si="7"/>
        <v>361.45897099999996</v>
      </c>
      <c r="E11" s="9">
        <f t="shared" si="7"/>
        <v>377.435448</v>
      </c>
      <c r="F11" s="9">
        <f t="shared" si="7"/>
        <v>393.41192500000005</v>
      </c>
      <c r="G11" s="9">
        <f t="shared" si="7"/>
        <v>409.38840200000004</v>
      </c>
      <c r="H11" s="9">
        <f t="shared" si="7"/>
        <v>441.34135599999996</v>
      </c>
      <c r="I11" s="9">
        <f t="shared" si="7"/>
        <v>473.29431</v>
      </c>
      <c r="J11" s="9">
        <f t="shared" si="7"/>
        <v>505.24726400000003</v>
      </c>
      <c r="K11" s="9">
        <f t="shared" si="7"/>
        <v>569.153172</v>
      </c>
      <c r="L11" s="9">
        <f t="shared" si="7"/>
        <v>633.05908</v>
      </c>
      <c r="M11" s="9">
        <f t="shared" si="7"/>
        <v>696.9649880000001</v>
      </c>
      <c r="N11" s="9">
        <f t="shared" si="7"/>
        <v>792.8238500000001</v>
      </c>
      <c r="O11" s="9">
        <f aca="true" t="shared" si="8" ref="O11:P11">((O10*2)/3)-6</f>
        <v>824.7768040000001</v>
      </c>
      <c r="P11" s="9">
        <f t="shared" si="8"/>
        <v>856.729758</v>
      </c>
      <c r="Q11" s="9">
        <f aca="true" t="shared" si="9" ref="Q11:R11">((Q10*2)/3)-6</f>
        <v>888.6827119999999</v>
      </c>
      <c r="R11" s="9">
        <f t="shared" si="9"/>
        <v>920.635666</v>
      </c>
      <c r="S11" s="9">
        <f aca="true" t="shared" si="10" ref="S11:X11">((S10*2)/3)-6</f>
        <v>952.58862</v>
      </c>
      <c r="T11" s="9">
        <f t="shared" si="10"/>
        <v>984.541574</v>
      </c>
      <c r="U11" s="9">
        <f t="shared" si="10"/>
        <v>1016.4945280000001</v>
      </c>
      <c r="V11" s="9">
        <f t="shared" si="10"/>
        <v>1048.4474819999998</v>
      </c>
      <c r="W11" s="9">
        <f t="shared" si="10"/>
        <v>1080.4004360000001</v>
      </c>
      <c r="X11" s="9">
        <f t="shared" si="10"/>
        <v>1112.35339</v>
      </c>
    </row>
    <row r="12" spans="1:24" ht="15">
      <c r="A12" s="4" t="s">
        <v>73</v>
      </c>
      <c r="B12" s="23">
        <f>(((((B6+30)*(B6+30))/1000000)*'Технический лист'!$E$18)+(B6*0.000628)*'Технический лист'!$M$3)*1.6</f>
        <v>298.74176</v>
      </c>
      <c r="C12" s="23">
        <f>(((((C6+30)*(C6+30))/1000000)*'Технический лист'!$E$18)+(C6*0.000628)*'Технический лист'!$M$3)*1.6</f>
        <v>333.78713600000003</v>
      </c>
      <c r="D12" s="23">
        <f>(((((D6+30)*(D6+30))/1000000)*'Технический лист'!$E$18)+(D6*0.000628)*'Технический лист'!$M$3)*1.6</f>
        <v>351.693824</v>
      </c>
      <c r="E12" s="23">
        <f>(((((E6+30)*(E6+30))/1000000)*'Технический лист'!$E$18)+(E6*0.000628)*'Технический лист'!$M$3)*1.6</f>
        <v>369.856512</v>
      </c>
      <c r="F12" s="23">
        <f>(((((F6+30)*(F6+30))/1000000)*'Технический лист'!$E$18)+(F6*0.000628)*'Технический лист'!$M$3)*1.6</f>
        <v>388.27520000000004</v>
      </c>
      <c r="G12" s="23">
        <f>(((((G6+30)*(G6+30))/1000000)*'Технический лист'!$E$18)+(G6*0.000628)*'Технический лист'!$M$3)*1.6</f>
        <v>406.94988800000004</v>
      </c>
      <c r="H12" s="23">
        <f>(((((H6+30)*(H6+30))/1000000)*'Технический лист'!$E$18)+(H6*0.000628)*'Технический лист'!$M$3)*1.6</f>
        <v>445.067264</v>
      </c>
      <c r="I12" s="23">
        <f>(((((I6+30)*(I6+30))/1000000)*'Технический лист'!$E$18)+(I6*0.000628)*'Технический лист'!$M$3)*1.6</f>
        <v>484.20863999999995</v>
      </c>
      <c r="J12" s="23">
        <f>(((((J6+30)*(J6+30))/1000000)*'Технический лист'!$E$18)+(J6*0.000628)*'Технический лист'!$M$3)*1.6</f>
        <v>524.3740160000001</v>
      </c>
      <c r="K12" s="23">
        <f>(((((K6+30)*(K6+30))/1000000)*'Технический лист'!$E$18)+(K6*0.000628)*'Технический лист'!$M$3)*1.6</f>
        <v>607.7767680000001</v>
      </c>
      <c r="L12" s="23">
        <f>(((((L6+30)*(L6+30))/1000000)*'Технический лист'!$E$18)+(L6*0.000628)*'Технический лист'!$M$3)*1.6</f>
        <v>695.27552</v>
      </c>
      <c r="M12" s="23">
        <f>(((((M6+30)*(M6+30))/1000000)*'Технический лист'!$E$18)+(M6*0.000628)*'Технический лист'!$M$3)*1.6</f>
        <v>786.8702720000001</v>
      </c>
      <c r="N12" s="23">
        <f>(((((N6+30)*(N6+30))/1000000)*'Технический лист'!$E$18)+(N6*0.000628)*'Технический лист'!$M$3)*1.6</f>
        <v>931.9423999999999</v>
      </c>
      <c r="O12" s="23">
        <f>(((((O6+30)*(O6+30))/1000000)*'Технический лист'!$E$18)+(O6*0.000628)*'Технический лист'!$M$3)*1.6</f>
        <v>982.3477760000001</v>
      </c>
      <c r="P12" s="23">
        <f>(((((P6+30)*(P6+30))/1000000)*'Технический лист'!$E$18)+(P6*0.000628)*'Технический лист'!$M$3)*1.6</f>
        <v>1033.777152</v>
      </c>
      <c r="Q12" s="23">
        <f>(((((Q6+30)*(Q6+30))/1000000)*'Технический лист'!$E$18)+(Q6*0.000628)*'Технический лист'!$M$3)*1.6</f>
        <v>1086.230528</v>
      </c>
      <c r="R12" s="23">
        <f>(((((R6+30)*(R6+30))/1000000)*'Технический лист'!$E$18)+(R6*0.000628)*'Технический лист'!$M$3)*1.6</f>
        <v>1139.707904</v>
      </c>
      <c r="S12" s="23">
        <f>(((((S6+30)*(S6+30))/1000000)*'Технический лист'!$E$18)+(S6*0.000628)*'Технический лист'!$M$3)*1.6</f>
        <v>1194.2092799999998</v>
      </c>
      <c r="T12" s="23">
        <f>(((((T6+30)*(T6+30))/1000000)*'Технический лист'!$E$18)+(T6*0.000628)*'Технический лист'!$M$3)*1.6</f>
        <v>1249.7346559999999</v>
      </c>
      <c r="U12" s="23">
        <f>(((((U6+30)*(U6+30))/1000000)*'Технический лист'!$E$18)+(U6*0.000628)*'Технический лист'!$M$3)*1.6</f>
        <v>1306.284032</v>
      </c>
      <c r="V12" s="23">
        <f>(((((V6+30)*(V6+30))/1000000)*'Технический лист'!$E$18)+(V6*0.000628)*'Технический лист'!$M$3)*1.6</f>
        <v>1363.8574079999999</v>
      </c>
      <c r="W12" s="23">
        <f>(((((W6+30)*(W6+30))/1000000)*'Технический лист'!$E$18)+(W6*0.000628)*'Технический лист'!$M$3)*1.6</f>
        <v>1422.454784</v>
      </c>
      <c r="X12" s="23">
        <f>(((((X6+30)*(X6+30))/1000000)*'Технический лист'!$E$18)+(X6*0.000628)*'Технический лист'!$M$3)*1.6</f>
        <v>1482.07616</v>
      </c>
    </row>
    <row r="13" spans="1:24" ht="15">
      <c r="A13" s="4" t="s">
        <v>74</v>
      </c>
      <c r="B13" s="24">
        <f>(((B6*0.00314)*0.35)*'Технический лист'!$O$4)+B12</f>
        <v>558.790850909091</v>
      </c>
      <c r="C13" s="9">
        <f>(((C6*0.00314)*0.35)*'Технический лист'!$O$4)+C12</f>
        <v>619.841136</v>
      </c>
      <c r="D13" s="9">
        <f>(((D6*0.00314)*0.35)*'Технический лист'!$O$4)+D12</f>
        <v>650.7502785454545</v>
      </c>
      <c r="E13" s="9">
        <f>(((E6*0.00314)*0.35)*'Технический лист'!$O$4)+E12</f>
        <v>681.9154210909091</v>
      </c>
      <c r="F13" s="9">
        <f>(((F6*0.00314)*0.35)*'Технический лист'!$O$4)+F12</f>
        <v>713.3365636363637</v>
      </c>
      <c r="G13" s="9">
        <f>(((G6*0.00314)*0.35)*'Технический лист'!$O$4)+G12</f>
        <v>745.0137061818182</v>
      </c>
      <c r="H13" s="9">
        <f>(((H6*0.00314)*0.35)*'Технический лист'!$O$4)+H12</f>
        <v>809.1359912727273</v>
      </c>
      <c r="I13" s="9">
        <f>(((I6*0.00314)*0.35)*'Технический лист'!$O$4)+I12</f>
        <v>874.2822763636362</v>
      </c>
      <c r="J13" s="9">
        <f>(((J6*0.00314)*0.35)*'Технический лист'!$O$4)+J12</f>
        <v>940.4525614545455</v>
      </c>
      <c r="K13" s="9">
        <f>(((K6*0.00314)*0.35)*'Технический лист'!$O$4)+K12</f>
        <v>1075.8651316363637</v>
      </c>
      <c r="L13" s="9">
        <f>(((L6*0.00314)*0.35)*'Технический лист'!$O$4)+L12</f>
        <v>1215.3737018181819</v>
      </c>
      <c r="M13" s="9">
        <f>(((M6*0.00314)*0.35)*'Технический лист'!$O$4)+M12</f>
        <v>1358.978272</v>
      </c>
      <c r="N13" s="9">
        <f>(((N6*0.00314)*0.35)*'Технический лист'!$O$4)+N12</f>
        <v>1582.0651272727273</v>
      </c>
      <c r="O13" s="9">
        <f>(((O6*0.00314)*0.35)*'Технический лист'!$O$4)+O12</f>
        <v>1658.4754123636365</v>
      </c>
      <c r="P13" s="9">
        <f>(((P6*0.00314)*0.35)*'Технический лист'!$O$4)+P12</f>
        <v>1735.9096974545455</v>
      </c>
      <c r="Q13" s="9">
        <f>(((Q6*0.00314)*0.35)*'Технический лист'!$O$4)+Q12</f>
        <v>1814.3679825454547</v>
      </c>
      <c r="R13" s="9">
        <f>(((R6*0.00314)*0.35)*'Технический лист'!$O$4)+R12</f>
        <v>1893.8502676363637</v>
      </c>
      <c r="S13" s="9">
        <f>(((S6*0.00314)*0.35)*'Технический лист'!$O$4)+S12</f>
        <v>1974.3565527272724</v>
      </c>
      <c r="T13" s="9">
        <f>(((T6*0.00314)*0.35)*'Технический лист'!$O$4)+T12</f>
        <v>2055.8868378181814</v>
      </c>
      <c r="U13" s="9">
        <f>(((U6*0.00314)*0.35)*'Технический лист'!$O$4)+U12</f>
        <v>2138.441122909091</v>
      </c>
      <c r="V13" s="9">
        <f>(((V6*0.00314)*0.35)*'Технический лист'!$O$4)+V12</f>
        <v>2222.019408</v>
      </c>
      <c r="W13" s="9">
        <f>(((W6*0.00314)*0.35)*'Технический лист'!$O$4)+W12</f>
        <v>2306.621693090909</v>
      </c>
      <c r="X13" s="9">
        <f>(((X6*0.00314)*0.35)*'Технический лист'!$O$4)+X12</f>
        <v>2392.2479781818183</v>
      </c>
    </row>
    <row r="14" spans="1:24" ht="15" hidden="1">
      <c r="A14" s="4" t="s">
        <v>8</v>
      </c>
      <c r="B14" s="2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4" t="s">
        <v>99</v>
      </c>
      <c r="B15" s="23">
        <v>855</v>
      </c>
      <c r="C15" s="16">
        <v>960</v>
      </c>
      <c r="D15" s="16">
        <v>1020</v>
      </c>
      <c r="E15" s="16">
        <v>1072</v>
      </c>
      <c r="F15" s="16">
        <v>1125</v>
      </c>
      <c r="G15" s="16">
        <v>1185</v>
      </c>
      <c r="H15" s="16">
        <v>1305</v>
      </c>
      <c r="I15" s="16">
        <v>1425</v>
      </c>
      <c r="J15" s="16">
        <v>1530</v>
      </c>
      <c r="K15" s="16">
        <v>1800</v>
      </c>
      <c r="L15" s="16">
        <v>2055</v>
      </c>
      <c r="M15" s="16">
        <v>2340</v>
      </c>
      <c r="N15" s="16">
        <v>2775</v>
      </c>
      <c r="O15" s="16">
        <v>2925</v>
      </c>
      <c r="P15" s="16">
        <v>3075</v>
      </c>
      <c r="Q15" s="16">
        <v>3240</v>
      </c>
      <c r="R15" s="16">
        <v>3397</v>
      </c>
      <c r="S15" s="16">
        <v>3570</v>
      </c>
      <c r="T15" s="16">
        <v>3735</v>
      </c>
      <c r="U15" s="16">
        <v>3900</v>
      </c>
      <c r="V15" s="16">
        <v>4080</v>
      </c>
      <c r="W15" s="16">
        <v>4245</v>
      </c>
      <c r="X15" s="16">
        <v>4425</v>
      </c>
    </row>
    <row r="16" spans="1:24" ht="15">
      <c r="A16" s="4" t="s">
        <v>103</v>
      </c>
      <c r="B16" s="23">
        <v>855</v>
      </c>
      <c r="C16" s="16">
        <v>960</v>
      </c>
      <c r="D16" s="16">
        <v>1020</v>
      </c>
      <c r="E16" s="16">
        <v>1072</v>
      </c>
      <c r="F16" s="16">
        <v>1125</v>
      </c>
      <c r="G16" s="16">
        <v>1185</v>
      </c>
      <c r="H16" s="16">
        <v>1305</v>
      </c>
      <c r="I16" s="16">
        <v>1425</v>
      </c>
      <c r="J16" s="16">
        <v>1530</v>
      </c>
      <c r="K16" s="16">
        <v>1800</v>
      </c>
      <c r="L16" s="16">
        <v>2055</v>
      </c>
      <c r="M16" s="16">
        <v>2340</v>
      </c>
      <c r="N16" s="16">
        <v>2775</v>
      </c>
      <c r="O16" s="16">
        <v>2925</v>
      </c>
      <c r="P16" s="16">
        <v>3075</v>
      </c>
      <c r="Q16" s="16">
        <v>3240</v>
      </c>
      <c r="R16" s="16">
        <v>3397</v>
      </c>
      <c r="S16" s="16">
        <v>3570</v>
      </c>
      <c r="T16" s="16">
        <v>3735</v>
      </c>
      <c r="U16" s="16">
        <v>3900</v>
      </c>
      <c r="V16" s="16">
        <v>4080</v>
      </c>
      <c r="W16" s="16">
        <v>4245</v>
      </c>
      <c r="X16" s="16">
        <v>4425</v>
      </c>
    </row>
    <row r="17" spans="1:24" ht="15">
      <c r="A17" s="4" t="s">
        <v>75</v>
      </c>
      <c r="B17" s="24">
        <f>(((B6*0.00314)*((B6+500)/1000)*'Технический лист'!$K$3))*1.75</f>
        <v>613.9014</v>
      </c>
      <c r="C17" s="24">
        <f>(((C6*0.00314)*((C6+500)/1000)*'Технический лист'!$K$3))*1.75</f>
        <v>686.5463990000001</v>
      </c>
      <c r="D17" s="24">
        <f>(((D6*0.00314)*((D6+500)/1000)*'Технический лист'!$K$3))*1.75</f>
        <v>723.6362752499999</v>
      </c>
      <c r="E17" s="24">
        <f>(((E6*0.00314)*((E6+500)/1000)*'Технический лист'!$K$3))*1.75</f>
        <v>761.237736</v>
      </c>
      <c r="F17" s="24">
        <f>(((F6*0.00314)*((F6+500)/1000)*'Технический лист'!$K$3))*1.75</f>
        <v>799.3507812500001</v>
      </c>
      <c r="G17" s="24">
        <f>(((G6*0.00314)*((G6+500)/1000)*'Технический лист'!$K$3))*1.75</f>
        <v>837.975411</v>
      </c>
      <c r="H17" s="24">
        <f>(((H6*0.00314)*((H6+500)/1000)*'Технический лист'!$K$3))*1.75</f>
        <v>916.759424</v>
      </c>
      <c r="I17" s="24">
        <f>(((I6*0.00314)*((I6+500)/1000)*'Технический лист'!$K$3))*1.75</f>
        <v>997.5897749999999</v>
      </c>
      <c r="J17" s="24">
        <f>(((J6*0.00314)*((J6+500)/1000)*'Технический лист'!$K$3))*1.75</f>
        <v>1080.466464</v>
      </c>
      <c r="K17" s="24">
        <f>(((K6*0.00314)*((K6+500)/1000)*'Технический лист'!$K$3))*1.75</f>
        <v>1252.3588560000003</v>
      </c>
      <c r="L17" s="24">
        <f>(((L6*0.00314)*((L6+500)/1000)*'Технический лист'!$K$3))*1.75</f>
        <v>1432.4366</v>
      </c>
      <c r="M17" s="24">
        <f>(((M6*0.00314)*((M6+500)/1000)*'Технический лист'!$K$3))*1.75</f>
        <v>1620.699696</v>
      </c>
      <c r="N17" s="24">
        <f>(((N6*0.00314)*((N6+500)/1000)*'Технический лист'!$K$3))*1.75</f>
        <v>1918.441875</v>
      </c>
      <c r="O17" s="24">
        <f>(((O6*0.00314)*((O6+500)/1000)*'Технический лист'!$K$3))*1.75</f>
        <v>2021.7819439999998</v>
      </c>
      <c r="P17" s="24">
        <f>(((P6*0.00314)*((P6+500)/1000)*'Технический лист'!$K$3))*1.75</f>
        <v>2127.168351</v>
      </c>
      <c r="Q17" s="24">
        <f>(((Q6*0.00314)*((Q6+500)/1000)*'Технический лист'!$K$3))*1.75</f>
        <v>2234.6010960000003</v>
      </c>
      <c r="R17" s="24">
        <f>(((R6*0.00314)*((R6+500)/1000)*'Технический лист'!$K$3))*1.75</f>
        <v>2344.0801789999996</v>
      </c>
      <c r="S17" s="24">
        <f>(((S6*0.00314)*((S6+500)/1000)*'Технический лист'!$K$3))*1.75</f>
        <v>2455.6056000000003</v>
      </c>
      <c r="T17" s="24">
        <f>(((T6*0.00314)*((T6+500)/1000)*'Технический лист'!$K$3))*1.75</f>
        <v>2569.1773590000003</v>
      </c>
      <c r="U17" s="24">
        <f>(((U6*0.00314)*((U6+500)/1000)*'Технический лист'!$K$3))*1.75</f>
        <v>2684.795456</v>
      </c>
      <c r="V17" s="24">
        <f>(((V6*0.00314)*((V6+500)/1000)*'Технический лист'!$K$3))*1.75</f>
        <v>2802.459891</v>
      </c>
      <c r="W17" s="24">
        <f>(((W6*0.00314)*((W6+500)/1000)*'Технический лист'!$K$3))*1.75</f>
        <v>2922.170664</v>
      </c>
      <c r="X17" s="24">
        <f>(((X6*0.00314)*((X6+500)/1000)*'Технический лист'!$K$3))*1.75</f>
        <v>3043.9277749999997</v>
      </c>
    </row>
    <row r="18" spans="1:24" ht="0.75" customHeight="1" hidden="1">
      <c r="A18" s="4"/>
      <c r="B18" s="2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>
      <c r="A19" s="4" t="s">
        <v>105</v>
      </c>
      <c r="B19" s="24">
        <v>578</v>
      </c>
      <c r="C19" s="9">
        <v>637</v>
      </c>
      <c r="D19" s="9">
        <v>667</v>
      </c>
      <c r="E19" s="9">
        <v>697</v>
      </c>
      <c r="F19" s="9">
        <v>728</v>
      </c>
      <c r="G19" s="9">
        <v>760</v>
      </c>
      <c r="H19" s="9">
        <v>824</v>
      </c>
      <c r="I19" s="9">
        <v>890</v>
      </c>
      <c r="J19" s="9">
        <v>958</v>
      </c>
      <c r="K19" s="9">
        <v>1099</v>
      </c>
      <c r="L19" s="9">
        <v>1247</v>
      </c>
      <c r="M19" s="9">
        <v>1403</v>
      </c>
      <c r="N19" s="9">
        <v>1650</v>
      </c>
      <c r="O19" s="9">
        <v>1736</v>
      </c>
      <c r="P19" s="9">
        <v>1824</v>
      </c>
      <c r="Q19" s="9">
        <v>1913</v>
      </c>
      <c r="R19" s="9">
        <v>2005</v>
      </c>
      <c r="S19" s="9">
        <v>2098</v>
      </c>
      <c r="T19" s="9">
        <v>2193</v>
      </c>
      <c r="U19" s="9">
        <v>2290</v>
      </c>
      <c r="V19" s="9">
        <v>2388</v>
      </c>
      <c r="W19" s="9">
        <v>2489</v>
      </c>
      <c r="X19" s="9">
        <v>2591</v>
      </c>
    </row>
    <row r="20" spans="1:24" ht="15">
      <c r="A20" s="4" t="s">
        <v>76</v>
      </c>
      <c r="B20" s="24">
        <f>((((B6*0.00314)*0.18)*'Технический лист'!$M$3)+((((B6+100)/1000)*((B6+100)/1000))*3)*'Технический лист'!$I$3)*1.8</f>
        <v>578.178432</v>
      </c>
      <c r="C20" s="24">
        <f>((((C6*0.00314)*0.18)*'Технический лист'!$M$3)+((((C6+100)/1000)*((C6+100)/1000))*3)*'Технический лист'!$I$3)*1.8</f>
        <v>636.9045551999999</v>
      </c>
      <c r="D20" s="24">
        <f>((((D6*0.00314)*0.18)*'Технический лист'!$M$3)+((((D6+100)/1000)*((D6+100)/1000))*3)*'Технический лист'!$I$3)*1.8</f>
        <v>666.9488267999999</v>
      </c>
      <c r="E20" s="24">
        <f>((((E6*0.00314)*0.18)*'Технический лист'!$M$3)+((((E6+100)/1000)*((E6+100)/1000))*3)*'Технический лист'!$I$3)*1.8</f>
        <v>697.4472384000001</v>
      </c>
      <c r="F20" s="24">
        <f>((((F6*0.00314)*0.18)*'Технический лист'!$M$3)+((((F6+100)/1000)*((F6+100)/1000))*3)*'Технический лист'!$I$3)*1.8</f>
        <v>728.39979</v>
      </c>
      <c r="G20" s="24">
        <f>((((G6*0.00314)*0.18)*'Технический лист'!$M$3)+((((G6+100)/1000)*((G6+100)/1000))*3)*'Технический лист'!$I$3)*1.8</f>
        <v>759.8064816</v>
      </c>
      <c r="H20" s="24">
        <f>((((H6*0.00314)*0.18)*'Технический лист'!$M$3)+((((H6+100)/1000)*((H6+100)/1000))*3)*'Технический лист'!$I$3)*1.8</f>
        <v>823.9822848</v>
      </c>
      <c r="I20" s="24">
        <f>((((I6*0.00314)*0.18)*'Технический лист'!$M$3)+((((I6+100)/1000)*((I6+100)/1000))*3)*'Технический лист'!$I$3)*1.8</f>
        <v>889.9746479999999</v>
      </c>
      <c r="J20" s="24">
        <f>((((J6*0.00314)*0.18)*'Технический лист'!$M$3)+((((J6+100)/1000)*((J6+100)/1000))*3)*'Технический лист'!$I$3)*1.8</f>
        <v>957.7835712000001</v>
      </c>
      <c r="K20" s="24">
        <f>((((K6*0.00314)*0.18)*'Технический лист'!$M$3)+((((K6+100)/1000)*((K6+100)/1000))*3)*'Технический лист'!$I$3)*1.8</f>
        <v>1098.8510976</v>
      </c>
      <c r="L20" s="24">
        <f>((((L6*0.00314)*0.18)*'Технический лист'!$M$3)+((((L6+100)/1000)*((L6+100)/1000))*3)*'Технический лист'!$I$3)*1.8</f>
        <v>1247.184864</v>
      </c>
      <c r="M20" s="24">
        <f>((((M6*0.00314)*0.18)*'Технический лист'!$M$3)+((((M6+100)/1000)*((M6+100)/1000))*3)*'Технический лист'!$I$3)*1.8</f>
        <v>1402.7848704</v>
      </c>
      <c r="N20" s="24">
        <f>((((N6*0.00314)*0.18)*'Технический лист'!$M$3)+((((N6+100)/1000)*((N6+100)/1000))*3)*'Технический лист'!$I$3)*1.8</f>
        <v>1649.8090799999998</v>
      </c>
      <c r="O20" s="24">
        <f>((((O6*0.00314)*0.18)*'Технический лист'!$M$3)+((((O6+100)/1000)*((O6+100)/1000))*3)*'Технический лист'!$I$3)*1.8</f>
        <v>1735.7836032</v>
      </c>
      <c r="P20" s="24">
        <f>((((P6*0.00314)*0.18)*'Технический лист'!$M$3)+((((P6+100)/1000)*((P6+100)/1000))*3)*'Технический лист'!$I$3)*1.8</f>
        <v>1823.5746863999998</v>
      </c>
      <c r="Q20" s="24">
        <f>((((Q6*0.00314)*0.18)*'Технический лист'!$M$3)+((((Q6+100)/1000)*((Q6+100)/1000))*3)*'Технический лист'!$I$3)*1.8</f>
        <v>1913.1823296</v>
      </c>
      <c r="R20" s="24">
        <f>((((R6*0.00314)*0.18)*'Технический лист'!$M$3)+((((R6+100)/1000)*((R6+100)/1000))*3)*'Технический лист'!$I$3)*1.8</f>
        <v>2004.6065328</v>
      </c>
      <c r="S20" s="24">
        <f>((((S6*0.00314)*0.18)*'Технический лист'!$M$3)+((((S6+100)/1000)*((S6+100)/1000))*3)*'Технический лист'!$I$3)*1.8</f>
        <v>2097.847296</v>
      </c>
      <c r="T20" s="24">
        <f>((((T6*0.00314)*0.18)*'Технический лист'!$M$3)+((((T6+100)/1000)*((T6+100)/1000))*3)*'Технический лист'!$I$3)*1.8</f>
        <v>2192.9046192</v>
      </c>
      <c r="U20" s="24">
        <f>((((U6*0.00314)*0.18)*'Технический лист'!$M$3)+((((U6+100)/1000)*((U6+100)/1000))*3)*'Технический лист'!$I$3)*1.8</f>
        <v>2289.7785023999995</v>
      </c>
      <c r="V20" s="24">
        <f>((((V6*0.00314)*0.18)*'Технический лист'!$M$3)+((((V6+100)/1000)*((V6+100)/1000))*3)*'Технический лист'!$I$3)*1.8</f>
        <v>2388.4689455999996</v>
      </c>
      <c r="W20" s="24">
        <f>((((W6*0.00314)*0.18)*'Технический лист'!$M$3)+((((W6+100)/1000)*((W6+100)/1000))*3)*'Технический лист'!$I$3)*1.8</f>
        <v>2488.9759488</v>
      </c>
      <c r="X20" s="24">
        <f>((((X6*0.00314)*0.18)*'Технический лист'!$M$3)+((((X6+100)/1000)*((X6+100)/1000))*3)*'Технический лист'!$I$3)*1.8</f>
        <v>2591.299512</v>
      </c>
    </row>
    <row r="21" spans="1:24" ht="15">
      <c r="A21" s="4" t="s">
        <v>100</v>
      </c>
      <c r="B21" s="24">
        <v>477</v>
      </c>
      <c r="C21" s="24">
        <v>477</v>
      </c>
      <c r="D21" s="24">
        <v>477</v>
      </c>
      <c r="E21" s="24">
        <v>477</v>
      </c>
      <c r="F21" s="24">
        <v>477</v>
      </c>
      <c r="G21" s="24">
        <v>477</v>
      </c>
      <c r="H21" s="24">
        <v>477</v>
      </c>
      <c r="I21" s="24">
        <v>477</v>
      </c>
      <c r="J21" s="24">
        <v>477</v>
      </c>
      <c r="K21" s="24">
        <v>477</v>
      </c>
      <c r="L21" s="24">
        <v>477</v>
      </c>
      <c r="M21" s="24">
        <v>477</v>
      </c>
      <c r="N21" s="24">
        <v>477</v>
      </c>
      <c r="O21" s="24">
        <v>477</v>
      </c>
      <c r="P21" s="24">
        <v>477</v>
      </c>
      <c r="Q21" s="24">
        <v>477</v>
      </c>
      <c r="R21" s="24">
        <v>477</v>
      </c>
      <c r="S21" s="24">
        <v>477</v>
      </c>
      <c r="T21" s="24">
        <v>477</v>
      </c>
      <c r="U21" s="24">
        <v>477</v>
      </c>
      <c r="V21" s="24">
        <v>477</v>
      </c>
      <c r="W21" s="24">
        <v>477</v>
      </c>
      <c r="X21" s="24">
        <v>477</v>
      </c>
    </row>
    <row r="22" spans="1:24" ht="15">
      <c r="A22" s="4" t="s">
        <v>101</v>
      </c>
      <c r="B22" s="24">
        <v>546</v>
      </c>
      <c r="C22" s="24">
        <v>546</v>
      </c>
      <c r="D22" s="24">
        <v>546</v>
      </c>
      <c r="E22" s="24">
        <v>546</v>
      </c>
      <c r="F22" s="24">
        <v>546</v>
      </c>
      <c r="G22" s="24">
        <v>546</v>
      </c>
      <c r="H22" s="24">
        <v>546</v>
      </c>
      <c r="I22" s="24">
        <v>546</v>
      </c>
      <c r="J22" s="24">
        <v>546</v>
      </c>
      <c r="K22" s="24">
        <v>546</v>
      </c>
      <c r="L22" s="24">
        <v>546</v>
      </c>
      <c r="M22" s="24">
        <v>546</v>
      </c>
      <c r="N22" s="24">
        <v>546</v>
      </c>
      <c r="O22" s="24">
        <v>546</v>
      </c>
      <c r="P22" s="24">
        <v>546</v>
      </c>
      <c r="Q22" s="24">
        <v>546</v>
      </c>
      <c r="R22" s="24">
        <v>546</v>
      </c>
      <c r="S22" s="24">
        <v>546</v>
      </c>
      <c r="T22" s="24">
        <v>546</v>
      </c>
      <c r="U22" s="24">
        <v>546</v>
      </c>
      <c r="V22" s="24">
        <v>546</v>
      </c>
      <c r="W22" s="24">
        <v>546</v>
      </c>
      <c r="X22" s="24">
        <v>546</v>
      </c>
    </row>
    <row r="23" spans="1:24" ht="15">
      <c r="A23" s="4" t="s">
        <v>123</v>
      </c>
      <c r="B23" s="24">
        <v>1552</v>
      </c>
      <c r="C23" s="24">
        <v>1552</v>
      </c>
      <c r="D23" s="24">
        <v>1552</v>
      </c>
      <c r="E23" s="24">
        <v>1552</v>
      </c>
      <c r="F23" s="24">
        <v>1552</v>
      </c>
      <c r="G23" s="24">
        <v>1552</v>
      </c>
      <c r="H23" s="24">
        <v>1552</v>
      </c>
      <c r="I23" s="24">
        <v>1552</v>
      </c>
      <c r="J23" s="24">
        <v>1552</v>
      </c>
      <c r="K23" s="24">
        <v>1552</v>
      </c>
      <c r="L23" s="24">
        <v>1552</v>
      </c>
      <c r="M23" s="24">
        <v>1552</v>
      </c>
      <c r="N23" s="24">
        <v>1552</v>
      </c>
      <c r="O23" s="24">
        <v>1552</v>
      </c>
      <c r="P23" s="24">
        <v>1552</v>
      </c>
      <c r="Q23" s="24">
        <v>1552</v>
      </c>
      <c r="R23" s="24">
        <v>1552</v>
      </c>
      <c r="S23" s="24">
        <v>1552</v>
      </c>
      <c r="T23" s="24">
        <v>1552</v>
      </c>
      <c r="U23" s="24">
        <v>1552</v>
      </c>
      <c r="V23" s="24">
        <v>1552</v>
      </c>
      <c r="W23" s="24">
        <v>1825</v>
      </c>
      <c r="X23" s="24">
        <v>1825</v>
      </c>
    </row>
    <row r="24" spans="1:24" ht="15">
      <c r="A24" s="4" t="s">
        <v>104</v>
      </c>
      <c r="B24" s="24">
        <v>1400</v>
      </c>
      <c r="C24" s="24">
        <v>1400</v>
      </c>
      <c r="D24" s="24">
        <v>1400</v>
      </c>
      <c r="E24" s="24">
        <v>1400</v>
      </c>
      <c r="F24" s="24">
        <v>1400</v>
      </c>
      <c r="G24" s="24">
        <v>1400</v>
      </c>
      <c r="H24" s="24">
        <v>1400</v>
      </c>
      <c r="I24" s="24">
        <v>1400</v>
      </c>
      <c r="J24" s="9">
        <v>1675</v>
      </c>
      <c r="K24" s="9">
        <v>1675</v>
      </c>
      <c r="L24" s="9">
        <v>1675</v>
      </c>
      <c r="M24" s="9">
        <v>1675</v>
      </c>
      <c r="N24" s="9">
        <v>1675</v>
      </c>
      <c r="O24" s="9">
        <v>1675</v>
      </c>
      <c r="P24" s="9">
        <v>1675</v>
      </c>
      <c r="Q24" s="9">
        <v>1950</v>
      </c>
      <c r="R24" s="9">
        <v>1950</v>
      </c>
      <c r="S24" s="9">
        <v>1950</v>
      </c>
      <c r="T24" s="9">
        <v>1950</v>
      </c>
      <c r="U24" s="9">
        <v>1950</v>
      </c>
      <c r="V24" s="9">
        <v>1950</v>
      </c>
      <c r="W24" s="9">
        <v>1950</v>
      </c>
      <c r="X24" s="9">
        <v>1950</v>
      </c>
    </row>
    <row r="25" spans="1:24" ht="15">
      <c r="A25" s="4" t="s">
        <v>77</v>
      </c>
      <c r="B25" s="23">
        <v>115</v>
      </c>
      <c r="C25" s="23">
        <v>115</v>
      </c>
      <c r="D25" s="23">
        <v>115</v>
      </c>
      <c r="E25" s="23">
        <v>115</v>
      </c>
      <c r="F25" s="23">
        <v>115</v>
      </c>
      <c r="G25" s="23">
        <v>115</v>
      </c>
      <c r="H25" s="23">
        <v>115</v>
      </c>
      <c r="I25" s="23">
        <v>115</v>
      </c>
      <c r="J25" s="23">
        <v>115</v>
      </c>
      <c r="K25" s="23">
        <v>115</v>
      </c>
      <c r="L25" s="23">
        <v>115</v>
      </c>
      <c r="M25" s="16">
        <v>130</v>
      </c>
      <c r="N25" s="16">
        <v>130</v>
      </c>
      <c r="O25" s="16">
        <v>130</v>
      </c>
      <c r="P25" s="16">
        <v>130</v>
      </c>
      <c r="Q25" s="16">
        <v>130</v>
      </c>
      <c r="R25" s="16">
        <v>130</v>
      </c>
      <c r="S25" s="16">
        <v>130</v>
      </c>
      <c r="T25" s="16">
        <v>150</v>
      </c>
      <c r="U25" s="16">
        <v>150</v>
      </c>
      <c r="V25" s="16">
        <v>150</v>
      </c>
      <c r="W25" s="16">
        <v>150</v>
      </c>
      <c r="X25" s="16">
        <v>150</v>
      </c>
    </row>
    <row r="27" spans="1:28" ht="15">
      <c r="A27" s="41" t="s">
        <v>68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1" t="s">
        <v>68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4" ht="15">
      <c r="A28" s="3" t="s">
        <v>79</v>
      </c>
      <c r="B28" s="22">
        <v>100</v>
      </c>
      <c r="C28" s="10">
        <v>110</v>
      </c>
      <c r="D28" s="10">
        <v>115</v>
      </c>
      <c r="E28" s="10">
        <v>120</v>
      </c>
      <c r="F28" s="10">
        <v>125</v>
      </c>
      <c r="G28" s="10">
        <v>130</v>
      </c>
      <c r="H28" s="10">
        <v>140</v>
      </c>
      <c r="I28" s="10">
        <v>150</v>
      </c>
      <c r="J28" s="10">
        <v>160</v>
      </c>
      <c r="K28" s="10">
        <v>180</v>
      </c>
      <c r="L28" s="10">
        <v>200</v>
      </c>
      <c r="M28" s="10">
        <v>220</v>
      </c>
      <c r="N28" s="10">
        <v>250</v>
      </c>
      <c r="O28" s="10">
        <v>260</v>
      </c>
      <c r="P28" s="10">
        <v>270</v>
      </c>
      <c r="Q28" s="10">
        <v>280</v>
      </c>
      <c r="R28" s="10">
        <v>290</v>
      </c>
      <c r="S28" s="10">
        <v>300</v>
      </c>
      <c r="T28" s="10">
        <v>310</v>
      </c>
      <c r="U28" s="10">
        <v>320</v>
      </c>
      <c r="V28" s="10">
        <v>330</v>
      </c>
      <c r="W28" s="10">
        <v>340</v>
      </c>
      <c r="X28" s="10">
        <v>350</v>
      </c>
    </row>
    <row r="29" spans="1:24" ht="15" hidden="1">
      <c r="A29" s="3"/>
      <c r="B29" s="2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>
      <c r="A30" s="4" t="s">
        <v>69</v>
      </c>
      <c r="B30" s="23">
        <f>((B28*0.00314)*'Технический лист'!$G$4)*1.5</f>
        <v>690.596103896104</v>
      </c>
      <c r="C30" s="23">
        <f>((C28*0.00314)*'Технический лист'!$G$4)*1.5</f>
        <v>759.6557142857143</v>
      </c>
      <c r="D30" s="23">
        <f>((D28*0.00314)*'Технический лист'!$G$4)*1.5</f>
        <v>794.1855194805194</v>
      </c>
      <c r="E30" s="23">
        <f>((E28*0.00314)*'Технический лист'!$G$4)*1.5</f>
        <v>828.7153246753248</v>
      </c>
      <c r="F30" s="23">
        <f>((F28*0.00314)*'Технический лист'!$G$4)*1.5</f>
        <v>863.24512987013</v>
      </c>
      <c r="G30" s="23">
        <f>((G28*0.00314)*'Технический лист'!$G$4)*1.5</f>
        <v>897.7749350649351</v>
      </c>
      <c r="H30" s="23">
        <f>((H28*0.00314)*'Технический лист'!$G$4)*1.5</f>
        <v>966.8345454545456</v>
      </c>
      <c r="I30" s="23">
        <f>((I28*0.00314)*'Технический лист'!$G$4)*1.5</f>
        <v>1035.8941558441559</v>
      </c>
      <c r="J30" s="23">
        <f>((J28*0.00314)*'Технический лист'!$G$4)*1.5</f>
        <v>1104.9537662337661</v>
      </c>
      <c r="K30" s="23">
        <f>((K28*0.00314)*'Технический лист'!$G$4)*1.5</f>
        <v>1243.0729870129871</v>
      </c>
      <c r="L30" s="23">
        <f>((L28*0.00314)*'Технический лист'!$G$4)*1.5</f>
        <v>1381.192207792208</v>
      </c>
      <c r="M30" s="23">
        <f>((M28*0.00314)*'Технический лист'!$G$4)*1.5</f>
        <v>1519.3114285714287</v>
      </c>
      <c r="N30" s="23">
        <f>((N28*0.00314)*'Технический лист'!$G$4)*1.5</f>
        <v>1726.49025974026</v>
      </c>
      <c r="O30" s="23">
        <f>((O28*0.00314)*'Технический лист'!$G$4)*1.5</f>
        <v>1795.5498701298702</v>
      </c>
      <c r="P30" s="23">
        <f>((P28*0.00314)*'Технический лист'!$G$4)*1.5</f>
        <v>1864.6094805194807</v>
      </c>
      <c r="Q30" s="23">
        <f>((Q28*0.00314)*'Технический лист'!$G$4)*1.5</f>
        <v>1933.6690909090912</v>
      </c>
      <c r="R30" s="23">
        <f>((R28*0.00314)*'Технический лист'!$G$4)*1.5</f>
        <v>2002.7287012987015</v>
      </c>
      <c r="S30" s="23">
        <f>((S28*0.00314)*'Технический лист'!$G$4)*1.5</f>
        <v>2071.7883116883118</v>
      </c>
      <c r="T30" s="23">
        <f>((T28*0.00314)*'Технический лист'!$G$4)*1.5</f>
        <v>2140.8479220779222</v>
      </c>
      <c r="U30" s="23">
        <f>((U28*0.00314)*'Технический лист'!$G$4)*1.5</f>
        <v>2209.9075324675323</v>
      </c>
      <c r="V30" s="23">
        <f>((V28*0.00314)*'Технический лист'!$G$4)*1.5</f>
        <v>2278.967142857143</v>
      </c>
      <c r="W30" s="23">
        <f>((W28*0.00314)*'Технический лист'!$G$4)*1.5</f>
        <v>2348.0267532467537</v>
      </c>
      <c r="X30" s="23">
        <f>((X28*0.00314)*'Технический лист'!$G$4)*1.5</f>
        <v>2417.086363636364</v>
      </c>
    </row>
    <row r="31" spans="1:24" ht="15">
      <c r="A31" s="4" t="s">
        <v>70</v>
      </c>
      <c r="B31" s="24">
        <f>((B30/2)*1.07)-10</f>
        <v>359.46891558441564</v>
      </c>
      <c r="C31" s="9">
        <f aca="true" t="shared" si="11" ref="C31:N31">((C30/2)*1.07)-10</f>
        <v>396.4158071428572</v>
      </c>
      <c r="D31" s="9">
        <f t="shared" si="11"/>
        <v>414.8892529220779</v>
      </c>
      <c r="E31" s="9">
        <f t="shared" si="11"/>
        <v>433.3626987012988</v>
      </c>
      <c r="F31" s="9">
        <f t="shared" si="11"/>
        <v>451.8361444805196</v>
      </c>
      <c r="G31" s="9">
        <f t="shared" si="11"/>
        <v>470.30959025974033</v>
      </c>
      <c r="H31" s="9">
        <f t="shared" si="11"/>
        <v>507.2564818181819</v>
      </c>
      <c r="I31" s="9">
        <f t="shared" si="11"/>
        <v>544.2033733766234</v>
      </c>
      <c r="J31" s="9">
        <f t="shared" si="11"/>
        <v>581.1502649350649</v>
      </c>
      <c r="K31" s="9">
        <f t="shared" si="11"/>
        <v>655.0440480519482</v>
      </c>
      <c r="L31" s="9">
        <f t="shared" si="11"/>
        <v>728.9378311688313</v>
      </c>
      <c r="M31" s="9">
        <f t="shared" si="11"/>
        <v>802.8316142857144</v>
      </c>
      <c r="N31" s="9">
        <f t="shared" si="11"/>
        <v>913.6722889610392</v>
      </c>
      <c r="O31" s="9">
        <f aca="true" t="shared" si="12" ref="O31:R31">((O30/2)*1.07)-10</f>
        <v>950.6191805194807</v>
      </c>
      <c r="P31" s="9">
        <f t="shared" si="12"/>
        <v>987.5660720779223</v>
      </c>
      <c r="Q31" s="9">
        <f t="shared" si="12"/>
        <v>1024.5129636363638</v>
      </c>
      <c r="R31" s="9">
        <f t="shared" si="12"/>
        <v>1061.4598551948054</v>
      </c>
      <c r="S31" s="9">
        <f aca="true" t="shared" si="13" ref="S31:X31">((S30/2)*1.07)-10</f>
        <v>1098.4067467532468</v>
      </c>
      <c r="T31" s="9">
        <f t="shared" si="13"/>
        <v>1135.3536383116884</v>
      </c>
      <c r="U31" s="9">
        <f t="shared" si="13"/>
        <v>1172.3005298701298</v>
      </c>
      <c r="V31" s="9">
        <f t="shared" si="13"/>
        <v>1209.2474214285714</v>
      </c>
      <c r="W31" s="9">
        <f t="shared" si="13"/>
        <v>1246.1943129870133</v>
      </c>
      <c r="X31" s="9">
        <f t="shared" si="13"/>
        <v>1283.1412045454547</v>
      </c>
    </row>
    <row r="32" spans="1:24" ht="15">
      <c r="A32" s="4" t="s">
        <v>71</v>
      </c>
      <c r="B32" s="23">
        <f>(((B28*0.00314)*0.55)*'Технический лист'!$I$4)*1.65</f>
        <v>637.225992857143</v>
      </c>
      <c r="C32" s="23">
        <f>(((C28*0.00314)*0.55)*'Технический лист'!$I$4)*1.65</f>
        <v>700.9485921428571</v>
      </c>
      <c r="D32" s="23">
        <f>(((D28*0.00314)*0.55)*'Технический лист'!$I$4)*1.65</f>
        <v>732.8098917857143</v>
      </c>
      <c r="E32" s="23">
        <f>(((E28*0.00314)*0.55)*'Технический лист'!$I$4)*1.65</f>
        <v>764.6711914285715</v>
      </c>
      <c r="F32" s="23">
        <f>(((F28*0.00314)*0.55)*'Технический лист'!$I$4)*1.65</f>
        <v>796.5324910714287</v>
      </c>
      <c r="G32" s="23">
        <f>(((G28*0.00314)*0.55)*'Технический лист'!$I$4)*1.65</f>
        <v>828.3937907142857</v>
      </c>
      <c r="H32" s="23">
        <f>(((H28*0.00314)*0.55)*'Технический лист'!$I$4)*1.65</f>
        <v>892.1163900000001</v>
      </c>
      <c r="I32" s="23">
        <f>(((I28*0.00314)*0.55)*'Технический лист'!$I$4)*1.65</f>
        <v>955.8389892857144</v>
      </c>
      <c r="J32" s="23">
        <f>(((J28*0.00314)*0.55)*'Технический лист'!$I$4)*1.65</f>
        <v>1019.5615885714286</v>
      </c>
      <c r="K32" s="23">
        <f>(((K28*0.00314)*0.55)*'Технический лист'!$I$4)*1.65</f>
        <v>1147.0067871428573</v>
      </c>
      <c r="L32" s="23">
        <f>(((L28*0.00314)*0.55)*'Технический лист'!$I$4)*1.65</f>
        <v>1274.451985714286</v>
      </c>
      <c r="M32" s="23">
        <f>(((M28*0.00314)*0.55)*'Технический лист'!$I$4)*1.65</f>
        <v>1401.8971842857143</v>
      </c>
      <c r="N32" s="23">
        <f>(((N28*0.00314)*0.55)*'Технический лист'!$I$4)*1.65</f>
        <v>1593.0649821428574</v>
      </c>
      <c r="O32" s="23">
        <f>(((O28*0.00314)*0.55)*'Технический лист'!$I$4)*1.65</f>
        <v>1656.7875814285715</v>
      </c>
      <c r="P32" s="23">
        <f>(((P28*0.00314)*0.55)*'Технический лист'!$I$4)*1.65</f>
        <v>1720.510180714286</v>
      </c>
      <c r="Q32" s="23">
        <f>(((Q28*0.00314)*0.55)*'Технический лист'!$I$4)*1.65</f>
        <v>1784.2327800000003</v>
      </c>
      <c r="R32" s="23">
        <f>(((R28*0.00314)*0.55)*'Технический лист'!$I$4)*1.65</f>
        <v>1847.9553792857143</v>
      </c>
      <c r="S32" s="23">
        <f>(((S28*0.00314)*0.55)*'Технический лист'!$I$4)*1.65</f>
        <v>1911.6779785714289</v>
      </c>
      <c r="T32" s="23">
        <f>(((T28*0.00314)*0.55)*'Технический лист'!$I$4)*1.65</f>
        <v>1975.4005778571427</v>
      </c>
      <c r="U32" s="23">
        <f>(((U28*0.00314)*0.55)*'Технический лист'!$I$4)*1.65</f>
        <v>2039.1231771428572</v>
      </c>
      <c r="V32" s="23">
        <f>(((V28*0.00314)*0.55)*'Технический лист'!$I$4)*1.65</f>
        <v>2102.8457764285718</v>
      </c>
      <c r="W32" s="23">
        <f>(((W28*0.00314)*0.55)*'Технический лист'!$I$4)*1.65</f>
        <v>2166.5683757142865</v>
      </c>
      <c r="X32" s="23">
        <f>(((X28*0.00314)*0.55)*'Технический лист'!$I$4)*1.65</f>
        <v>2230.290975</v>
      </c>
    </row>
    <row r="33" spans="1:24" ht="15">
      <c r="A33" s="4" t="s">
        <v>72</v>
      </c>
      <c r="B33" s="24">
        <f>((B32*2)/3)-6</f>
        <v>418.8173285714286</v>
      </c>
      <c r="C33" s="9">
        <f aca="true" t="shared" si="14" ref="C33:N33">((C32*2)/3)-6</f>
        <v>461.2990614285714</v>
      </c>
      <c r="D33" s="9">
        <f t="shared" si="14"/>
        <v>482.53992785714286</v>
      </c>
      <c r="E33" s="9">
        <f t="shared" si="14"/>
        <v>503.78079428571436</v>
      </c>
      <c r="F33" s="9">
        <f t="shared" si="14"/>
        <v>525.0216607142858</v>
      </c>
      <c r="G33" s="9">
        <f t="shared" si="14"/>
        <v>546.2625271428572</v>
      </c>
      <c r="H33" s="9">
        <f t="shared" si="14"/>
        <v>588.74426</v>
      </c>
      <c r="I33" s="9">
        <f t="shared" si="14"/>
        <v>631.225992857143</v>
      </c>
      <c r="J33" s="9">
        <f t="shared" si="14"/>
        <v>673.7077257142857</v>
      </c>
      <c r="K33" s="9">
        <f t="shared" si="14"/>
        <v>758.6711914285715</v>
      </c>
      <c r="L33" s="9">
        <f t="shared" si="14"/>
        <v>843.6346571428572</v>
      </c>
      <c r="M33" s="9">
        <f t="shared" si="14"/>
        <v>928.5981228571428</v>
      </c>
      <c r="N33" s="9">
        <f t="shared" si="14"/>
        <v>1056.0433214285715</v>
      </c>
      <c r="O33" s="9">
        <f aca="true" t="shared" si="15" ref="O33:R33">((O32*2)/3)-6</f>
        <v>1098.5250542857143</v>
      </c>
      <c r="P33" s="9">
        <f t="shared" si="15"/>
        <v>1141.0067871428573</v>
      </c>
      <c r="Q33" s="9">
        <f t="shared" si="15"/>
        <v>1183.48852</v>
      </c>
      <c r="R33" s="9">
        <f t="shared" si="15"/>
        <v>1225.970252857143</v>
      </c>
      <c r="S33" s="9">
        <f aca="true" t="shared" si="16" ref="S33:X33">((S32*2)/3)-6</f>
        <v>1268.451985714286</v>
      </c>
      <c r="T33" s="9">
        <f t="shared" si="16"/>
        <v>1310.9337185714285</v>
      </c>
      <c r="U33" s="9">
        <f t="shared" si="16"/>
        <v>1353.4154514285715</v>
      </c>
      <c r="V33" s="9">
        <f t="shared" si="16"/>
        <v>1395.8971842857145</v>
      </c>
      <c r="W33" s="9">
        <f t="shared" si="16"/>
        <v>1438.3789171428577</v>
      </c>
      <c r="X33" s="9">
        <f t="shared" si="16"/>
        <v>1480.8606499999999</v>
      </c>
    </row>
    <row r="34" spans="1:24" ht="15">
      <c r="A34" s="4" t="s">
        <v>73</v>
      </c>
      <c r="B34" s="26">
        <f>(((((B28+30)*(B28+30))/1000000)*'Технический лист'!$E$21)+(B28*0.000942)*'Технический лист'!$M$4)*1.7</f>
        <v>533.8836753246754</v>
      </c>
      <c r="C34" s="26">
        <f>(((((C28+30)*(C28+30))/1000000)*'Технический лист'!$E$21)+(C28*0.000942)*'Технический лист'!$M$4)*1.7</f>
        <v>594.1400428571428</v>
      </c>
      <c r="D34" s="26">
        <f>(((((D28+30)*(D28+30))/1000000)*'Технический лист'!$E$21)+(D28*0.000942)*'Технический лист'!$M$4)*1.7</f>
        <v>624.7782266233767</v>
      </c>
      <c r="E34" s="26">
        <f>(((((E28+30)*(E28+30))/1000000)*'Технический лист'!$E$21)+(E28*0.000942)*'Технический лист'!$M$4)*1.7</f>
        <v>655.7564103896104</v>
      </c>
      <c r="F34" s="26">
        <f>(((((F28+30)*(F28+30))/1000000)*'Технический лист'!$E$21)+(F28*0.000942)*'Технический лист'!$M$4)*1.7</f>
        <v>687.0745941558442</v>
      </c>
      <c r="G34" s="26">
        <f>(((((G28+30)*(G28+30))/1000000)*'Технический лист'!$E$21)+(G28*0.000942)*'Технический лист'!$M$4)*1.7</f>
        <v>718.732777922078</v>
      </c>
      <c r="H34" s="26">
        <f>(((((H28+30)*(H28+30))/1000000)*'Технический лист'!$E$21)+(H28*0.000942)*'Технический лист'!$M$4)*1.7</f>
        <v>783.0691454545455</v>
      </c>
      <c r="I34" s="26">
        <f>(((((I28+30)*(I28+30))/1000000)*'Технический лист'!$E$21)+(I28*0.000942)*'Технический лист'!$M$4)*1.7</f>
        <v>848.765512987013</v>
      </c>
      <c r="J34" s="26">
        <f>(((((J28+30)*(J28+30))/1000000)*'Технический лист'!$E$21)+(J28*0.000942)*'Технический лист'!$M$4)*1.7</f>
        <v>915.8218805194806</v>
      </c>
      <c r="K34" s="26">
        <f>(((((K28+30)*(K28+30))/1000000)*'Технический лист'!$E$21)+(K28*0.000942)*'Технический лист'!$M$4)*1.7</f>
        <v>1054.0146155844157</v>
      </c>
      <c r="L34" s="26">
        <f>(((((L28+30)*(L28+30))/1000000)*'Технический лист'!$E$21)+(L28*0.000942)*'Технический лист'!$M$4)*1.7</f>
        <v>1197.6473506493508</v>
      </c>
      <c r="M34" s="26">
        <f>(((((M28+30)*(M28+30))/1000000)*'Технический лист'!$E$21)+(M28*0.000942)*'Технический лист'!$M$4)*1.7</f>
        <v>1346.7200857142857</v>
      </c>
      <c r="N34" s="26">
        <f>(((((N28+30)*(N28+30))/1000000)*'Технический лист'!$E$21)+(N28*0.000942)*'Технический лист'!$M$4)*1.7</f>
        <v>1580.5291883116884</v>
      </c>
      <c r="O34" s="26">
        <f>(((((O28+30)*(O28+30))/1000000)*'Технический лист'!$E$21)+(O28*0.000942)*'Технический лист'!$M$4)*1.7</f>
        <v>1661.1855558441557</v>
      </c>
      <c r="P34" s="26">
        <f>(((((P28+30)*(P28+30))/1000000)*'Технический лист'!$E$21)+(P28*0.000942)*'Технический лист'!$M$4)*1.7</f>
        <v>1743.2019233766234</v>
      </c>
      <c r="Q34" s="26">
        <f>(((((Q28+30)*(Q28+30))/1000000)*'Технический лист'!$E$21)+(Q28*0.000942)*'Технический лист'!$M$4)*1.7</f>
        <v>1826.578290909091</v>
      </c>
      <c r="R34" s="26">
        <f>(((((R28+30)*(R28+30))/1000000)*'Технический лист'!$E$21)+(R28*0.000942)*'Технический лист'!$M$4)*1.7</f>
        <v>1911.3146584415585</v>
      </c>
      <c r="S34" s="26">
        <f>(((((S28+30)*(S28+30))/1000000)*'Технический лист'!$E$21)+(S28*0.000942)*'Технический лист'!$M$4)*1.7</f>
        <v>1997.4110259740262</v>
      </c>
      <c r="T34" s="26">
        <f>(((((T28+30)*(T28+30))/1000000)*'Технический лист'!$E$21)+(T28*0.000942)*'Технический лист'!$M$4)*1.7</f>
        <v>2084.8673935064935</v>
      </c>
      <c r="U34" s="26">
        <f>(((((U28+30)*(U28+30))/1000000)*'Технический лист'!$E$21)+(U28*0.000942)*'Технический лист'!$M$4)*1.7</f>
        <v>2173.6837610389607</v>
      </c>
      <c r="V34" s="26">
        <f>(((((V28+30)*(V28+30))/1000000)*'Технический лист'!$E$21)+(V28*0.000942)*'Технический лист'!$M$4)*1.7</f>
        <v>2263.860128571429</v>
      </c>
      <c r="W34" s="26">
        <f>(((((W28+30)*(W28+30))/1000000)*'Технический лист'!$E$21)+(W28*0.000942)*'Технический лист'!$M$4)*1.7</f>
        <v>2355.3964961038964</v>
      </c>
      <c r="X34" s="26">
        <f>(((((X28+30)*(X28+30))/1000000)*'Технический лист'!$E$21)+(X28*0.000942)*'Технический лист'!$M$4)*1.7</f>
        <v>2448.2928636363636</v>
      </c>
    </row>
    <row r="35" spans="1:24" ht="15">
      <c r="A35" s="4" t="s">
        <v>74</v>
      </c>
      <c r="B35" s="24">
        <f>(((B28*0.00314)*0.35)*'Технический лист'!$O$4)+B34</f>
        <v>793.9327662337664</v>
      </c>
      <c r="C35" s="9">
        <f>(((C28*0.00314)*0.35)*'Технический лист'!$O$4)+C34</f>
        <v>880.1940428571428</v>
      </c>
      <c r="D35" s="9">
        <f>(((D28*0.00314)*0.35)*'Технический лист'!$O$4)+D34</f>
        <v>923.8346811688311</v>
      </c>
      <c r="E35" s="9">
        <f>(((E28*0.00314)*0.35)*'Технический лист'!$O$4)+E34</f>
        <v>967.8153194805195</v>
      </c>
      <c r="F35" s="9">
        <f>(((F28*0.00314)*0.35)*'Технический лист'!$O$4)+F34</f>
        <v>1012.1359577922078</v>
      </c>
      <c r="G35" s="9">
        <f>(((G28*0.00314)*0.35)*'Технический лист'!$O$4)+G34</f>
        <v>1056.7965961038963</v>
      </c>
      <c r="H35" s="9">
        <f>(((H28*0.00314)*0.35)*'Технический лист'!$O$4)+H34</f>
        <v>1147.1378727272727</v>
      </c>
      <c r="I35" s="9">
        <f>(((I28*0.00314)*0.35)*'Технический лист'!$O$4)+I34</f>
        <v>1238.8391493506492</v>
      </c>
      <c r="J35" s="9">
        <f>(((J28*0.00314)*0.35)*'Технический лист'!$O$4)+J34</f>
        <v>1331.900425974026</v>
      </c>
      <c r="K35" s="9">
        <f>(((K28*0.00314)*0.35)*'Технический лист'!$O$4)+K34</f>
        <v>1522.1029792207792</v>
      </c>
      <c r="L35" s="9">
        <f>(((L28*0.00314)*0.35)*'Технический лист'!$O$4)+L34</f>
        <v>1717.7455324675325</v>
      </c>
      <c r="M35" s="9">
        <f>(((M28*0.00314)*0.35)*'Технический лист'!$O$4)+M34</f>
        <v>1918.8280857142856</v>
      </c>
      <c r="N35" s="9">
        <f>(((N28*0.00314)*0.35)*'Технический лист'!$O$4)+N34</f>
        <v>2230.6519155844157</v>
      </c>
      <c r="O35" s="9">
        <f>(((O28*0.00314)*0.35)*'Технический лист'!$O$4)+O34</f>
        <v>2337.313192207792</v>
      </c>
      <c r="P35" s="9">
        <f>(((P28*0.00314)*0.35)*'Технический лист'!$O$4)+P34</f>
        <v>2445.334468831169</v>
      </c>
      <c r="Q35" s="9">
        <f>(((Q28*0.00314)*0.35)*'Технический лист'!$O$4)+Q34</f>
        <v>2554.715745454546</v>
      </c>
      <c r="R35" s="9">
        <f>(((R28*0.00314)*0.35)*'Технический лист'!$O$4)+R34</f>
        <v>2665.4570220779224</v>
      </c>
      <c r="S35" s="9">
        <f>(((S28*0.00314)*0.35)*'Технический лист'!$O$4)+S34</f>
        <v>2777.5582987012986</v>
      </c>
      <c r="T35" s="9">
        <f>(((T28*0.00314)*0.35)*'Технический лист'!$O$4)+T34</f>
        <v>2891.0195753246753</v>
      </c>
      <c r="U35" s="9">
        <f>(((U28*0.00314)*0.35)*'Технический лист'!$O$4)+U34</f>
        <v>3005.8408519480517</v>
      </c>
      <c r="V35" s="9">
        <f>(((V28*0.00314)*0.35)*'Технический лист'!$O$4)+V34</f>
        <v>3122.0221285714288</v>
      </c>
      <c r="W35" s="9">
        <f>(((W28*0.00314)*0.35)*'Технический лист'!$O$4)+W34</f>
        <v>3239.5634051948055</v>
      </c>
      <c r="X35" s="9">
        <f>(((X28*0.00314)*0.35)*'Технический лист'!$O$4)+X34</f>
        <v>3358.464681818182</v>
      </c>
    </row>
    <row r="36" spans="1:24" ht="15" hidden="1">
      <c r="A36" s="4"/>
      <c r="B36" s="2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>
      <c r="A37" s="4" t="s">
        <v>99</v>
      </c>
      <c r="B37" s="23">
        <v>1080</v>
      </c>
      <c r="C37" s="16">
        <v>1215</v>
      </c>
      <c r="D37" s="16">
        <v>1285</v>
      </c>
      <c r="E37" s="16">
        <v>1355</v>
      </c>
      <c r="F37" s="16">
        <v>1425</v>
      </c>
      <c r="G37" s="16">
        <v>1497</v>
      </c>
      <c r="H37" s="16">
        <v>1642</v>
      </c>
      <c r="I37" s="16">
        <v>1795</v>
      </c>
      <c r="J37" s="16">
        <v>1945</v>
      </c>
      <c r="K37" s="16">
        <v>2265</v>
      </c>
      <c r="L37" s="16">
        <v>2593</v>
      </c>
      <c r="M37" s="16">
        <v>2940</v>
      </c>
      <c r="N37" s="16">
        <v>3172</v>
      </c>
      <c r="O37" s="16">
        <v>3681</v>
      </c>
      <c r="P37" s="16">
        <v>3876</v>
      </c>
      <c r="Q37" s="16">
        <v>4074</v>
      </c>
      <c r="R37" s="16">
        <v>4278</v>
      </c>
      <c r="S37" s="16">
        <v>4484</v>
      </c>
      <c r="T37" s="16">
        <v>4692</v>
      </c>
      <c r="U37" s="16">
        <v>4905</v>
      </c>
      <c r="V37" s="16">
        <v>5122</v>
      </c>
      <c r="W37" s="16">
        <v>5343</v>
      </c>
      <c r="X37" s="16">
        <v>5568</v>
      </c>
    </row>
    <row r="38" spans="1:24" ht="15">
      <c r="A38" s="4" t="s">
        <v>103</v>
      </c>
      <c r="B38" s="23">
        <v>1080</v>
      </c>
      <c r="C38" s="16">
        <v>1215</v>
      </c>
      <c r="D38" s="16">
        <v>1285</v>
      </c>
      <c r="E38" s="16">
        <v>1355</v>
      </c>
      <c r="F38" s="16">
        <v>1425</v>
      </c>
      <c r="G38" s="16">
        <v>1497</v>
      </c>
      <c r="H38" s="16">
        <v>1642</v>
      </c>
      <c r="I38" s="16">
        <v>1795</v>
      </c>
      <c r="J38" s="16">
        <v>1945</v>
      </c>
      <c r="K38" s="16">
        <v>2265</v>
      </c>
      <c r="L38" s="16">
        <v>2593</v>
      </c>
      <c r="M38" s="16">
        <v>2940</v>
      </c>
      <c r="N38" s="16">
        <v>3172</v>
      </c>
      <c r="O38" s="16">
        <v>3681</v>
      </c>
      <c r="P38" s="16">
        <v>3876</v>
      </c>
      <c r="Q38" s="16">
        <v>4074</v>
      </c>
      <c r="R38" s="16">
        <v>4278</v>
      </c>
      <c r="S38" s="16">
        <v>4484</v>
      </c>
      <c r="T38" s="16">
        <v>4692</v>
      </c>
      <c r="U38" s="16">
        <v>4905</v>
      </c>
      <c r="V38" s="16">
        <v>5122</v>
      </c>
      <c r="W38" s="16">
        <v>5343</v>
      </c>
      <c r="X38" s="16">
        <v>5568</v>
      </c>
    </row>
    <row r="39" spans="1:24" ht="15">
      <c r="A39" s="4" t="s">
        <v>75</v>
      </c>
      <c r="B39" s="24">
        <f>(((B28*0.00314)*((B28+500)/1000)*'Технический лист'!$K$4))*1.8</f>
        <v>792.2635948051948</v>
      </c>
      <c r="C39" s="24">
        <f>(((C28*0.00314)*((C28+500)/1000)*'Технический лист'!$K$4))*1.8</f>
        <v>886.0147868571429</v>
      </c>
      <c r="D39" s="24">
        <f>(((D28*0.00314)*((D28+500)/1000)*'Технический лист'!$K$4))*1.8</f>
        <v>933.8807123766235</v>
      </c>
      <c r="E39" s="24">
        <f>(((E28*0.00314)*((E28+500)/1000)*'Технический лист'!$K$4))*1.8</f>
        <v>982.4068575584417</v>
      </c>
      <c r="F39" s="24">
        <f>(((F28*0.00314)*((F28+500)/1000)*'Технический лист'!$K$4))*1.8</f>
        <v>1031.5932224025976</v>
      </c>
      <c r="G39" s="24">
        <f>(((G28*0.00314)*((G28+500)/1000)*'Технический лист'!$K$4))*1.8</f>
        <v>1081.439806909091</v>
      </c>
      <c r="H39" s="24">
        <f>(((H28*0.00314)*((H28+500)/1000)*'Технический лист'!$K$4))*1.8</f>
        <v>1183.113634909091</v>
      </c>
      <c r="I39" s="24">
        <f>(((I28*0.00314)*((I28+500)/1000)*'Технический лист'!$K$4))*1.8</f>
        <v>1287.4283415584416</v>
      </c>
      <c r="J39" s="24">
        <f>(((J28*0.00314)*((J28+500)/1000)*'Технический лист'!$K$4))*1.8</f>
        <v>1394.383926857143</v>
      </c>
      <c r="K39" s="24">
        <f>(((K28*0.00314)*((K28+500)/1000)*'Технический лист'!$K$4))*1.8</f>
        <v>1616.2177334025978</v>
      </c>
      <c r="L39" s="24">
        <f>(((L28*0.00314)*((L28+500)/1000)*'Технический лист'!$K$4))*1.8</f>
        <v>1848.6150545454545</v>
      </c>
      <c r="M39" s="24">
        <f>(((M28*0.00314)*((M28+500)/1000)*'Технический лист'!$K$4))*1.8</f>
        <v>2091.5758902857146</v>
      </c>
      <c r="N39" s="24">
        <f>(((N28*0.00314)*((N28+500)/1000)*'Технический лист'!$K$4))*1.8</f>
        <v>2475.823733766234</v>
      </c>
      <c r="O39" s="24">
        <f>(((O28*0.00314)*((O28+500)/1000)*'Технический лист'!$K$4))*1.8</f>
        <v>2609.1881055584417</v>
      </c>
      <c r="P39" s="24">
        <f>(((P28*0.00314)*((P28+500)/1000)*'Технический лист'!$K$4))*1.8</f>
        <v>2745.193356</v>
      </c>
      <c r="Q39" s="24">
        <f>(((Q28*0.00314)*((Q28+500)/1000)*'Технический лист'!$K$4))*1.8</f>
        <v>2883.8394850909094</v>
      </c>
      <c r="R39" s="24">
        <f>(((R28*0.00314)*((R28+500)/1000)*'Технический лист'!$K$4))*1.8</f>
        <v>3025.126492831169</v>
      </c>
      <c r="S39" s="24">
        <f>(((S28*0.00314)*((S28+500)/1000)*'Технический лист'!$K$4))*1.8</f>
        <v>3169.0543792207795</v>
      </c>
      <c r="T39" s="24">
        <f>(((T28*0.00314)*((T28+500)/1000)*'Технический лист'!$K$4))*1.8</f>
        <v>3315.623144259741</v>
      </c>
      <c r="U39" s="24">
        <f>(((U28*0.00314)*((U28+500)/1000)*'Технический лист'!$K$4))*1.8</f>
        <v>3464.8327879480516</v>
      </c>
      <c r="V39" s="24">
        <f>(((V28*0.00314)*((V28+500)/1000)*'Технический лист'!$K$4))*1.8</f>
        <v>3616.6833102857145</v>
      </c>
      <c r="W39" s="24">
        <f>(((W28*0.00314)*((W28+500)/1000)*'Технический лист'!$K$4))*1.8</f>
        <v>3771.1747112727276</v>
      </c>
      <c r="X39" s="24">
        <f>(((X28*0.00314)*((X28+500)/1000)*'Технический лист'!$K$4))*1.8</f>
        <v>3928.306990909091</v>
      </c>
    </row>
    <row r="40" spans="1:24" ht="15" hidden="1">
      <c r="A40" s="4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>
      <c r="A41" s="4" t="s">
        <v>105</v>
      </c>
      <c r="B41" s="24">
        <v>734</v>
      </c>
      <c r="C41" s="9">
        <v>808</v>
      </c>
      <c r="D41" s="9">
        <v>846</v>
      </c>
      <c r="E41" s="9">
        <v>885</v>
      </c>
      <c r="F41" s="9">
        <v>925</v>
      </c>
      <c r="G41" s="9">
        <v>965</v>
      </c>
      <c r="H41" s="9">
        <v>1047</v>
      </c>
      <c r="I41" s="9">
        <v>1131</v>
      </c>
      <c r="J41" s="9">
        <v>1217</v>
      </c>
      <c r="K41" s="9">
        <v>1398</v>
      </c>
      <c r="L41" s="9">
        <v>1588</v>
      </c>
      <c r="M41" s="9">
        <v>1788</v>
      </c>
      <c r="N41" s="9">
        <v>2106</v>
      </c>
      <c r="O41" s="9">
        <v>2217</v>
      </c>
      <c r="P41" s="9">
        <v>2330</v>
      </c>
      <c r="Q41" s="9">
        <v>2446</v>
      </c>
      <c r="R41" s="9">
        <v>2564</v>
      </c>
      <c r="S41" s="9">
        <v>2684</v>
      </c>
      <c r="T41" s="9">
        <v>2807</v>
      </c>
      <c r="U41" s="9">
        <v>2932</v>
      </c>
      <c r="V41" s="9">
        <v>3060</v>
      </c>
      <c r="W41" s="9">
        <v>3190</v>
      </c>
      <c r="X41" s="9">
        <v>3323</v>
      </c>
    </row>
    <row r="42" spans="1:24" ht="15">
      <c r="A42" s="4" t="s">
        <v>76</v>
      </c>
      <c r="B42" s="24">
        <f>((((B28*0.00314)*0.21)*'Технический лист'!$M$3)+((((B28+100)/1000)*((B28+100)/1000))*3)*'Технический лист'!$I$4)*1.8</f>
        <v>733.7039975064936</v>
      </c>
      <c r="C42" s="24">
        <f>((((C28*0.00314)*0.21)*'Технический лист'!$M$3)+((((C28+100)/1000)*((C28+100)/1000))*3)*'Технический лист'!$I$4)*1.8</f>
        <v>808.281963490909</v>
      </c>
      <c r="D42" s="24">
        <f>((((D28*0.00314)*0.21)*'Технический лист'!$M$3)+((((D28+100)/1000)*((D28+100)/1000))*3)*'Технический лист'!$I$4)*1.8</f>
        <v>846.4766211584415</v>
      </c>
      <c r="E42" s="24">
        <f>((((E28*0.00314)*0.21)*'Технический лист'!$M$3)+((((E28+100)/1000)*((E28+100)/1000))*3)*'Технический лист'!$I$4)*1.8</f>
        <v>885.2750619428572</v>
      </c>
      <c r="F42" s="24">
        <f>((((F28*0.00314)*0.21)*'Технический лист'!$M$3)+((((F28+100)/1000)*((F28+100)/1000))*3)*'Технический лист'!$I$4)*1.8</f>
        <v>924.677285844156</v>
      </c>
      <c r="G42" s="24">
        <f>((((G28*0.00314)*0.21)*'Технический лист'!$M$3)+((((G28+100)/1000)*((G28+100)/1000))*3)*'Технический лист'!$I$4)*1.8</f>
        <v>964.6832928623378</v>
      </c>
      <c r="H42" s="24">
        <f>((((H28*0.00314)*0.21)*'Технический лист'!$M$3)+((((H28+100)/1000)*((H28+100)/1000))*3)*'Технический лист'!$I$4)*1.8</f>
        <v>1046.5066562493507</v>
      </c>
      <c r="I42" s="24">
        <f>((((I28*0.00314)*0.21)*'Технический лист'!$M$3)+((((I28+100)/1000)*((I28+100)/1000))*3)*'Технический лист'!$I$4)*1.8</f>
        <v>1130.745152103896</v>
      </c>
      <c r="J42" s="24">
        <f>((((J28*0.00314)*0.21)*'Технический лист'!$M$3)+((((J28+100)/1000)*((J28+100)/1000))*3)*'Технический лист'!$I$4)*1.8</f>
        <v>1217.398780425974</v>
      </c>
      <c r="K42" s="24">
        <f>((((K28*0.00314)*0.21)*'Технический лист'!$M$3)+((((K28+100)/1000)*((K28+100)/1000))*3)*'Технический лист'!$I$4)*1.8</f>
        <v>1397.9514344727274</v>
      </c>
      <c r="L42" s="24">
        <f>((((L28*0.00314)*0.21)*'Технический лист'!$M$3)+((((L28+100)/1000)*((L28+100)/1000))*3)*'Технический лист'!$I$4)*1.8</f>
        <v>1588.1646183896103</v>
      </c>
      <c r="M42" s="24">
        <f>((((M28*0.00314)*0.21)*'Технический лист'!$M$3)+((((M28+100)/1000)*((M28+100)/1000))*3)*'Технический лист'!$I$4)*1.8</f>
        <v>1788.0383321766235</v>
      </c>
      <c r="N42" s="24">
        <f>((((N28*0.00314)*0.21)*'Технический лист'!$M$3)+((((N28+100)/1000)*((N28+100)/1000))*3)*'Технический лист'!$I$4)*1.8</f>
        <v>2105.9623963636363</v>
      </c>
      <c r="O42" s="24">
        <f>((((O28*0.00314)*0.21)*'Технический лист'!$M$3)+((((O28+100)/1000)*((O28+100)/1000))*3)*'Технический лист'!$I$4)*1.8</f>
        <v>2216.767349361039</v>
      </c>
      <c r="P42" s="24">
        <f>((((P28*0.00314)*0.21)*'Технический лист'!$M$3)+((((P28+100)/1000)*((P28+100)/1000))*3)*'Технический лист'!$I$4)*1.8</f>
        <v>2329.987434825974</v>
      </c>
      <c r="Q42" s="24">
        <f>((((Q28*0.00314)*0.21)*'Технический лист'!$M$3)+((((Q28+100)/1000)*((Q28+100)/1000))*3)*'Технический лист'!$I$4)*1.8</f>
        <v>2445.6226527584417</v>
      </c>
      <c r="R42" s="24">
        <f>((((R28*0.00314)*0.21)*'Технический лист'!$M$3)+((((R28+100)/1000)*((R28+100)/1000))*3)*'Технический лист'!$I$4)*1.8</f>
        <v>2563.673003158442</v>
      </c>
      <c r="S42" s="24">
        <f>((((S28*0.00314)*0.21)*'Технический лист'!$M$3)+((((S28+100)/1000)*((S28+100)/1000))*3)*'Технический лист'!$I$4)*1.8</f>
        <v>2684.1384860259745</v>
      </c>
      <c r="T42" s="24">
        <f>((((T28*0.00314)*0.21)*'Технический лист'!$M$3)+((((T28+100)/1000)*((T28+100)/1000))*3)*'Технический лист'!$I$4)*1.8</f>
        <v>2807.019101361039</v>
      </c>
      <c r="U42" s="24">
        <f>((((U28*0.00314)*0.21)*'Технический лист'!$M$3)+((((U28+100)/1000)*((U28+100)/1000))*3)*'Технический лист'!$I$4)*1.8</f>
        <v>2932.3148491636357</v>
      </c>
      <c r="V42" s="24">
        <f>((((V28*0.00314)*0.21)*'Технический лист'!$M$3)+((((V28+100)/1000)*((V28+100)/1000))*3)*'Технический лист'!$I$4)*1.8</f>
        <v>3060.025729433766</v>
      </c>
      <c r="W42" s="24">
        <f>((((W28*0.00314)*0.21)*'Технический лист'!$M$3)+((((W28+100)/1000)*((W28+100)/1000))*3)*'Технический лист'!$I$4)*1.8</f>
        <v>3190.151742171429</v>
      </c>
      <c r="X42" s="24">
        <f>((((X28*0.00314)*0.21)*'Технический лист'!$M$3)+((((X28+100)/1000)*((X28+100)/1000))*3)*'Технический лист'!$I$4)*1.8</f>
        <v>3322.6928873766237</v>
      </c>
    </row>
    <row r="43" spans="1:24" ht="15">
      <c r="A43" s="4" t="s">
        <v>100</v>
      </c>
      <c r="B43" s="24">
        <v>720</v>
      </c>
      <c r="C43" s="24">
        <v>720</v>
      </c>
      <c r="D43" s="24">
        <v>720</v>
      </c>
      <c r="E43" s="24">
        <v>720</v>
      </c>
      <c r="F43" s="24">
        <v>720</v>
      </c>
      <c r="G43" s="24">
        <v>720</v>
      </c>
      <c r="H43" s="24">
        <v>720</v>
      </c>
      <c r="I43" s="24">
        <v>720</v>
      </c>
      <c r="J43" s="24">
        <v>720</v>
      </c>
      <c r="K43" s="24">
        <v>720</v>
      </c>
      <c r="L43" s="24">
        <v>720</v>
      </c>
      <c r="M43" s="24">
        <v>720</v>
      </c>
      <c r="N43" s="24">
        <v>720</v>
      </c>
      <c r="O43" s="24">
        <v>720</v>
      </c>
      <c r="P43" s="24">
        <v>720</v>
      </c>
      <c r="Q43" s="24">
        <v>720</v>
      </c>
      <c r="R43" s="24">
        <v>720</v>
      </c>
      <c r="S43" s="24">
        <v>720</v>
      </c>
      <c r="T43" s="24">
        <v>720</v>
      </c>
      <c r="U43" s="24">
        <v>720</v>
      </c>
      <c r="V43" s="24">
        <v>720</v>
      </c>
      <c r="W43" s="24">
        <v>720</v>
      </c>
      <c r="X43" s="24">
        <v>720</v>
      </c>
    </row>
    <row r="44" spans="1:24" ht="15">
      <c r="A44" s="4" t="s">
        <v>101</v>
      </c>
      <c r="B44" s="24">
        <v>800</v>
      </c>
      <c r="C44" s="24">
        <v>800</v>
      </c>
      <c r="D44" s="24">
        <v>800</v>
      </c>
      <c r="E44" s="24">
        <v>800</v>
      </c>
      <c r="F44" s="24">
        <v>800</v>
      </c>
      <c r="G44" s="24">
        <v>800</v>
      </c>
      <c r="H44" s="24">
        <v>800</v>
      </c>
      <c r="I44" s="24">
        <v>800</v>
      </c>
      <c r="J44" s="24">
        <v>800</v>
      </c>
      <c r="K44" s="24">
        <v>800</v>
      </c>
      <c r="L44" s="24">
        <v>800</v>
      </c>
      <c r="M44" s="24">
        <v>800</v>
      </c>
      <c r="N44" s="24">
        <v>800</v>
      </c>
      <c r="O44" s="24">
        <v>800</v>
      </c>
      <c r="P44" s="24">
        <v>800</v>
      </c>
      <c r="Q44" s="24">
        <v>800</v>
      </c>
      <c r="R44" s="24">
        <v>800</v>
      </c>
      <c r="S44" s="24">
        <v>800</v>
      </c>
      <c r="T44" s="24">
        <v>800</v>
      </c>
      <c r="U44" s="24">
        <v>800</v>
      </c>
      <c r="V44" s="24">
        <v>800</v>
      </c>
      <c r="W44" s="24">
        <v>800</v>
      </c>
      <c r="X44" s="24">
        <v>800</v>
      </c>
    </row>
  </sheetData>
  <mergeCells count="8">
    <mergeCell ref="A27:N27"/>
    <mergeCell ref="A1:C1"/>
    <mergeCell ref="D1:O1"/>
    <mergeCell ref="D2:O2"/>
    <mergeCell ref="D3:O3"/>
    <mergeCell ref="A5:O5"/>
    <mergeCell ref="O27:AB27"/>
    <mergeCell ref="P5:AD5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9"/>
  <sheetViews>
    <sheetView zoomScale="80" zoomScaleNormal="80" workbookViewId="0" topLeftCell="A1">
      <selection activeCell="P35" sqref="P35"/>
    </sheetView>
  </sheetViews>
  <sheetFormatPr defaultColWidth="9.140625" defaultRowHeight="15"/>
  <cols>
    <col min="1" max="1" width="20.7109375" style="0" customWidth="1"/>
    <col min="2" max="24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30" ht="15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81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 hidden="1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X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  <c r="T7" s="10">
        <f t="shared" si="1"/>
        <v>380</v>
      </c>
      <c r="U7" s="10">
        <f t="shared" si="1"/>
        <v>390</v>
      </c>
      <c r="V7" s="10">
        <f t="shared" si="1"/>
        <v>400</v>
      </c>
      <c r="W7" s="10">
        <f t="shared" si="1"/>
        <v>410</v>
      </c>
      <c r="X7" s="10">
        <f t="shared" si="1"/>
        <v>420</v>
      </c>
    </row>
    <row r="8" spans="1:24" ht="15">
      <c r="A8" s="4" t="s">
        <v>69</v>
      </c>
      <c r="B8" s="16">
        <f>(((B6*0.00314)*'Технический лист'!$G$7))*1.52</f>
        <v>661.1282560000001</v>
      </c>
      <c r="C8" s="16">
        <f>(((C6*0.00314)*'Технический лист'!$G$7))*1.52</f>
        <v>727.2410816</v>
      </c>
      <c r="D8" s="16">
        <f>(((D6*0.00314)*'Технический лист'!$G$7))*1.52</f>
        <v>760.2974944</v>
      </c>
      <c r="E8" s="16">
        <f>(((E6*0.00314)*'Технический лист'!$G$7))*1.52</f>
        <v>793.3539072000002</v>
      </c>
      <c r="F8" s="16">
        <f>(((F6*0.00314)*'Технический лист'!$G$7))*1.52</f>
        <v>826.4103200000001</v>
      </c>
      <c r="G8" s="16">
        <f>(((G6*0.00314)*'Технический лист'!$G$7))*1.52</f>
        <v>859.4667328000002</v>
      </c>
      <c r="H8" s="16">
        <f>(((H6*0.00314)*'Технический лист'!$G$7))*1.52</f>
        <v>925.5795584000001</v>
      </c>
      <c r="I8" s="16">
        <f>(((I6*0.00314)*'Технический лист'!$G$7))*1.52</f>
        <v>991.6923840000001</v>
      </c>
      <c r="J8" s="16">
        <f>(((J6*0.00314)*'Технический лист'!$G$7))*1.52</f>
        <v>1057.8052096000001</v>
      </c>
      <c r="K8" s="16">
        <f>(((K6*0.00314)*'Технический лист'!$G$7))*1.52</f>
        <v>1190.0308608000003</v>
      </c>
      <c r="L8" s="16">
        <f>(((L6*0.00314)*'Технический лист'!$G$7))*1.52</f>
        <v>1322.2565120000002</v>
      </c>
      <c r="M8" s="16">
        <f>(((M6*0.00314)*'Технический лист'!$G$7))*1.52</f>
        <v>1454.4821632</v>
      </c>
      <c r="N8" s="16">
        <f>(((N6*0.00314)*'Технический лист'!$G$7))*1.52</f>
        <v>1652.8206400000001</v>
      </c>
      <c r="O8" s="16">
        <f>(((O6*0.00314)*'Технический лист'!$G$7))*1.52</f>
        <v>1718.9334656000003</v>
      </c>
      <c r="P8" s="16">
        <f>(((P6*0.00314)*'Технический лист'!$G$7))*1.52</f>
        <v>1785.0462912</v>
      </c>
      <c r="Q8" s="16">
        <f>(((Q6*0.00314)*'Технический лист'!$G$7))*1.52</f>
        <v>1851.1591168000002</v>
      </c>
      <c r="R8" s="16">
        <f>(((R6*0.00314)*'Технический лист'!$G$7))*1.52</f>
        <v>1917.2719424</v>
      </c>
      <c r="S8" s="16">
        <f>(((S6*0.00314)*'Технический лист'!$G$7))*1.52</f>
        <v>1983.3847680000001</v>
      </c>
      <c r="T8" s="16">
        <f>(((T6*0.00314)*'Технический лист'!$G$7))*1.52</f>
        <v>2049.4975936</v>
      </c>
      <c r="U8" s="16">
        <f>(((U6*0.00314)*'Технический лист'!$G$7))*1.52</f>
        <v>2115.6104192000003</v>
      </c>
      <c r="V8" s="16">
        <f>(((V6*0.00314)*'Технический лист'!$G$7))*1.52</f>
        <v>2181.7232448000004</v>
      </c>
      <c r="W8" s="16">
        <f>(((W6*0.00314)*'Технический лист'!$G$7))*1.52</f>
        <v>2247.8360704</v>
      </c>
      <c r="X8" s="16">
        <f>(((X6*0.00314)*'Технический лист'!$G$7))*1.52</f>
        <v>2313.9488960000003</v>
      </c>
    </row>
    <row r="9" spans="1:24" ht="15">
      <c r="A9" s="4" t="s">
        <v>70</v>
      </c>
      <c r="B9" s="9">
        <f>((B8/2)*1.07)-10</f>
        <v>343.7036169600001</v>
      </c>
      <c r="C9" s="9">
        <f aca="true" t="shared" si="2" ref="C9:N9">((C8/2)*1.07)-10</f>
        <v>379.07397865600007</v>
      </c>
      <c r="D9" s="9">
        <f t="shared" si="2"/>
        <v>396.759159504</v>
      </c>
      <c r="E9" s="9">
        <f t="shared" si="2"/>
        <v>414.44434035200015</v>
      </c>
      <c r="F9" s="9">
        <f t="shared" si="2"/>
        <v>432.12952120000006</v>
      </c>
      <c r="G9" s="9">
        <f t="shared" si="2"/>
        <v>449.81470204800013</v>
      </c>
      <c r="H9" s="9">
        <f t="shared" si="2"/>
        <v>485.1850637440001</v>
      </c>
      <c r="I9" s="9">
        <f t="shared" si="2"/>
        <v>520.55542544</v>
      </c>
      <c r="J9" s="9">
        <f t="shared" si="2"/>
        <v>555.925787136</v>
      </c>
      <c r="K9" s="9">
        <f t="shared" si="2"/>
        <v>626.6665105280001</v>
      </c>
      <c r="L9" s="9">
        <f t="shared" si="2"/>
        <v>697.4072339200002</v>
      </c>
      <c r="M9" s="9">
        <f t="shared" si="2"/>
        <v>768.1479573120001</v>
      </c>
      <c r="N9" s="9">
        <f t="shared" si="2"/>
        <v>874.2590424000001</v>
      </c>
      <c r="O9" s="9">
        <f aca="true" t="shared" si="3" ref="O9:X9">((O8/2)*1.07)-10</f>
        <v>909.6294040960003</v>
      </c>
      <c r="P9" s="9">
        <f t="shared" si="3"/>
        <v>944.9997657920001</v>
      </c>
      <c r="Q9" s="9">
        <f t="shared" si="3"/>
        <v>980.3701274880002</v>
      </c>
      <c r="R9" s="9">
        <f t="shared" si="3"/>
        <v>1015.7404891840001</v>
      </c>
      <c r="S9" s="9">
        <f t="shared" si="3"/>
        <v>1051.11085088</v>
      </c>
      <c r="T9" s="9">
        <f t="shared" si="3"/>
        <v>1086.4812125760002</v>
      </c>
      <c r="U9" s="9">
        <f t="shared" si="3"/>
        <v>1121.851574272</v>
      </c>
      <c r="V9" s="9">
        <f t="shared" si="3"/>
        <v>1157.2219359680003</v>
      </c>
      <c r="W9" s="9">
        <f t="shared" si="3"/>
        <v>1192.5922976640002</v>
      </c>
      <c r="X9" s="9">
        <f t="shared" si="3"/>
        <v>1227.9626593600003</v>
      </c>
    </row>
    <row r="10" spans="1:24" ht="15">
      <c r="A10" s="4" t="s">
        <v>71</v>
      </c>
      <c r="B10" s="16">
        <f>(((B6*0.00314)*0.55)*'Технический лист'!$I$7)*1.57</f>
        <v>557.2448728</v>
      </c>
      <c r="C10" s="16">
        <f>(((C6*0.00314)*0.55)*'Технический лист'!$I$7)*1.57</f>
        <v>612.96936008</v>
      </c>
      <c r="D10" s="16">
        <f>(((D6*0.00314)*0.55)*'Технический лист'!$I$7)*1.57</f>
        <v>640.83160372</v>
      </c>
      <c r="E10" s="16">
        <f>(((E6*0.00314)*0.55)*'Технический лист'!$I$7)*1.57</f>
        <v>668.6938473600001</v>
      </c>
      <c r="F10" s="16">
        <f>(((F6*0.00314)*0.55)*'Технический лист'!$I$7)*1.57</f>
        <v>696.556091</v>
      </c>
      <c r="G10" s="16">
        <f>(((G6*0.00314)*0.55)*'Технический лист'!$I$7)*1.57</f>
        <v>724.41833464</v>
      </c>
      <c r="H10" s="16">
        <f>(((H6*0.00314)*0.55)*'Технический лист'!$I$7)*1.57</f>
        <v>780.14282192</v>
      </c>
      <c r="I10" s="16">
        <f>(((I6*0.00314)*0.55)*'Технический лист'!$I$7)*1.57</f>
        <v>835.8673091999999</v>
      </c>
      <c r="J10" s="16">
        <f>(((J6*0.00314)*0.55)*'Технический лист'!$I$7)*1.57</f>
        <v>891.5917964799999</v>
      </c>
      <c r="K10" s="16">
        <f>(((K6*0.00314)*0.55)*'Технический лист'!$I$7)*1.57</f>
        <v>1003.04077104</v>
      </c>
      <c r="L10" s="16">
        <f>(((L6*0.00314)*0.55)*'Технический лист'!$I$7)*1.57</f>
        <v>1114.4897456</v>
      </c>
      <c r="M10" s="16">
        <f>(((M6*0.00314)*0.55)*'Технический лист'!$I$7)*1.57</f>
        <v>1225.93872016</v>
      </c>
      <c r="N10" s="16">
        <f>(((N6*0.00314)*0.55)*'Технический лист'!$I$7)*1.57</f>
        <v>1393.112182</v>
      </c>
      <c r="O10" s="16">
        <f>(((O6*0.00314)*0.55)*'Технический лист'!$I$7)*1.57</f>
        <v>1448.83666928</v>
      </c>
      <c r="P10" s="16">
        <f>(((P6*0.00314)*0.55)*'Технический лист'!$I$7)*1.57</f>
        <v>1504.56115656</v>
      </c>
      <c r="Q10" s="16">
        <f>(((Q6*0.00314)*0.55)*'Технический лист'!$I$7)*1.57</f>
        <v>1560.28564384</v>
      </c>
      <c r="R10" s="16">
        <f>(((R6*0.00314)*0.55)*'Технический лист'!$I$7)*1.57</f>
        <v>1616.0101311199999</v>
      </c>
      <c r="S10" s="16">
        <f>(((S6*0.00314)*0.55)*'Технический лист'!$I$7)*1.57</f>
        <v>1671.7346183999998</v>
      </c>
      <c r="T10" s="16">
        <f>(((T6*0.00314)*0.55)*'Технический лист'!$I$7)*1.57</f>
        <v>1727.45910568</v>
      </c>
      <c r="U10" s="16">
        <f>(((U6*0.00314)*0.55)*'Технический лист'!$I$7)*1.57</f>
        <v>1783.1835929599997</v>
      </c>
      <c r="V10" s="16">
        <f>(((V6*0.00314)*0.55)*'Технический лист'!$I$7)*1.57</f>
        <v>1838.90808024</v>
      </c>
      <c r="W10" s="16">
        <f>(((W6*0.00314)*0.55)*'Технический лист'!$I$7)*1.57</f>
        <v>1894.6325675200005</v>
      </c>
      <c r="X10" s="16">
        <f>(((X6*0.00314)*0.55)*'Технический лист'!$I$7)*1.57</f>
        <v>1950.3570548000002</v>
      </c>
    </row>
    <row r="11" spans="1:24" ht="15">
      <c r="A11" s="4" t="s">
        <v>72</v>
      </c>
      <c r="B11" s="9">
        <f>((B10*2)/3)-6</f>
        <v>365.4965818666667</v>
      </c>
      <c r="C11" s="9">
        <f aca="true" t="shared" si="4" ref="C11:N11">((C10*2)/3)-6</f>
        <v>402.6462400533333</v>
      </c>
      <c r="D11" s="9">
        <f t="shared" si="4"/>
        <v>421.22106914666665</v>
      </c>
      <c r="E11" s="9">
        <f t="shared" si="4"/>
        <v>439.79589824000004</v>
      </c>
      <c r="F11" s="9">
        <f t="shared" si="4"/>
        <v>458.3707273333334</v>
      </c>
      <c r="G11" s="9">
        <f t="shared" si="4"/>
        <v>476.94555642666666</v>
      </c>
      <c r="H11" s="9">
        <f t="shared" si="4"/>
        <v>514.0952146133333</v>
      </c>
      <c r="I11" s="9">
        <f t="shared" si="4"/>
        <v>551.2448727999999</v>
      </c>
      <c r="J11" s="9">
        <f t="shared" si="4"/>
        <v>588.3945309866666</v>
      </c>
      <c r="K11" s="9">
        <f t="shared" si="4"/>
        <v>662.69384736</v>
      </c>
      <c r="L11" s="9">
        <f t="shared" si="4"/>
        <v>736.9931637333334</v>
      </c>
      <c r="M11" s="9">
        <f t="shared" si="4"/>
        <v>811.2924801066666</v>
      </c>
      <c r="N11" s="9">
        <f t="shared" si="4"/>
        <v>922.7414546666668</v>
      </c>
      <c r="O11" s="9">
        <f aca="true" t="shared" si="5" ref="O11:X11">((O10*2)/3)-6</f>
        <v>959.8911128533333</v>
      </c>
      <c r="P11" s="9">
        <f t="shared" si="5"/>
        <v>997.04077104</v>
      </c>
      <c r="Q11" s="9">
        <f t="shared" si="5"/>
        <v>1034.1904292266665</v>
      </c>
      <c r="R11" s="9">
        <f t="shared" si="5"/>
        <v>1071.3400874133333</v>
      </c>
      <c r="S11" s="9">
        <f t="shared" si="5"/>
        <v>1108.4897455999999</v>
      </c>
      <c r="T11" s="9">
        <f t="shared" si="5"/>
        <v>1145.6394037866667</v>
      </c>
      <c r="U11" s="9">
        <f t="shared" si="5"/>
        <v>1182.7890619733332</v>
      </c>
      <c r="V11" s="9">
        <f t="shared" si="5"/>
        <v>1219.93872016</v>
      </c>
      <c r="W11" s="9">
        <f t="shared" si="5"/>
        <v>1257.088378346667</v>
      </c>
      <c r="X11" s="9">
        <f t="shared" si="5"/>
        <v>1294.2380365333336</v>
      </c>
    </row>
    <row r="12" spans="1:24" ht="15">
      <c r="A12" s="4" t="s">
        <v>73</v>
      </c>
      <c r="B12" s="16">
        <f>(((((B6+30)*(B6+30))/1000000)*'Технический лист'!$M$7)+(B6*0.000628)*'Технический лист'!$E$20)*1.58</f>
        <v>463.25581040000003</v>
      </c>
      <c r="C12" s="16">
        <f>(((((C6+30)*(C6+30))/1000000)*'Технический лист'!$M$7)+(C6*0.000628)*'Технический лист'!$E$20)*1.58</f>
        <v>513.5472736</v>
      </c>
      <c r="D12" s="16">
        <f>(((((D6+30)*(D6+30))/1000000)*'Технический лист'!$M$7)+(D6*0.000628)*'Технический лист'!$E$20)*1.58</f>
        <v>538.9875014</v>
      </c>
      <c r="E12" s="16">
        <f>(((((E6+30)*(E6+30))/1000000)*'Технический лист'!$M$7)+(E6*0.000628)*'Технический лист'!$E$20)*1.58</f>
        <v>564.62406</v>
      </c>
      <c r="F12" s="16">
        <f>(((((F6+30)*(F6+30))/1000000)*'Технический лист'!$M$7)+(F6*0.000628)*'Технический лист'!$E$20)*1.58</f>
        <v>590.4569494</v>
      </c>
      <c r="G12" s="16">
        <f>(((((G6+30)*(G6+30))/1000000)*'Технический лист'!$M$7)+(G6*0.000628)*'Технический лист'!$E$20)*1.58</f>
        <v>616.4861695999999</v>
      </c>
      <c r="H12" s="16">
        <f>(((((H6+30)*(H6+30))/1000000)*'Технический лист'!$M$7)+(H6*0.000628)*'Технический лист'!$E$20)*1.58</f>
        <v>669.1336024</v>
      </c>
      <c r="I12" s="16">
        <f>(((((I6+30)*(I6+30))/1000000)*'Технический лист'!$M$7)+(I6*0.000628)*'Технический лист'!$E$20)*1.58</f>
        <v>722.5663584</v>
      </c>
      <c r="J12" s="16">
        <f>(((((J6+30)*(J6+30))/1000000)*'Технический лист'!$M$7)+(J6*0.000628)*'Технический лист'!$E$20)*1.58</f>
        <v>776.7844376</v>
      </c>
      <c r="K12" s="16">
        <f>(((((K6+30)*(K6+30))/1000000)*'Технический лист'!$M$7)+(K6*0.000628)*'Технический лист'!$E$20)*1.58</f>
        <v>887.5765656000001</v>
      </c>
      <c r="L12" s="16">
        <f>(((((L6+30)*(L6+30))/1000000)*'Технический лист'!$M$7)+(L6*0.000628)*'Технический лист'!$E$20)*1.58</f>
        <v>1001.5099864</v>
      </c>
      <c r="M12" s="16">
        <f>(((((M6+30)*(M6+30))/1000000)*'Технический лист'!$M$7)+(M6*0.000628)*'Технический лист'!$E$20)*1.58</f>
        <v>1118.5846999999999</v>
      </c>
      <c r="N12" s="16">
        <f>(((((N6+30)*(N6+30))/1000000)*'Технический лист'!$M$7)+(N6*0.000628)*'Технический лист'!$E$20)*1.58</f>
        <v>1300.0866944000002</v>
      </c>
      <c r="O12" s="16">
        <f>(((((O6+30)*(O6+30))/1000000)*'Технический лист'!$M$7)+(O6*0.000628)*'Технический лист'!$E$20)*1.58</f>
        <v>1362.1580055999998</v>
      </c>
      <c r="P12" s="16">
        <f>(((((P6+30)*(P6+30))/1000000)*'Технический лист'!$M$7)+(P6*0.000628)*'Технический лист'!$E$20)*1.58</f>
        <v>1425.01464</v>
      </c>
      <c r="Q12" s="16">
        <f>(((((Q6+30)*(Q6+30))/1000000)*'Технический лист'!$M$7)+(Q6*0.000628)*'Технический лист'!$E$20)*1.58</f>
        <v>1488.6565976000002</v>
      </c>
      <c r="R12" s="16">
        <f>(((((R6+30)*(R6+30))/1000000)*'Технический лист'!$M$7)+(R6*0.000628)*'Технический лист'!$E$20)*1.58</f>
        <v>1553.0838784</v>
      </c>
      <c r="S12" s="16">
        <f>(((((S6+30)*(S6+30))/1000000)*'Технический лист'!$M$7)+(S6*0.000628)*'Технический лист'!$E$20)*1.58</f>
        <v>1618.2964823999998</v>
      </c>
      <c r="T12" s="16">
        <f>(((((T6+30)*(T6+30))/1000000)*'Технический лист'!$M$7)+(T6*0.000628)*'Технический лист'!$E$20)*1.58</f>
        <v>1684.2944095999999</v>
      </c>
      <c r="U12" s="16">
        <f>(((((U6+30)*(U6+30))/1000000)*'Технический лист'!$M$7)+(U6*0.000628)*'Технический лист'!$E$20)*1.58</f>
        <v>1751.0776600000002</v>
      </c>
      <c r="V12" s="16">
        <f>(((((V6+30)*(V6+30))/1000000)*'Технический лист'!$M$7)+(V6*0.000628)*'Технический лист'!$E$20)*1.58</f>
        <v>1818.6462336</v>
      </c>
      <c r="W12" s="16">
        <f>(((((W6+30)*(W6+30))/1000000)*'Технический лист'!$M$7)+(W6*0.000628)*'Технический лист'!$E$20)*1.58</f>
        <v>1887.0001304</v>
      </c>
      <c r="X12" s="16">
        <f>(((((X6+30)*(X6+30))/1000000)*'Технический лист'!$M$7)+(X6*0.000628)*'Технический лист'!$E$20)*1.58</f>
        <v>1956.1393504</v>
      </c>
    </row>
    <row r="13" spans="1:24" ht="15">
      <c r="A13" s="4" t="s">
        <v>74</v>
      </c>
      <c r="B13" s="9">
        <f>(((B6*0.00314)*0.35)*'Технический лист'!$O$9)+B12</f>
        <v>733.0822903999999</v>
      </c>
      <c r="C13" s="9">
        <f>(((C6*0.00314)*0.35)*'Технический лист'!$O$9)+C12</f>
        <v>810.3564016</v>
      </c>
      <c r="D13" s="9">
        <f>(((D6*0.00314)*0.35)*'Технический лист'!$O$9)+D12</f>
        <v>849.2879534</v>
      </c>
      <c r="E13" s="9">
        <f>(((E6*0.00314)*0.35)*'Технический лист'!$O$9)+E12</f>
        <v>888.4158359999999</v>
      </c>
      <c r="F13" s="9">
        <f>(((F6*0.00314)*0.35)*'Технический лист'!$O$9)+F12</f>
        <v>927.7400494</v>
      </c>
      <c r="G13" s="9">
        <f>(((G6*0.00314)*0.35)*'Технический лист'!$O$9)+G12</f>
        <v>967.2605935999999</v>
      </c>
      <c r="H13" s="9">
        <f>(((H6*0.00314)*0.35)*'Технический лист'!$O$9)+H12</f>
        <v>1046.8906743999999</v>
      </c>
      <c r="I13" s="9">
        <f>(((I6*0.00314)*0.35)*'Технический лист'!$O$9)+I12</f>
        <v>1127.3060784</v>
      </c>
      <c r="J13" s="9">
        <f>(((J6*0.00314)*0.35)*'Технический лист'!$O$9)+J12</f>
        <v>1208.5068056</v>
      </c>
      <c r="K13" s="9">
        <f>(((K6*0.00314)*0.35)*'Технический лист'!$O$9)+K12</f>
        <v>1373.2642296</v>
      </c>
      <c r="L13" s="9">
        <f>(((L6*0.00314)*0.35)*'Технический лист'!$O$9)+L12</f>
        <v>1541.1629463999998</v>
      </c>
      <c r="M13" s="9">
        <f>(((M6*0.00314)*0.35)*'Технический лист'!$O$9)+M12</f>
        <v>1712.2029559999996</v>
      </c>
      <c r="N13" s="9">
        <f>(((N6*0.00314)*0.35)*'Технический лист'!$O$9)+N12</f>
        <v>1974.6528944000002</v>
      </c>
      <c r="O13" s="9">
        <f>(((O6*0.00314)*0.35)*'Технический лист'!$O$9)+O12</f>
        <v>2063.7068535999997</v>
      </c>
      <c r="P13" s="9">
        <f>(((P6*0.00314)*0.35)*'Технический лист'!$O$9)+P12</f>
        <v>2153.546136</v>
      </c>
      <c r="Q13" s="9">
        <f>(((Q6*0.00314)*0.35)*'Технический лист'!$O$9)+Q12</f>
        <v>2244.1707416</v>
      </c>
      <c r="R13" s="9">
        <f>(((R6*0.00314)*0.35)*'Технический лист'!$O$9)+R12</f>
        <v>2335.5806703999997</v>
      </c>
      <c r="S13" s="9">
        <f>(((S6*0.00314)*0.35)*'Технический лист'!$O$9)+S12</f>
        <v>2427.7759223999997</v>
      </c>
      <c r="T13" s="9">
        <f>(((T6*0.00314)*0.35)*'Технический лист'!$O$9)+T12</f>
        <v>2520.7564976</v>
      </c>
      <c r="U13" s="9">
        <f>(((U6*0.00314)*0.35)*'Технический лист'!$O$9)+U12</f>
        <v>2614.522396</v>
      </c>
      <c r="V13" s="9">
        <f>(((V6*0.00314)*0.35)*'Технический лист'!$O$9)+V12</f>
        <v>2709.0736176</v>
      </c>
      <c r="W13" s="9">
        <f>(((W6*0.00314)*0.35)*'Технический лист'!$O$9)+W12</f>
        <v>2804.4101624</v>
      </c>
      <c r="X13" s="9">
        <f>(((X6*0.00314)*0.35)*'Технический лист'!$O$9)+X12</f>
        <v>2900.5320303999997</v>
      </c>
    </row>
    <row r="14" spans="1:24" ht="15" hidden="1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4" t="s">
        <v>99</v>
      </c>
      <c r="B15" s="16">
        <v>1033</v>
      </c>
      <c r="C15" s="16">
        <v>1164</v>
      </c>
      <c r="D15" s="16">
        <v>1227</v>
      </c>
      <c r="E15" s="16">
        <v>1294</v>
      </c>
      <c r="F15" s="16">
        <v>1362</v>
      </c>
      <c r="G15" s="16">
        <v>1431</v>
      </c>
      <c r="H15" s="16">
        <v>1570</v>
      </c>
      <c r="I15" s="16">
        <v>1711</v>
      </c>
      <c r="J15" s="16">
        <v>1855</v>
      </c>
      <c r="K15" s="16">
        <v>2162</v>
      </c>
      <c r="L15" s="16">
        <v>2481</v>
      </c>
      <c r="M15" s="16">
        <v>2813</v>
      </c>
      <c r="N15" s="16">
        <v>3337</v>
      </c>
      <c r="O15" s="16">
        <v>3523</v>
      </c>
      <c r="P15" s="16">
        <v>3706</v>
      </c>
      <c r="Q15" s="16">
        <v>3897</v>
      </c>
      <c r="R15" s="16">
        <v>4089</v>
      </c>
      <c r="S15" s="16">
        <v>4282</v>
      </c>
      <c r="T15" s="16">
        <v>4860</v>
      </c>
      <c r="U15" s="16">
        <v>4692</v>
      </c>
      <c r="V15" s="16">
        <v>4897</v>
      </c>
      <c r="W15" s="16">
        <v>5107</v>
      </c>
      <c r="X15" s="16">
        <v>5325</v>
      </c>
    </row>
    <row r="16" spans="1:24" ht="15">
      <c r="A16" s="4" t="s">
        <v>103</v>
      </c>
      <c r="B16" s="16">
        <v>1033</v>
      </c>
      <c r="C16" s="16">
        <v>1164</v>
      </c>
      <c r="D16" s="16">
        <v>1227</v>
      </c>
      <c r="E16" s="16">
        <v>1294</v>
      </c>
      <c r="F16" s="16">
        <v>1362</v>
      </c>
      <c r="G16" s="16">
        <v>1431</v>
      </c>
      <c r="H16" s="16">
        <v>1570</v>
      </c>
      <c r="I16" s="16">
        <v>1711</v>
      </c>
      <c r="J16" s="16">
        <v>1855</v>
      </c>
      <c r="K16" s="16">
        <v>2162</v>
      </c>
      <c r="L16" s="16">
        <v>2481</v>
      </c>
      <c r="M16" s="16">
        <v>2813</v>
      </c>
      <c r="N16" s="16">
        <v>3337</v>
      </c>
      <c r="O16" s="16">
        <v>3523</v>
      </c>
      <c r="P16" s="16">
        <v>3706</v>
      </c>
      <c r="Q16" s="16">
        <v>3897</v>
      </c>
      <c r="R16" s="16">
        <v>4089</v>
      </c>
      <c r="S16" s="16">
        <v>4282</v>
      </c>
      <c r="T16" s="16">
        <v>4860</v>
      </c>
      <c r="U16" s="16">
        <v>4692</v>
      </c>
      <c r="V16" s="16">
        <v>4897</v>
      </c>
      <c r="W16" s="16">
        <v>5107</v>
      </c>
      <c r="X16" s="16">
        <v>5325</v>
      </c>
    </row>
    <row r="17" spans="1:24" ht="15">
      <c r="A17" s="4" t="s">
        <v>75</v>
      </c>
      <c r="B17" s="9">
        <f>(((B6*0.00314)*((B6+500)/1000)*'Технический лист'!$K$7))*1.77</f>
        <v>745.3676735999999</v>
      </c>
      <c r="C17" s="9">
        <f>(((C6*0.00314)*((C6+500)/1000)*'Технический лист'!$K$7))*1.77</f>
        <v>833.5695149759999</v>
      </c>
      <c r="D17" s="9">
        <f>(((D6*0.00314)*((D6+500)/1000)*'Технический лист'!$K$7))*1.77</f>
        <v>878.6021452559999</v>
      </c>
      <c r="E17" s="9">
        <f>(((E6*0.00314)*((E6+500)/1000)*'Технический лист'!$K$7))*1.77</f>
        <v>924.2559152639999</v>
      </c>
      <c r="F17" s="9">
        <f>(((F6*0.00314)*((F6+500)/1000)*'Технический лист'!$K$7))*1.77</f>
        <v>970.530825</v>
      </c>
      <c r="G17" s="9">
        <f>(((G6*0.00314)*((G6+500)/1000)*'Технический лист'!$K$7))*1.77</f>
        <v>1017.426874464</v>
      </c>
      <c r="H17" s="9">
        <f>(((H6*0.00314)*((H6+500)/1000)*'Технический лист'!$K$7))*1.77</f>
        <v>1113.0823925759998</v>
      </c>
      <c r="I17" s="9">
        <f>(((I6*0.00314)*((I6+500)/1000)*'Технический лист'!$K$7))*1.77</f>
        <v>1211.2224695999998</v>
      </c>
      <c r="J17" s="9">
        <f>(((J6*0.00314)*((J6+500)/1000)*'Технический лист'!$K$7))*1.77</f>
        <v>1311.8471055359998</v>
      </c>
      <c r="K17" s="9">
        <f>(((K6*0.00314)*((K6+500)/1000)*'Технический лист'!$K$7))*1.77</f>
        <v>1520.5500541440003</v>
      </c>
      <c r="L17" s="9">
        <f>(((L6*0.00314)*((L6+500)/1000)*'Технический лист'!$K$7))*1.77</f>
        <v>1739.1912384</v>
      </c>
      <c r="M17" s="9">
        <f>(((M6*0.00314)*((M6+500)/1000)*'Технический лист'!$K$7))*1.77</f>
        <v>1967.7706583039999</v>
      </c>
      <c r="N17" s="9">
        <f>(((N6*0.00314)*((N6+500)/1000)*'Технический лист'!$K$7))*1.77</f>
        <v>2329.27398</v>
      </c>
      <c r="O17" s="9">
        <f>(((O6*0.00314)*((O6+500)/1000)*'Технический лист'!$K$7))*1.77</f>
        <v>2454.744205056</v>
      </c>
      <c r="P17" s="9">
        <f>(((P6*0.00314)*((P6+500)/1000)*'Технический лист'!$K$7))*1.77</f>
        <v>2582.6989890239997</v>
      </c>
      <c r="Q17" s="9">
        <f>(((Q6*0.00314)*((Q6+500)/1000)*'Технический лист'!$K$7))*1.77</f>
        <v>2713.1383319039996</v>
      </c>
      <c r="R17" s="9">
        <f>(((R6*0.00314)*((R6+500)/1000)*'Технический лист'!$K$7))*1.77</f>
        <v>2846.0622336959996</v>
      </c>
      <c r="S17" s="9">
        <f>(((S6*0.00314)*((S6+500)/1000)*'Технический лист'!$K$7))*1.77</f>
        <v>2981.4706944</v>
      </c>
      <c r="T17" s="9">
        <f>(((T6*0.00314)*((T6+500)/1000)*'Технический лист'!$K$7))*1.77</f>
        <v>3119.363714016</v>
      </c>
      <c r="U17" s="9">
        <f>(((U6*0.00314)*((U6+500)/1000)*'Технический лист'!$K$7))*1.77</f>
        <v>3259.7412925439994</v>
      </c>
      <c r="V17" s="9">
        <f>(((V6*0.00314)*((V6+500)/1000)*'Технический лист'!$K$7))*1.77</f>
        <v>3402.603429984</v>
      </c>
      <c r="W17" s="9">
        <f>(((W6*0.00314)*((W6+500)/1000)*'Технический лист'!$K$7))*1.77</f>
        <v>3547.950126336</v>
      </c>
      <c r="X17" s="9">
        <f>(((X6*0.00314)*((X6+500)/1000)*'Технический лист'!$K$7))*1.77</f>
        <v>3695.7813815999993</v>
      </c>
    </row>
    <row r="18" spans="1:24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>
      <c r="A19" s="4" t="s">
        <v>105</v>
      </c>
      <c r="B19" s="9">
        <v>732</v>
      </c>
      <c r="C19" s="9">
        <v>807</v>
      </c>
      <c r="D19" s="9">
        <v>845</v>
      </c>
      <c r="E19" s="9">
        <v>883</v>
      </c>
      <c r="F19" s="9">
        <v>923</v>
      </c>
      <c r="G19" s="9">
        <v>962</v>
      </c>
      <c r="H19" s="9">
        <v>1044</v>
      </c>
      <c r="I19" s="9">
        <v>1128</v>
      </c>
      <c r="J19" s="9">
        <v>1214</v>
      </c>
      <c r="K19" s="9">
        <v>1393</v>
      </c>
      <c r="L19" s="9">
        <v>1582</v>
      </c>
      <c r="M19" s="9">
        <v>1780</v>
      </c>
      <c r="N19" s="9">
        <v>2094</v>
      </c>
      <c r="O19" s="9">
        <v>2204</v>
      </c>
      <c r="P19" s="9">
        <v>2316</v>
      </c>
      <c r="Q19" s="9">
        <v>2430</v>
      </c>
      <c r="R19" s="9">
        <v>2546</v>
      </c>
      <c r="S19" s="9">
        <v>2665</v>
      </c>
      <c r="T19" s="9">
        <v>2787</v>
      </c>
      <c r="U19" s="9">
        <v>2910</v>
      </c>
      <c r="V19" s="9">
        <v>3036</v>
      </c>
      <c r="W19" s="9">
        <v>3164</v>
      </c>
      <c r="X19" s="9">
        <v>3295</v>
      </c>
    </row>
    <row r="20" spans="1:24" ht="15">
      <c r="A20" s="4" t="s">
        <v>76</v>
      </c>
      <c r="B20" s="9">
        <f>((((B6*0.00314)*0.18)*'Технический лист'!$O$9)+((((B6+100)/1000)*((B6+100)/1000))*3)*'Технический лист'!$I$7)*1.9</f>
        <v>732.2446176</v>
      </c>
      <c r="C20" s="9">
        <f>((((C6*0.00314)*0.18)*'Технический лист'!$O$9)+((((C6+100)/1000)*((C6+100)/1000))*3)*'Технический лист'!$I$7)*1.9</f>
        <v>806.6405433599997</v>
      </c>
      <c r="D20" s="9">
        <f>((((D6*0.00314)*0.18)*'Технический лист'!$O$9)+((((D6+100)/1000)*((D6+100)/1000))*3)*'Технический лист'!$I$7)*1.9</f>
        <v>844.7171042399999</v>
      </c>
      <c r="E20" s="9">
        <f>((((E6*0.00314)*0.18)*'Технический лист'!$O$9)+((((E6+100)/1000)*((E6+100)/1000))*3)*'Технический лист'!$I$7)*1.9</f>
        <v>883.3793971199998</v>
      </c>
      <c r="F20" s="9">
        <f>((((F6*0.00314)*0.18)*'Технический лист'!$O$9)+((((F6+100)/1000)*((F6+100)/1000))*3)*'Технический лист'!$I$7)*1.9</f>
        <v>922.6274219999999</v>
      </c>
      <c r="G20" s="9">
        <f>((((G6*0.00314)*0.18)*'Технический лист'!$O$9)+((((G6+100)/1000)*((G6+100)/1000))*3)*'Технический лист'!$I$7)*1.9</f>
        <v>962.4611788799999</v>
      </c>
      <c r="H20" s="9">
        <f>((((H6*0.00314)*0.18)*'Технический лист'!$O$9)+((((H6+100)/1000)*((H6+100)/1000))*3)*'Технический лист'!$I$7)*1.9</f>
        <v>1043.8858886399998</v>
      </c>
      <c r="I20" s="9">
        <f>((((I6*0.00314)*0.18)*'Технический лист'!$O$9)+((((I6+100)/1000)*((I6+100)/1000))*3)*'Технический лист'!$I$7)*1.9</f>
        <v>1127.6535264</v>
      </c>
      <c r="J20" s="9">
        <f>((((J6*0.00314)*0.18)*'Технический лист'!$O$9)+((((J6+100)/1000)*((J6+100)/1000))*3)*'Технический лист'!$I$7)*1.9</f>
        <v>1213.76409216</v>
      </c>
      <c r="K20" s="9">
        <f>((((K6*0.00314)*0.18)*'Технический лист'!$O$9)+((((K6+100)/1000)*((K6+100)/1000))*3)*'Технический лист'!$I$7)*1.9</f>
        <v>1393.01400768</v>
      </c>
      <c r="L20" s="9">
        <f>((((L6*0.00314)*0.18)*'Технический лист'!$O$9)+((((L6+100)/1000)*((L6+100)/1000))*3)*'Технический лист'!$I$7)*1.9</f>
        <v>1581.6356351999998</v>
      </c>
      <c r="M20" s="9">
        <f>((((M6*0.00314)*0.18)*'Технический лист'!$O$9)+((((M6+100)/1000)*((M6+100)/1000))*3)*'Технический лист'!$I$7)*1.9</f>
        <v>1779.6289747199999</v>
      </c>
      <c r="N20" s="9">
        <f>((((N6*0.00314)*0.18)*'Технический лист'!$O$9)+((((N6+100)/1000)*((N6+100)/1000))*3)*'Технический лист'!$I$7)*1.9</f>
        <v>2094.1909439999995</v>
      </c>
      <c r="O20" s="9">
        <f>((((O6*0.00314)*0.18)*'Технический лист'!$O$9)+((((O6+100)/1000)*((O6+100)/1000))*3)*'Технический лист'!$I$7)*1.9</f>
        <v>2203.73078976</v>
      </c>
      <c r="P20" s="9">
        <f>((((P6*0.00314)*0.18)*'Технический лист'!$O$9)+((((P6+100)/1000)*((P6+100)/1000))*3)*'Технический лист'!$I$7)*1.9</f>
        <v>2315.6135635199994</v>
      </c>
      <c r="Q20" s="9">
        <f>((((Q6*0.00314)*0.18)*'Технический лист'!$O$9)+((((Q6+100)/1000)*((Q6+100)/1000))*3)*'Технический лист'!$I$7)*1.9</f>
        <v>2429.8392652799994</v>
      </c>
      <c r="R20" s="9">
        <f>((((R6*0.00314)*0.18)*'Технический лист'!$O$9)+((((R6+100)/1000)*((R6+100)/1000))*3)*'Технический лист'!$I$7)*1.9</f>
        <v>2546.40789504</v>
      </c>
      <c r="S20" s="9">
        <f>((((S6*0.00314)*0.18)*'Технический лист'!$O$9)+((((S6+100)/1000)*((S6+100)/1000))*3)*'Технический лист'!$I$7)*1.9</f>
        <v>2665.3194528</v>
      </c>
      <c r="T20" s="9">
        <f>((((T6*0.00314)*0.18)*'Технический лист'!$O$9)+((((T6+100)/1000)*((T6+100)/1000))*3)*'Технический лист'!$I$7)*1.9</f>
        <v>2786.5739385599995</v>
      </c>
      <c r="U20" s="9">
        <f>((((U6*0.00314)*0.18)*'Технический лист'!$O$9)+((((U6+100)/1000)*((U6+100)/1000))*3)*'Технический лист'!$I$7)*1.9</f>
        <v>2910.1713523199987</v>
      </c>
      <c r="V20" s="9">
        <f>((((V6*0.00314)*0.18)*'Технический лист'!$O$9)+((((V6+100)/1000)*((V6+100)/1000))*3)*'Технический лист'!$I$7)*1.9</f>
        <v>3036.1116940799993</v>
      </c>
      <c r="W20" s="9">
        <f>((((W6*0.00314)*0.18)*'Технический лист'!$O$9)+((((W6+100)/1000)*((W6+100)/1000))*3)*'Технический лист'!$I$7)*1.9</f>
        <v>3164.3949638399995</v>
      </c>
      <c r="X20" s="9">
        <f>((((X6*0.00314)*0.18)*'Технический лист'!$O$9)+((((X6+100)/1000)*((X6+100)/1000))*3)*'Технический лист'!$I$7)*1.9</f>
        <v>3295.0211615999992</v>
      </c>
    </row>
    <row r="21" spans="1:24" ht="15">
      <c r="A21" s="4" t="s">
        <v>101</v>
      </c>
      <c r="B21" s="9">
        <v>720</v>
      </c>
      <c r="C21" s="9">
        <v>720</v>
      </c>
      <c r="D21" s="9">
        <v>720</v>
      </c>
      <c r="E21" s="9">
        <v>720</v>
      </c>
      <c r="F21" s="9">
        <v>720</v>
      </c>
      <c r="G21" s="9">
        <v>720</v>
      </c>
      <c r="H21" s="9">
        <v>720</v>
      </c>
      <c r="I21" s="9">
        <v>720</v>
      </c>
      <c r="J21" s="9">
        <v>720</v>
      </c>
      <c r="K21" s="9">
        <v>720</v>
      </c>
      <c r="L21" s="9">
        <v>720</v>
      </c>
      <c r="M21" s="9">
        <v>720</v>
      </c>
      <c r="N21" s="9">
        <v>720</v>
      </c>
      <c r="O21" s="9">
        <v>720</v>
      </c>
      <c r="P21" s="9">
        <v>720</v>
      </c>
      <c r="Q21" s="9">
        <v>720</v>
      </c>
      <c r="R21" s="9">
        <v>720</v>
      </c>
      <c r="S21" s="9">
        <v>720</v>
      </c>
      <c r="T21" s="9">
        <v>720</v>
      </c>
      <c r="U21" s="9">
        <v>720</v>
      </c>
      <c r="V21" s="9">
        <v>720</v>
      </c>
      <c r="W21" s="9">
        <v>720</v>
      </c>
      <c r="X21" s="9">
        <v>720</v>
      </c>
    </row>
    <row r="23" spans="1:28" ht="15">
      <c r="A23" s="41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1" t="s">
        <v>82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4" ht="15">
      <c r="A24" s="3" t="s">
        <v>79</v>
      </c>
      <c r="B24" s="10">
        <v>100</v>
      </c>
      <c r="C24" s="10">
        <v>110</v>
      </c>
      <c r="D24" s="10">
        <v>115</v>
      </c>
      <c r="E24" s="10">
        <v>120</v>
      </c>
      <c r="F24" s="10">
        <v>125</v>
      </c>
      <c r="G24" s="10">
        <v>130</v>
      </c>
      <c r="H24" s="10">
        <v>140</v>
      </c>
      <c r="I24" s="10">
        <v>150</v>
      </c>
      <c r="J24" s="10">
        <v>160</v>
      </c>
      <c r="K24" s="10">
        <v>180</v>
      </c>
      <c r="L24" s="10">
        <v>200</v>
      </c>
      <c r="M24" s="10">
        <v>220</v>
      </c>
      <c r="N24" s="10">
        <v>250</v>
      </c>
      <c r="O24" s="10">
        <v>260</v>
      </c>
      <c r="P24" s="10">
        <v>270</v>
      </c>
      <c r="Q24" s="10">
        <v>280</v>
      </c>
      <c r="R24" s="10">
        <v>290</v>
      </c>
      <c r="S24" s="10">
        <v>300</v>
      </c>
      <c r="T24" s="10">
        <v>310</v>
      </c>
      <c r="U24" s="10">
        <v>320</v>
      </c>
      <c r="V24" s="10">
        <v>330</v>
      </c>
      <c r="W24" s="10">
        <v>340</v>
      </c>
      <c r="X24" s="10">
        <v>350</v>
      </c>
    </row>
    <row r="25" spans="1:24" ht="15" hidden="1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4" t="s">
        <v>69</v>
      </c>
      <c r="B26" s="16">
        <f>((B24*0.00314)*'Технический лист'!$G$8)*1.53</f>
        <v>988.9164935064935</v>
      </c>
      <c r="C26" s="16">
        <f>((C24*0.00314)*'Технический лист'!$G$8)*1.53</f>
        <v>1087.8081428571427</v>
      </c>
      <c r="D26" s="16">
        <f>((D24*0.00314)*'Технический лист'!$G$8)*1.53</f>
        <v>1137.2539675324674</v>
      </c>
      <c r="E26" s="16">
        <f>((E24*0.00314)*'Технический лист'!$G$8)*1.53</f>
        <v>1186.6997922077924</v>
      </c>
      <c r="F26" s="16">
        <f>((F24*0.00314)*'Технический лист'!$G$8)*1.53</f>
        <v>1236.1456168831169</v>
      </c>
      <c r="G26" s="16">
        <f>((G24*0.00314)*'Технический лист'!$G$8)*1.53</f>
        <v>1285.5914415584416</v>
      </c>
      <c r="H26" s="16">
        <f>((H24*0.00314)*'Технический лист'!$G$8)*1.53</f>
        <v>1384.4830909090908</v>
      </c>
      <c r="I26" s="16">
        <f>((I24*0.00314)*'Технический лист'!$G$8)*1.53</f>
        <v>1483.37474025974</v>
      </c>
      <c r="J26" s="16">
        <f>((J24*0.00314)*'Технический лист'!$G$8)*1.53</f>
        <v>1582.2663896103895</v>
      </c>
      <c r="K26" s="16">
        <f>((K24*0.00314)*'Технический лист'!$G$8)*1.53</f>
        <v>1780.0496883116884</v>
      </c>
      <c r="L26" s="16">
        <f>((L24*0.00314)*'Технический лист'!$G$8)*1.53</f>
        <v>1977.832987012987</v>
      </c>
      <c r="M26" s="16">
        <f>((M24*0.00314)*'Технический лист'!$G$8)*1.53</f>
        <v>2175.6162857142854</v>
      </c>
      <c r="N26" s="16">
        <f>((N24*0.00314)*'Технический лист'!$G$8)*1.53</f>
        <v>2472.2912337662337</v>
      </c>
      <c r="O26" s="16">
        <f>((O24*0.00314)*'Технический лист'!$G$8)*1.53</f>
        <v>2571.182883116883</v>
      </c>
      <c r="P26" s="16">
        <f>((P24*0.00314)*'Технический лист'!$G$8)*1.53</f>
        <v>2670.074532467532</v>
      </c>
      <c r="Q26" s="16">
        <f>((Q24*0.00314)*'Технический лист'!$G$8)*1.53</f>
        <v>2768.9661818181817</v>
      </c>
      <c r="R26" s="16">
        <f>((R24*0.00314)*'Технический лист'!$G$8)*1.53</f>
        <v>2867.8578311688307</v>
      </c>
      <c r="S26" s="16">
        <f>((S24*0.00314)*'Технический лист'!$G$8)*1.53</f>
        <v>2966.74948051948</v>
      </c>
      <c r="T26" s="16">
        <f>((T24*0.00314)*'Технический лист'!$G$8)*1.53</f>
        <v>3065.6411298701296</v>
      </c>
      <c r="U26" s="16">
        <f>((U24*0.00314)*'Технический лист'!$G$8)*1.53</f>
        <v>3164.532779220779</v>
      </c>
      <c r="V26" s="16">
        <f>((V24*0.00314)*'Технический лист'!$G$8)*1.53</f>
        <v>3263.424428571428</v>
      </c>
      <c r="W26" s="16">
        <f>((W24*0.00314)*'Технический лист'!$G$8)*1.53</f>
        <v>3362.316077922078</v>
      </c>
      <c r="X26" s="16">
        <f>((X24*0.00314)*'Технический лист'!$G$8)*1.53</f>
        <v>3461.207727272727</v>
      </c>
    </row>
    <row r="27" spans="1:24" ht="15">
      <c r="A27" s="4" t="s">
        <v>70</v>
      </c>
      <c r="B27" s="9">
        <f>((B26/2)*1.07)-10</f>
        <v>519.0703240259741</v>
      </c>
      <c r="C27" s="9">
        <f aca="true" t="shared" si="6" ref="C27:N27">((C26/2)*1.07)-10</f>
        <v>571.9773564285714</v>
      </c>
      <c r="D27" s="9">
        <f t="shared" si="6"/>
        <v>598.4308726298701</v>
      </c>
      <c r="E27" s="9">
        <f t="shared" si="6"/>
        <v>624.884388831169</v>
      </c>
      <c r="F27" s="9">
        <f t="shared" si="6"/>
        <v>651.3379050324676</v>
      </c>
      <c r="G27" s="9">
        <f t="shared" si="6"/>
        <v>677.7914212337663</v>
      </c>
      <c r="H27" s="9">
        <f t="shared" si="6"/>
        <v>730.6984536363636</v>
      </c>
      <c r="I27" s="9">
        <f t="shared" si="6"/>
        <v>783.605486038961</v>
      </c>
      <c r="J27" s="9">
        <f t="shared" si="6"/>
        <v>836.5125184415584</v>
      </c>
      <c r="K27" s="9">
        <f t="shared" si="6"/>
        <v>942.3265832467533</v>
      </c>
      <c r="L27" s="9">
        <f t="shared" si="6"/>
        <v>1048.1406480519481</v>
      </c>
      <c r="M27" s="9">
        <f t="shared" si="6"/>
        <v>1153.9547128571428</v>
      </c>
      <c r="N27" s="9">
        <f t="shared" si="6"/>
        <v>1312.6758100649351</v>
      </c>
      <c r="O27" s="9">
        <f aca="true" t="shared" si="7" ref="O27:X27">((O26/2)*1.07)-10</f>
        <v>1365.5828424675326</v>
      </c>
      <c r="P27" s="9">
        <f t="shared" si="7"/>
        <v>1418.4898748701298</v>
      </c>
      <c r="Q27" s="9">
        <f t="shared" si="7"/>
        <v>1471.3969072727273</v>
      </c>
      <c r="R27" s="9">
        <f t="shared" si="7"/>
        <v>1524.3039396753245</v>
      </c>
      <c r="S27" s="9">
        <f t="shared" si="7"/>
        <v>1577.210972077922</v>
      </c>
      <c r="T27" s="9">
        <f t="shared" si="7"/>
        <v>1630.1180044805194</v>
      </c>
      <c r="U27" s="9">
        <f t="shared" si="7"/>
        <v>1683.0250368831169</v>
      </c>
      <c r="V27" s="9">
        <f t="shared" si="7"/>
        <v>1735.932069285714</v>
      </c>
      <c r="W27" s="9">
        <f t="shared" si="7"/>
        <v>1788.8391016883118</v>
      </c>
      <c r="X27" s="9">
        <f t="shared" si="7"/>
        <v>1841.746134090909</v>
      </c>
    </row>
    <row r="28" spans="1:24" ht="15">
      <c r="A28" s="4" t="s">
        <v>71</v>
      </c>
      <c r="B28" s="16">
        <f>(((B24*0.00314)*0.55)*'Технический лист'!$I$8)*1.59</f>
        <v>804.1295528571429</v>
      </c>
      <c r="C28" s="16">
        <f>(((C24*0.00314)*0.55)*'Технический лист'!$I$8)*1.59</f>
        <v>884.5425081428572</v>
      </c>
      <c r="D28" s="16">
        <f>(((D24*0.00314)*0.55)*'Технический лист'!$I$8)*1.59</f>
        <v>924.7489857857144</v>
      </c>
      <c r="E28" s="16">
        <f>(((E24*0.00314)*0.55)*'Технический лист'!$I$8)*1.59</f>
        <v>964.9554634285716</v>
      </c>
      <c r="F28" s="16">
        <f>(((F24*0.00314)*0.55)*'Технический лист'!$I$8)*1.59</f>
        <v>1005.1619410714288</v>
      </c>
      <c r="G28" s="16">
        <f>(((G24*0.00314)*0.55)*'Технический лист'!$I$8)*1.59</f>
        <v>1045.3684187142858</v>
      </c>
      <c r="H28" s="16">
        <f>(((H24*0.00314)*0.55)*'Технический лист'!$I$8)*1.59</f>
        <v>1125.7813740000001</v>
      </c>
      <c r="I28" s="16">
        <f>(((I24*0.00314)*0.55)*'Технический лист'!$I$8)*1.59</f>
        <v>1206.1943292857143</v>
      </c>
      <c r="J28" s="16">
        <f>(((J24*0.00314)*0.55)*'Технический лист'!$I$8)*1.59</f>
        <v>1286.6072845714286</v>
      </c>
      <c r="K28" s="16">
        <f>(((K24*0.00314)*0.55)*'Технический лист'!$I$8)*1.59</f>
        <v>1447.4331951428574</v>
      </c>
      <c r="L28" s="16">
        <f>(((L24*0.00314)*0.55)*'Технический лист'!$I$8)*1.59</f>
        <v>1608.2591057142859</v>
      </c>
      <c r="M28" s="16">
        <f>(((M24*0.00314)*0.55)*'Технический лист'!$I$8)*1.59</f>
        <v>1769.0850162857143</v>
      </c>
      <c r="N28" s="16">
        <f>(((N24*0.00314)*0.55)*'Технический лист'!$I$8)*1.59</f>
        <v>2010.3238821428577</v>
      </c>
      <c r="O28" s="16">
        <f>(((O24*0.00314)*0.55)*'Технический лист'!$I$8)*1.59</f>
        <v>2090.7368374285716</v>
      </c>
      <c r="P28" s="16">
        <f>(((P24*0.00314)*0.55)*'Технический лист'!$I$8)*1.59</f>
        <v>2171.149792714286</v>
      </c>
      <c r="Q28" s="16">
        <f>(((Q24*0.00314)*0.55)*'Технический лист'!$I$8)*1.59</f>
        <v>2251.5627480000003</v>
      </c>
      <c r="R28" s="16">
        <f>(((R24*0.00314)*0.55)*'Технический лист'!$I$8)*1.59</f>
        <v>2331.975703285714</v>
      </c>
      <c r="S28" s="16">
        <f>(((S24*0.00314)*0.55)*'Технический лист'!$I$8)*1.59</f>
        <v>2412.3886585714286</v>
      </c>
      <c r="T28" s="16">
        <f>(((T24*0.00314)*0.55)*'Технический лист'!$I$8)*1.59</f>
        <v>2492.801613857143</v>
      </c>
      <c r="U28" s="16">
        <f>(((U24*0.00314)*0.55)*'Технический лист'!$I$8)*1.59</f>
        <v>2573.2145691428573</v>
      </c>
      <c r="V28" s="16">
        <f>(((V24*0.00314)*0.55)*'Технический лист'!$I$8)*1.59</f>
        <v>2653.627524428571</v>
      </c>
      <c r="W28" s="16">
        <f>(((W24*0.00314)*0.55)*'Технический лист'!$I$8)*1.59</f>
        <v>2734.0404797142864</v>
      </c>
      <c r="X28" s="16">
        <f>(((X24*0.00314)*0.55)*'Технический лист'!$I$8)*1.59</f>
        <v>2814.4534350000004</v>
      </c>
    </row>
    <row r="29" spans="1:24" ht="15">
      <c r="A29" s="4" t="s">
        <v>72</v>
      </c>
      <c r="B29" s="9">
        <f>((B28*2)/3)-6</f>
        <v>530.0863685714286</v>
      </c>
      <c r="C29" s="9">
        <f aca="true" t="shared" si="8" ref="C29:N29">((C28*2)/3)-6</f>
        <v>583.6950054285714</v>
      </c>
      <c r="D29" s="9">
        <f t="shared" si="8"/>
        <v>610.4993238571429</v>
      </c>
      <c r="E29" s="9">
        <f t="shared" si="8"/>
        <v>637.3036422857144</v>
      </c>
      <c r="F29" s="9">
        <f t="shared" si="8"/>
        <v>664.1079607142859</v>
      </c>
      <c r="G29" s="9">
        <f t="shared" si="8"/>
        <v>690.9122791428572</v>
      </c>
      <c r="H29" s="9">
        <f t="shared" si="8"/>
        <v>744.520916</v>
      </c>
      <c r="I29" s="9">
        <f t="shared" si="8"/>
        <v>798.1295528571428</v>
      </c>
      <c r="J29" s="9">
        <f t="shared" si="8"/>
        <v>851.7381897142858</v>
      </c>
      <c r="K29" s="9">
        <f t="shared" si="8"/>
        <v>958.9554634285715</v>
      </c>
      <c r="L29" s="9">
        <f t="shared" si="8"/>
        <v>1066.1727371428572</v>
      </c>
      <c r="M29" s="9">
        <f t="shared" si="8"/>
        <v>1173.390010857143</v>
      </c>
      <c r="N29" s="9">
        <f t="shared" si="8"/>
        <v>1334.2159214285718</v>
      </c>
      <c r="O29" s="9">
        <f aca="true" t="shared" si="9" ref="O29:X29">((O28*2)/3)-6</f>
        <v>1387.8245582857144</v>
      </c>
      <c r="P29" s="9">
        <f t="shared" si="9"/>
        <v>1441.4331951428574</v>
      </c>
      <c r="Q29" s="9">
        <f t="shared" si="9"/>
        <v>1495.041832</v>
      </c>
      <c r="R29" s="9">
        <f t="shared" si="9"/>
        <v>1548.6504688571429</v>
      </c>
      <c r="S29" s="9">
        <f t="shared" si="9"/>
        <v>1602.2591057142856</v>
      </c>
      <c r="T29" s="9">
        <f t="shared" si="9"/>
        <v>1655.8677425714286</v>
      </c>
      <c r="U29" s="9">
        <f t="shared" si="9"/>
        <v>1709.4763794285716</v>
      </c>
      <c r="V29" s="9">
        <f t="shared" si="9"/>
        <v>1763.0850162857141</v>
      </c>
      <c r="W29" s="9">
        <f t="shared" si="9"/>
        <v>1816.6936531428576</v>
      </c>
      <c r="X29" s="9">
        <f t="shared" si="9"/>
        <v>1870.3022900000003</v>
      </c>
    </row>
    <row r="30" spans="1:24" ht="15">
      <c r="A30" s="4" t="s">
        <v>73</v>
      </c>
      <c r="B30" s="17">
        <f>(((((B24+30)*(B24+30))/1000000)*'Технический лист'!$M$8)+(B24*0.000942)*'Технический лист'!$E$20)*1.59</f>
        <v>685.3260331168831</v>
      </c>
      <c r="C30" s="17">
        <f>(((((C24+30)*(C24+30))/1000000)*'Технический лист'!$M$8)+(C24*0.000942)*'Технический лист'!$E$20)*1.59</f>
        <v>759.0110727272728</v>
      </c>
      <c r="D30" s="17">
        <f>(((((D24+30)*(D24+30))/1000000)*'Технический лист'!$M$8)+(D24*0.000942)*'Технический лист'!$E$20)*1.59</f>
        <v>796.2361991883117</v>
      </c>
      <c r="E30" s="17">
        <f>(((((E24+30)*(E24+30))/1000000)*'Технический лист'!$M$8)+(E24*0.000942)*'Технический лист'!$E$20)*1.59</f>
        <v>833.7163967532467</v>
      </c>
      <c r="F30" s="17">
        <f>(((((F24+30)*(F24+30))/1000000)*'Технический лист'!$M$8)+(F24*0.000942)*'Технический лист'!$E$20)*1.59</f>
        <v>871.4516654220781</v>
      </c>
      <c r="G30" s="17">
        <f>(((((G24+30)*(G24+30))/1000000)*'Технический лист'!$M$8)+(G24*0.000942)*'Технический лист'!$E$20)*1.59</f>
        <v>909.4420051948051</v>
      </c>
      <c r="H30" s="17">
        <f>(((((H24+30)*(H24+30))/1000000)*'Технический лист'!$M$8)+(H24*0.000942)*'Технический лист'!$E$20)*1.59</f>
        <v>986.1878980519481</v>
      </c>
      <c r="I30" s="17">
        <f>(((((I24+30)*(I24+30))/1000000)*'Технический лист'!$M$8)+(I24*0.000942)*'Технический лист'!$E$20)*1.59</f>
        <v>1063.9540753246754</v>
      </c>
      <c r="J30" s="17">
        <f>(((((J24+30)*(J24+30))/1000000)*'Технический лист'!$M$8)+(J24*0.000942)*'Технический лист'!$E$20)*1.59</f>
        <v>1142.740537012987</v>
      </c>
      <c r="K30" s="17">
        <f>(((((K24+30)*(K24+30))/1000000)*'Технический лист'!$M$8)+(K24*0.000942)*'Технический лист'!$E$20)*1.59</f>
        <v>1303.3743136363637</v>
      </c>
      <c r="L30" s="17">
        <f>(((((L24+30)*(L24+30))/1000000)*'Технический лист'!$M$8)+(L24*0.000942)*'Технический лист'!$E$20)*1.59</f>
        <v>1468.0892279220782</v>
      </c>
      <c r="M30" s="17">
        <f>(((((M24+30)*(M24+30))/1000000)*'Технический лист'!$M$8)+(M24*0.000942)*'Технический лист'!$E$20)*1.59</f>
        <v>1636.88527987013</v>
      </c>
      <c r="N30" s="17">
        <f>(((((N24+30)*(N24+30))/1000000)*'Технический лист'!$M$8)+(N24*0.000942)*'Технический лист'!$E$20)*1.59</f>
        <v>1897.7314909090912</v>
      </c>
      <c r="O30" s="17">
        <f>(((((O24+30)*(O24+30))/1000000)*'Технический лист'!$M$8)+(O24*0.000942)*'Технический лист'!$E$20)*1.59</f>
        <v>1986.7207967532468</v>
      </c>
      <c r="P30" s="17">
        <f>(((((P24+30)*(P24+30))/1000000)*'Технический лист'!$M$8)+(P24*0.000942)*'Технический лист'!$E$20)*1.59</f>
        <v>2076.730387012987</v>
      </c>
      <c r="Q30" s="17">
        <f>(((((Q24+30)*(Q24+30))/1000000)*'Технический лист'!$M$8)+(Q24*0.000942)*'Технический лист'!$E$20)*1.59</f>
        <v>2167.760261688312</v>
      </c>
      <c r="R30" s="17">
        <f>(((((R24+30)*(R24+30))/1000000)*'Технический лист'!$M$8)+(R24*0.000942)*'Технический лист'!$E$20)*1.59</f>
        <v>2259.8104207792207</v>
      </c>
      <c r="S30" s="17">
        <f>(((((S24+30)*(S24+30))/1000000)*'Технический лист'!$M$8)+(S24*0.000942)*'Технический лист'!$E$20)*1.59</f>
        <v>2352.880864285715</v>
      </c>
      <c r="T30" s="17">
        <f>(((((T24+30)*(T24+30))/1000000)*'Технический лист'!$M$8)+(T24*0.000942)*'Технический лист'!$E$20)*1.59</f>
        <v>2446.971592207792</v>
      </c>
      <c r="U30" s="17">
        <f>(((((U24+30)*(U24+30))/1000000)*'Технический лист'!$M$8)+(U24*0.000942)*'Технический лист'!$E$20)*1.59</f>
        <v>2542.0826045454546</v>
      </c>
      <c r="V30" s="17">
        <f>(((((V24+30)*(V24+30))/1000000)*'Технический лист'!$M$8)+(V24*0.000942)*'Технический лист'!$E$20)*1.59</f>
        <v>2638.2139012987013</v>
      </c>
      <c r="W30" s="17">
        <f>(((((W24+30)*(W24+30))/1000000)*'Технический лист'!$M$8)+(W24*0.000942)*'Технический лист'!$E$20)*1.59</f>
        <v>2735.3654824675327</v>
      </c>
      <c r="X30" s="17">
        <f>(((((X24+30)*(X24+30))/1000000)*'Технический лист'!$M$8)+(X24*0.000942)*'Технический лист'!$E$20)*1.59</f>
        <v>2833.5373480519484</v>
      </c>
    </row>
    <row r="31" spans="1:24" ht="15">
      <c r="A31" s="4" t="s">
        <v>74</v>
      </c>
      <c r="B31" s="9">
        <f>(((B24*0.00314)*0.35)*'Технический лист'!$O$8)+B30</f>
        <v>1010.4587603896103</v>
      </c>
      <c r="C31" s="9">
        <f>(((C24*0.00314)*0.35)*'Технический лист'!$O$8)+C30</f>
        <v>1116.6570727272729</v>
      </c>
      <c r="D31" s="9">
        <f>(((D24*0.00314)*0.35)*'Технический лист'!$O$8)+D30</f>
        <v>1170.138835551948</v>
      </c>
      <c r="E31" s="9">
        <f>(((E24*0.00314)*0.35)*'Технический лист'!$O$8)+E30</f>
        <v>1223.8756694805195</v>
      </c>
      <c r="F31" s="9">
        <f>(((F24*0.00314)*0.35)*'Технический лист'!$O$8)+F30</f>
        <v>1277.8675745129872</v>
      </c>
      <c r="G31" s="9">
        <f>(((G24*0.00314)*0.35)*'Технический лист'!$O$8)+G30</f>
        <v>1332.1145506493506</v>
      </c>
      <c r="H31" s="9">
        <f>(((H24*0.00314)*0.35)*'Технический лист'!$O$8)+H30</f>
        <v>1441.3737162337661</v>
      </c>
      <c r="I31" s="9">
        <f>(((I24*0.00314)*0.35)*'Технический лист'!$O$8)+I30</f>
        <v>1551.6531662337661</v>
      </c>
      <c r="J31" s="9">
        <f>(((J24*0.00314)*0.35)*'Технический лист'!$O$8)+J30</f>
        <v>1662.9529006493506</v>
      </c>
      <c r="K31" s="9">
        <f>(((K24*0.00314)*0.35)*'Технический лист'!$O$8)+K30</f>
        <v>1888.6132227272728</v>
      </c>
      <c r="L31" s="9">
        <f>(((L24*0.00314)*0.35)*'Технический лист'!$O$8)+L30</f>
        <v>2118.3546824675327</v>
      </c>
      <c r="M31" s="9">
        <f>(((M24*0.00314)*0.35)*'Технический лист'!$O$8)+M30</f>
        <v>2352.17727987013</v>
      </c>
      <c r="N31" s="9">
        <f>(((N24*0.00314)*0.35)*'Технический лист'!$O$8)+N30</f>
        <v>2710.5633090909096</v>
      </c>
      <c r="O31" s="9">
        <f>(((O24*0.00314)*0.35)*'Технический лист'!$O$8)+O30</f>
        <v>2832.0658876623374</v>
      </c>
      <c r="P31" s="9">
        <f>(((P24*0.00314)*0.35)*'Технический лист'!$O$8)+P30</f>
        <v>2954.588750649351</v>
      </c>
      <c r="Q31" s="9">
        <f>(((Q24*0.00314)*0.35)*'Технический лист'!$O$8)+Q30</f>
        <v>3078.131898051948</v>
      </c>
      <c r="R31" s="9">
        <f>(((R24*0.00314)*0.35)*'Технический лист'!$O$8)+R30</f>
        <v>3202.6953298701296</v>
      </c>
      <c r="S31" s="9">
        <f>(((S24*0.00314)*0.35)*'Технический лист'!$O$8)+S30</f>
        <v>3328.2790461038962</v>
      </c>
      <c r="T31" s="9">
        <f>(((T24*0.00314)*0.35)*'Технический лист'!$O$8)+T30</f>
        <v>3454.8830467532466</v>
      </c>
      <c r="U31" s="9">
        <f>(((U24*0.00314)*0.35)*'Технический лист'!$O$8)+U30</f>
        <v>3582.5073318181817</v>
      </c>
      <c r="V31" s="9">
        <f>(((V24*0.00314)*0.35)*'Технический лист'!$O$8)+V30</f>
        <v>3711.151901298701</v>
      </c>
      <c r="W31" s="9">
        <f>(((W24*0.00314)*0.35)*'Технический лист'!$O$8)+W30</f>
        <v>3840.8167551948054</v>
      </c>
      <c r="X31" s="9">
        <f>(((X24*0.00314)*0.35)*'Технический лист'!$O$8)+X30</f>
        <v>3971.5018935064936</v>
      </c>
    </row>
    <row r="32" spans="1:24" ht="15" hidden="1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>
      <c r="A33" s="4" t="s">
        <v>99</v>
      </c>
      <c r="B33" s="16">
        <v>1381</v>
      </c>
      <c r="C33" s="16">
        <v>1554</v>
      </c>
      <c r="D33" s="16">
        <v>1641</v>
      </c>
      <c r="E33" s="16">
        <v>1729</v>
      </c>
      <c r="F33" s="16">
        <v>1819</v>
      </c>
      <c r="G33" s="16">
        <v>1910</v>
      </c>
      <c r="H33" s="16">
        <v>2092</v>
      </c>
      <c r="I33" s="16">
        <v>2283</v>
      </c>
      <c r="J33" s="16">
        <v>2475</v>
      </c>
      <c r="K33" s="16">
        <v>2877</v>
      </c>
      <c r="L33" s="16">
        <v>3297</v>
      </c>
      <c r="M33" s="16">
        <v>3738</v>
      </c>
      <c r="N33" s="16">
        <v>4434</v>
      </c>
      <c r="O33" s="16">
        <v>4677</v>
      </c>
      <c r="P33" s="16">
        <v>4921</v>
      </c>
      <c r="Q33" s="16">
        <v>5173</v>
      </c>
      <c r="R33" s="16">
        <v>5429</v>
      </c>
      <c r="S33" s="16">
        <v>5688</v>
      </c>
      <c r="T33" s="16">
        <v>5955</v>
      </c>
      <c r="U33" s="16">
        <v>6226</v>
      </c>
      <c r="V33" s="16">
        <v>6498</v>
      </c>
      <c r="W33" s="16">
        <v>6778</v>
      </c>
      <c r="X33" s="16">
        <v>7065</v>
      </c>
    </row>
    <row r="34" spans="1:24" ht="15">
      <c r="A34" s="4" t="s">
        <v>103</v>
      </c>
      <c r="B34" s="16">
        <v>1381</v>
      </c>
      <c r="C34" s="16">
        <v>1554</v>
      </c>
      <c r="D34" s="16">
        <v>1641</v>
      </c>
      <c r="E34" s="16">
        <v>1729</v>
      </c>
      <c r="F34" s="16">
        <v>1819</v>
      </c>
      <c r="G34" s="16">
        <v>1910</v>
      </c>
      <c r="H34" s="16">
        <v>2092</v>
      </c>
      <c r="I34" s="16">
        <v>2283</v>
      </c>
      <c r="J34" s="16">
        <v>2475</v>
      </c>
      <c r="K34" s="16">
        <v>2877</v>
      </c>
      <c r="L34" s="16">
        <v>3297</v>
      </c>
      <c r="M34" s="16">
        <v>3738</v>
      </c>
      <c r="N34" s="16">
        <v>4434</v>
      </c>
      <c r="O34" s="16">
        <v>2598</v>
      </c>
      <c r="P34" s="16">
        <v>2734</v>
      </c>
      <c r="Q34" s="16">
        <v>2874</v>
      </c>
      <c r="R34" s="16">
        <v>3016</v>
      </c>
      <c r="S34" s="16">
        <v>3160</v>
      </c>
      <c r="T34" s="16">
        <v>3308</v>
      </c>
      <c r="U34" s="16">
        <v>3459</v>
      </c>
      <c r="V34" s="16">
        <v>3610</v>
      </c>
      <c r="W34" s="16">
        <v>3766</v>
      </c>
      <c r="X34" s="16">
        <v>3924</v>
      </c>
    </row>
    <row r="35" spans="1:24" ht="15">
      <c r="A35" s="4" t="s">
        <v>75</v>
      </c>
      <c r="B35" s="9">
        <f>(((B24*0.00314)*((B24+500)/1000)*'Технический лист'!$K$8))*1.77</f>
        <v>986.5455896103896</v>
      </c>
      <c r="C35" s="9">
        <f>(((C24*0.00314)*((C24+500)/1000)*'Технический лист'!$K$8))*1.77</f>
        <v>1103.2868177142855</v>
      </c>
      <c r="D35" s="9">
        <f>(((D24*0.00314)*((D24+500)/1000)*'Технический лист'!$K$8))*1.77</f>
        <v>1162.8906137532465</v>
      </c>
      <c r="E35" s="9">
        <f>(((E24*0.00314)*((E24+500)/1000)*'Технический лист'!$K$8))*1.77</f>
        <v>1223.3165311168832</v>
      </c>
      <c r="F35" s="9">
        <f>(((F24*0.00314)*((F24+500)/1000)*'Технический лист'!$K$8))*1.77</f>
        <v>1284.5645698051949</v>
      </c>
      <c r="G35" s="9">
        <f>(((G24*0.00314)*((G24+500)/1000)*'Технический лист'!$K$8))*1.77</f>
        <v>1346.6347298181818</v>
      </c>
      <c r="H35" s="9">
        <f>(((H24*0.00314)*((H24+500)/1000)*'Технический лист'!$K$8))*1.77</f>
        <v>1473.2414138181816</v>
      </c>
      <c r="I35" s="9">
        <f>(((I24*0.00314)*((I24+500)/1000)*'Технический лист'!$K$8))*1.77</f>
        <v>1603.1365831168828</v>
      </c>
      <c r="J35" s="9">
        <f>(((J24*0.00314)*((J24+500)/1000)*'Технический лист'!$K$8))*1.77</f>
        <v>1736.3202377142857</v>
      </c>
      <c r="K35" s="9">
        <f>(((K24*0.00314)*((K24+500)/1000)*'Технический лист'!$K$8))*1.77</f>
        <v>2012.553002805195</v>
      </c>
      <c r="L35" s="9">
        <f>(((L24*0.00314)*((L24+500)/1000)*'Технический лист'!$K$8))*1.77</f>
        <v>2301.939709090909</v>
      </c>
      <c r="M35" s="9">
        <f>(((M24*0.00314)*((M24+500)/1000)*'Технический лист'!$K$8))*1.77</f>
        <v>2604.4803565714287</v>
      </c>
      <c r="N35" s="9">
        <f>(((N24*0.00314)*((N24+500)/1000)*'Технический лист'!$K$8))*1.77</f>
        <v>3082.9549675324674</v>
      </c>
      <c r="O35" s="9">
        <f>(((O24*0.00314)*((O24+500)/1000)*'Технический лист'!$K$8))*1.77</f>
        <v>3249.023475116883</v>
      </c>
      <c r="P35" s="9">
        <f>(((P24*0.00314)*((P24+500)/1000)*'Технический лист'!$K$8))*1.77</f>
        <v>3418.380468</v>
      </c>
      <c r="Q35" s="9">
        <f>(((Q24*0.00314)*((Q24+500)/1000)*'Технический лист'!$K$8))*1.77</f>
        <v>3591.0259461818187</v>
      </c>
      <c r="R35" s="9">
        <f>(((R24*0.00314)*((R24+500)/1000)*'Технический лист'!$K$8))*1.77</f>
        <v>3766.9599096623374</v>
      </c>
      <c r="S35" s="9">
        <f>(((S24*0.00314)*((S24+500)/1000)*'Технический лист'!$K$8))*1.77</f>
        <v>3946.1823584415583</v>
      </c>
      <c r="T35" s="9">
        <f>(((T24*0.00314)*((T24+500)/1000)*'Технический лист'!$K$8))*1.77</f>
        <v>4128.693292519481</v>
      </c>
      <c r="U35" s="9">
        <f>(((U24*0.00314)*((U24+500)/1000)*'Технический лист'!$K$8))*1.77</f>
        <v>4314.492711896103</v>
      </c>
      <c r="V35" s="9">
        <f>(((V24*0.00314)*((V24+500)/1000)*'Технический лист'!$K$8))*1.77</f>
        <v>4503.580616571428</v>
      </c>
      <c r="W35" s="9">
        <f>(((W24*0.00314)*((W24+500)/1000)*'Технический лист'!$K$8))*1.77</f>
        <v>4695.9570065454545</v>
      </c>
      <c r="X35" s="9">
        <f>(((X24*0.00314)*((X24+500)/1000)*'Технический лист'!$K$8))*1.77</f>
        <v>4891.6218818181815</v>
      </c>
    </row>
    <row r="36" spans="1:24" ht="15" hidden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4" t="s">
        <v>105</v>
      </c>
      <c r="B37" s="9">
        <v>895</v>
      </c>
      <c r="C37" s="9">
        <v>986</v>
      </c>
      <c r="D37" s="9">
        <v>1033</v>
      </c>
      <c r="E37" s="9">
        <v>1080</v>
      </c>
      <c r="F37" s="9">
        <v>1129</v>
      </c>
      <c r="G37" s="9">
        <v>1178</v>
      </c>
      <c r="H37" s="9">
        <v>1278</v>
      </c>
      <c r="I37" s="9">
        <v>1382</v>
      </c>
      <c r="J37" s="9">
        <v>1489</v>
      </c>
      <c r="K37" s="9">
        <v>1712</v>
      </c>
      <c r="L37" s="9">
        <v>1947</v>
      </c>
      <c r="M37" s="9">
        <v>2196</v>
      </c>
      <c r="N37" s="9">
        <v>2592</v>
      </c>
      <c r="O37" s="9">
        <v>2730</v>
      </c>
      <c r="P37" s="9">
        <v>2871</v>
      </c>
      <c r="Q37" s="9">
        <v>3016</v>
      </c>
      <c r="R37" s="9">
        <v>3163</v>
      </c>
      <c r="S37" s="9">
        <v>3314</v>
      </c>
      <c r="T37" s="9">
        <v>3468</v>
      </c>
      <c r="U37" s="9">
        <v>3625</v>
      </c>
      <c r="V37" s="9">
        <v>3786</v>
      </c>
      <c r="W37" s="9">
        <v>3949</v>
      </c>
      <c r="X37" s="9">
        <v>4116</v>
      </c>
    </row>
    <row r="38" spans="1:24" ht="15">
      <c r="A38" s="4" t="s">
        <v>76</v>
      </c>
      <c r="B38" s="9">
        <f>((((B24*0.00314)*0.16)*'Технический лист'!$O$8)+((((B24+100)/1000)*((B24+100)/1000))*3)*'Технический лист'!$I$8)*1.79</f>
        <v>895.0807127272728</v>
      </c>
      <c r="C38" s="9">
        <f>((((C24*0.00314)*0.16)*'Технический лист'!$O$8)+((((C24+100)/1000)*((C24+100)/1000))*3)*'Технический лист'!$I$8)*1.79</f>
        <v>986.161357116883</v>
      </c>
      <c r="D38" s="9">
        <f>((((D24*0.00314)*0.16)*'Технический лист'!$O$8)+((((D24+100)/1000)*((D24+100)/1000))*3)*'Технический лист'!$I$8)*1.79</f>
        <v>1032.8811091493506</v>
      </c>
      <c r="E38" s="9">
        <f>((((E24*0.00314)*0.16)*'Технический лист'!$O$8)+((((E24+100)/1000)*((E24+100)/1000))*3)*'Технический лист'!$I$8)*1.79</f>
        <v>1080.38714774026</v>
      </c>
      <c r="F38" s="9">
        <f>((((F24*0.00314)*0.16)*'Технический лист'!$O$8)+((((F24+100)/1000)*((F24+100)/1000))*3)*'Технический лист'!$I$8)*1.79</f>
        <v>1128.6794728896105</v>
      </c>
      <c r="G38" s="9">
        <f>((((G24*0.00314)*0.16)*'Технический лист'!$O$8)+((((G24+100)/1000)*((G24+100)/1000))*3)*'Технический лист'!$I$8)*1.79</f>
        <v>1177.7580845974026</v>
      </c>
      <c r="H38" s="9">
        <f>((((H24*0.00314)*0.16)*'Технический лист'!$O$8)+((((H24+100)/1000)*((H24+100)/1000))*3)*'Технический лист'!$I$8)*1.79</f>
        <v>1278.2741676883115</v>
      </c>
      <c r="I38" s="9">
        <f>((((I24*0.00314)*0.16)*'Технический лист'!$O$8)+((((I24+100)/1000)*((I24+100)/1000))*3)*'Технический лист'!$I$8)*1.79</f>
        <v>1381.935397012987</v>
      </c>
      <c r="J38" s="9">
        <f>((((J24*0.00314)*0.16)*'Технический лист'!$O$8)+((((J24+100)/1000)*((J24+100)/1000))*3)*'Технический лист'!$I$8)*1.79</f>
        <v>1488.7417725714286</v>
      </c>
      <c r="K38" s="9">
        <f>((((K24*0.00314)*0.16)*'Технический лист'!$O$8)+((((K24+100)/1000)*((K24+100)/1000))*3)*'Технический лист'!$I$8)*1.79</f>
        <v>1711.7899623896103</v>
      </c>
      <c r="L38" s="9">
        <f>((((L24*0.00314)*0.16)*'Технический лист'!$O$8)+((((L24+100)/1000)*((L24+100)/1000))*3)*'Технический лист'!$I$8)*1.79</f>
        <v>1947.4187371428575</v>
      </c>
      <c r="M38" s="9">
        <f>((((M24*0.00314)*0.16)*'Технический лист'!$O$8)+((((M24+100)/1000)*((M24+100)/1000))*3)*'Технический лист'!$I$8)*1.79</f>
        <v>2195.628096831169</v>
      </c>
      <c r="N38" s="9">
        <f>((((N24*0.00314)*0.16)*'Технический лист'!$O$8)+((((N24+100)/1000)*((N24+100)/1000))*3)*'Технический лист'!$I$8)*1.79</f>
        <v>2591.530733116883</v>
      </c>
      <c r="O38" s="9">
        <f>((((O24*0.00314)*0.16)*'Технический лист'!$O$8)+((((O24+100)/1000)*((O24+100)/1000))*3)*'Технический лист'!$I$8)*1.79</f>
        <v>2729.788571012987</v>
      </c>
      <c r="P38" s="9">
        <f>((((P24*0.00314)*0.16)*'Технический лист'!$O$8)+((((P24+100)/1000)*((P24+100)/1000))*3)*'Технический лист'!$I$8)*1.79</f>
        <v>2871.191555142857</v>
      </c>
      <c r="Q38" s="9">
        <f>((((Q24*0.00314)*0.16)*'Технический лист'!$O$8)+((((Q24+100)/1000)*((Q24+100)/1000))*3)*'Технический лист'!$I$8)*1.79</f>
        <v>3015.7396855064935</v>
      </c>
      <c r="R38" s="9">
        <f>((((R24*0.00314)*0.16)*'Технический лист'!$O$8)+((((R24+100)/1000)*((R24+100)/1000))*3)*'Технический лист'!$I$8)*1.79</f>
        <v>3163.4329621038964</v>
      </c>
      <c r="S38" s="9">
        <f>((((S24*0.00314)*0.16)*'Технический лист'!$O$8)+((((S24+100)/1000)*((S24+100)/1000))*3)*'Технический лист'!$I$8)*1.79</f>
        <v>3314.2713849350653</v>
      </c>
      <c r="T38" s="9">
        <f>((((T24*0.00314)*0.16)*'Технический лист'!$O$8)+((((T24+100)/1000)*((T24+100)/1000))*3)*'Технический лист'!$I$8)*1.79</f>
        <v>3468.254954</v>
      </c>
      <c r="U38" s="9">
        <f>((((U24*0.00314)*0.16)*'Технический лист'!$O$8)+((((U24+100)/1000)*((U24+100)/1000))*3)*'Технический лист'!$I$8)*1.79</f>
        <v>3625.3836692987006</v>
      </c>
      <c r="V38" s="9">
        <f>((((V24*0.00314)*0.16)*'Технический лист'!$O$8)+((((V24+100)/1000)*((V24+100)/1000))*3)*'Технический лист'!$I$8)*1.79</f>
        <v>3785.6575308311685</v>
      </c>
      <c r="W38" s="9">
        <f>((((W24*0.00314)*0.16)*'Технический лист'!$O$8)+((((W24+100)/1000)*((W24+100)/1000))*3)*'Технический лист'!$I$8)*1.79</f>
        <v>3949.0765385974023</v>
      </c>
      <c r="X38" s="9">
        <f>((((X24*0.00314)*0.16)*'Технический лист'!$O$8)+((((X24+100)/1000)*((X24+100)/1000))*3)*'Технический лист'!$I$8)*1.79</f>
        <v>4115.640692597403</v>
      </c>
    </row>
    <row r="39" spans="1:24" ht="15">
      <c r="A39" s="4" t="s">
        <v>101</v>
      </c>
      <c r="B39" s="9">
        <v>1050</v>
      </c>
      <c r="C39" s="9">
        <v>1050</v>
      </c>
      <c r="D39" s="9">
        <v>1050</v>
      </c>
      <c r="E39" s="9">
        <v>1050</v>
      </c>
      <c r="F39" s="9">
        <v>1050</v>
      </c>
      <c r="G39" s="9">
        <v>1050</v>
      </c>
      <c r="H39" s="9">
        <v>1050</v>
      </c>
      <c r="I39" s="9">
        <v>1050</v>
      </c>
      <c r="J39" s="9">
        <v>1050</v>
      </c>
      <c r="K39" s="9">
        <v>1050</v>
      </c>
      <c r="L39" s="9">
        <v>1050</v>
      </c>
      <c r="M39" s="9">
        <v>1050</v>
      </c>
      <c r="N39" s="9">
        <v>1050</v>
      </c>
      <c r="O39" s="9">
        <v>1050</v>
      </c>
      <c r="P39" s="9">
        <v>1050</v>
      </c>
      <c r="Q39" s="9">
        <v>1050</v>
      </c>
      <c r="R39" s="9">
        <v>1050</v>
      </c>
      <c r="S39" s="9">
        <v>1050</v>
      </c>
      <c r="T39" s="9">
        <v>1050</v>
      </c>
      <c r="U39" s="9">
        <v>1050</v>
      </c>
      <c r="V39" s="9">
        <v>1050</v>
      </c>
      <c r="W39" s="9">
        <v>1050</v>
      </c>
      <c r="X39" s="9">
        <v>1050</v>
      </c>
    </row>
  </sheetData>
  <mergeCells count="8">
    <mergeCell ref="P5:AD5"/>
    <mergeCell ref="O23:AB23"/>
    <mergeCell ref="A23:N23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80" zoomScaleNormal="80" workbookViewId="0" topLeftCell="A1">
      <selection activeCell="B10" sqref="B10"/>
    </sheetView>
  </sheetViews>
  <sheetFormatPr defaultColWidth="6.7109375" defaultRowHeight="15"/>
  <cols>
    <col min="1" max="1" width="20.7109375" style="0" customWidth="1"/>
    <col min="2" max="24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30" ht="15">
      <c r="A5" s="41" t="s">
        <v>84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84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 hidden="1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X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  <c r="T7" s="10">
        <f t="shared" si="1"/>
        <v>380</v>
      </c>
      <c r="U7" s="10">
        <f t="shared" si="1"/>
        <v>390</v>
      </c>
      <c r="V7" s="10">
        <f t="shared" si="1"/>
        <v>400</v>
      </c>
      <c r="W7" s="10">
        <f t="shared" si="1"/>
        <v>410</v>
      </c>
      <c r="X7" s="10">
        <f t="shared" si="1"/>
        <v>420</v>
      </c>
    </row>
    <row r="8" spans="1:24" ht="15">
      <c r="A8" s="4" t="s">
        <v>69</v>
      </c>
      <c r="B8" s="16">
        <f>(((B6*0.00314)*'Технический лист'!$G$9))*1.55</f>
        <v>756.91584</v>
      </c>
      <c r="C8" s="16">
        <f>(((C6*0.00314)*'Технический лист'!$G$9))*1.55</f>
        <v>832.6074239999999</v>
      </c>
      <c r="D8" s="16">
        <f>(((D6*0.00314)*'Технический лист'!$G$9))*1.55</f>
        <v>870.453216</v>
      </c>
      <c r="E8" s="16">
        <f>(((E6*0.00314)*'Технический лист'!$G$9))*1.55</f>
        <v>908.2990080000001</v>
      </c>
      <c r="F8" s="16">
        <f>(((F6*0.00314)*'Технический лист'!$G$9))*1.55</f>
        <v>946.1448000000001</v>
      </c>
      <c r="G8" s="16">
        <f>(((G6*0.00314)*'Технический лист'!$G$9))*1.55</f>
        <v>983.9905920000001</v>
      </c>
      <c r="H8" s="16">
        <f>(((H6*0.00314)*'Технический лист'!$G$9))*1.55</f>
        <v>1059.682176</v>
      </c>
      <c r="I8" s="16">
        <f>(((I6*0.00314)*'Технический лист'!$G$9))*1.55</f>
        <v>1135.37376</v>
      </c>
      <c r="J8" s="16">
        <f>(((J6*0.00314)*'Технический лист'!$G$9))*1.55</f>
        <v>1211.0653439999999</v>
      </c>
      <c r="K8" s="16">
        <f>(((K6*0.00314)*'Технический лист'!$G$9))*1.55</f>
        <v>1362.4485120000002</v>
      </c>
      <c r="L8" s="16">
        <f>(((L6*0.00314)*'Технический лист'!$G$9))*1.55</f>
        <v>1513.83168</v>
      </c>
      <c r="M8" s="16">
        <f>(((M6*0.00314)*'Технический лист'!$G$9))*1.55</f>
        <v>1665.2148479999998</v>
      </c>
      <c r="N8" s="16">
        <f>(((N6*0.00314)*'Технический лист'!$G$9))*1.55</f>
        <v>1892.2896000000003</v>
      </c>
      <c r="O8" s="16">
        <f>(((O6*0.00314)*'Технический лист'!$G$9))*1.55</f>
        <v>1967.9811840000002</v>
      </c>
      <c r="P8" s="16">
        <f>(((P6*0.00314)*'Технический лист'!$G$9))*1.55</f>
        <v>2043.6727680000001</v>
      </c>
      <c r="Q8" s="16">
        <f>(((Q6*0.00314)*'Технический лист'!$G$9))*1.55</f>
        <v>2119.364352</v>
      </c>
      <c r="R8" s="16">
        <f>(((R6*0.00314)*'Технический лист'!$G$9))*1.55</f>
        <v>2195.0559359999997</v>
      </c>
      <c r="S8" s="16">
        <f>(((S6*0.00314)*'Технический лист'!$G$9))*1.55</f>
        <v>2270.74752</v>
      </c>
      <c r="T8" s="16">
        <f>(((T6*0.00314)*'Технический лист'!$G$9))*1.55</f>
        <v>2346.439104</v>
      </c>
      <c r="U8" s="16">
        <f>(((U6*0.00314)*'Технический лист'!$G$9))*1.55</f>
        <v>2422.1306879999997</v>
      </c>
      <c r="V8" s="16">
        <f>(((V6*0.00314)*'Технический лист'!$G$9))*1.55</f>
        <v>2497.8222720000003</v>
      </c>
      <c r="W8" s="16">
        <f>(((W6*0.00314)*'Технический лист'!$G$9))*1.55</f>
        <v>2573.5138560000005</v>
      </c>
      <c r="X8" s="16">
        <f>(((X6*0.00314)*'Технический лист'!$G$9))*1.55</f>
        <v>2649.20544</v>
      </c>
    </row>
    <row r="9" spans="1:24" ht="15">
      <c r="A9" s="4" t="s">
        <v>70</v>
      </c>
      <c r="B9" s="9">
        <f>((B8/2)*1.07)-10</f>
        <v>394.94997440000003</v>
      </c>
      <c r="C9" s="9">
        <f aca="true" t="shared" si="2" ref="C9:N9">((C8/2)*1.07)-10</f>
        <v>435.44497184</v>
      </c>
      <c r="D9" s="9">
        <f t="shared" si="2"/>
        <v>455.69247056</v>
      </c>
      <c r="E9" s="9">
        <f t="shared" si="2"/>
        <v>475.93996928000007</v>
      </c>
      <c r="F9" s="9">
        <f t="shared" si="2"/>
        <v>496.1874680000001</v>
      </c>
      <c r="G9" s="9">
        <f t="shared" si="2"/>
        <v>516.43496672</v>
      </c>
      <c r="H9" s="9">
        <f t="shared" si="2"/>
        <v>556.92996416</v>
      </c>
      <c r="I9" s="9">
        <f t="shared" si="2"/>
        <v>597.4249616</v>
      </c>
      <c r="J9" s="9">
        <f t="shared" si="2"/>
        <v>637.91995904</v>
      </c>
      <c r="K9" s="9">
        <f t="shared" si="2"/>
        <v>718.9099539200001</v>
      </c>
      <c r="L9" s="9">
        <f t="shared" si="2"/>
        <v>799.8999488000001</v>
      </c>
      <c r="M9" s="9">
        <f t="shared" si="2"/>
        <v>880.88994368</v>
      </c>
      <c r="N9" s="9">
        <f t="shared" si="2"/>
        <v>1002.3749360000002</v>
      </c>
      <c r="O9" s="9">
        <f aca="true" t="shared" si="3" ref="O9:X9">((O8/2)*1.07)-10</f>
        <v>1042.86993344</v>
      </c>
      <c r="P9" s="9">
        <f t="shared" si="3"/>
        <v>1083.3649308800002</v>
      </c>
      <c r="Q9" s="9">
        <f t="shared" si="3"/>
        <v>1123.85992832</v>
      </c>
      <c r="R9" s="9">
        <f t="shared" si="3"/>
        <v>1164.35492576</v>
      </c>
      <c r="S9" s="9">
        <f t="shared" si="3"/>
        <v>1204.8499232</v>
      </c>
      <c r="T9" s="9">
        <f t="shared" si="3"/>
        <v>1245.34492064</v>
      </c>
      <c r="U9" s="9">
        <f t="shared" si="3"/>
        <v>1285.83991808</v>
      </c>
      <c r="V9" s="9">
        <f t="shared" si="3"/>
        <v>1326.3349155200003</v>
      </c>
      <c r="W9" s="9">
        <f t="shared" si="3"/>
        <v>1366.8299129600002</v>
      </c>
      <c r="X9" s="9">
        <f t="shared" si="3"/>
        <v>1407.3249104000001</v>
      </c>
    </row>
    <row r="10" spans="1:24" ht="15">
      <c r="A10" s="4" t="s">
        <v>71</v>
      </c>
      <c r="B10" s="16">
        <f>(((B6*0.00314)*0.55)*'Технический лист'!$I$9)*1.59</f>
        <v>638.4836436</v>
      </c>
      <c r="C10" s="16">
        <f>(((C6*0.00314)*0.55)*'Технический лист'!$I$9)*1.59</f>
        <v>702.3320079599999</v>
      </c>
      <c r="D10" s="16">
        <f>(((D6*0.00314)*0.55)*'Технический лист'!$I$9)*1.59</f>
        <v>734.25619014</v>
      </c>
      <c r="E10" s="16">
        <f>(((E6*0.00314)*0.55)*'Технический лист'!$I$9)*1.59</f>
        <v>766.1803723200001</v>
      </c>
      <c r="F10" s="16">
        <f>(((F6*0.00314)*0.55)*'Технический лист'!$I$9)*1.59</f>
        <v>798.1045545000001</v>
      </c>
      <c r="G10" s="16">
        <f>(((G6*0.00314)*0.55)*'Технический лист'!$I$9)*1.59</f>
        <v>830.0287366800001</v>
      </c>
      <c r="H10" s="16">
        <f>(((H6*0.00314)*0.55)*'Технический лист'!$I$9)*1.59</f>
        <v>893.8771010400001</v>
      </c>
      <c r="I10" s="16">
        <f>(((I6*0.00314)*0.55)*'Технический лист'!$I$9)*1.59</f>
        <v>957.7254654</v>
      </c>
      <c r="J10" s="16">
        <f>(((J6*0.00314)*0.55)*'Технический лист'!$I$9)*1.59</f>
        <v>1021.57382976</v>
      </c>
      <c r="K10" s="16">
        <f>(((K6*0.00314)*0.55)*'Технический лист'!$I$9)*1.59</f>
        <v>1149.27055848</v>
      </c>
      <c r="L10" s="16">
        <f>(((L6*0.00314)*0.55)*'Технический лист'!$I$9)*1.59</f>
        <v>1276.9672872</v>
      </c>
      <c r="M10" s="16">
        <f>(((M6*0.00314)*0.55)*'Технический лист'!$I$9)*1.59</f>
        <v>1404.6640159199999</v>
      </c>
      <c r="N10" s="16">
        <f>(((N6*0.00314)*0.55)*'Технический лист'!$I$9)*1.59</f>
        <v>1596.2091090000001</v>
      </c>
      <c r="O10" s="16">
        <f>(((O6*0.00314)*0.55)*'Технический лист'!$I$9)*1.59</f>
        <v>1660.0574733600001</v>
      </c>
      <c r="P10" s="16">
        <f>(((P6*0.00314)*0.55)*'Технический лист'!$I$9)*1.59</f>
        <v>1723.90583772</v>
      </c>
      <c r="Q10" s="16">
        <f>(((Q6*0.00314)*0.55)*'Технический лист'!$I$9)*1.59</f>
        <v>1787.7542020800001</v>
      </c>
      <c r="R10" s="16">
        <f>(((R6*0.00314)*0.55)*'Технический лист'!$I$9)*1.59</f>
        <v>1851.60256644</v>
      </c>
      <c r="S10" s="16">
        <f>(((S6*0.00314)*0.55)*'Технический лист'!$I$9)*1.59</f>
        <v>1915.4509308</v>
      </c>
      <c r="T10" s="16">
        <f>(((T6*0.00314)*0.55)*'Технический лист'!$I$9)*1.59</f>
        <v>1979.29929516</v>
      </c>
      <c r="U10" s="16">
        <f>(((U6*0.00314)*0.55)*'Технический лист'!$I$9)*1.59</f>
        <v>2043.14765952</v>
      </c>
      <c r="V10" s="16">
        <f>(((V6*0.00314)*0.55)*'Технический лист'!$I$9)*1.59</f>
        <v>2106.99602388</v>
      </c>
      <c r="W10" s="16">
        <f>(((W6*0.00314)*0.55)*'Технический лист'!$I$9)*1.59</f>
        <v>2170.8443882400006</v>
      </c>
      <c r="X10" s="16">
        <f>(((X6*0.00314)*0.55)*'Технический лист'!$I$9)*1.59</f>
        <v>2234.6927526</v>
      </c>
    </row>
    <row r="11" spans="1:24" ht="15">
      <c r="A11" s="4" t="s">
        <v>72</v>
      </c>
      <c r="B11" s="9">
        <f>((B10*2)/3)-6</f>
        <v>419.6557624</v>
      </c>
      <c r="C11" s="9">
        <f aca="true" t="shared" si="4" ref="C11:N11">((C10*2)/3)-6</f>
        <v>462.22133863999994</v>
      </c>
      <c r="D11" s="9">
        <f t="shared" si="4"/>
        <v>483.50412675999996</v>
      </c>
      <c r="E11" s="9">
        <f t="shared" si="4"/>
        <v>504.78691488000004</v>
      </c>
      <c r="F11" s="9">
        <f t="shared" si="4"/>
        <v>526.069703</v>
      </c>
      <c r="G11" s="9">
        <f t="shared" si="4"/>
        <v>547.3524911200001</v>
      </c>
      <c r="H11" s="9">
        <f t="shared" si="4"/>
        <v>589.91806736</v>
      </c>
      <c r="I11" s="9">
        <f t="shared" si="4"/>
        <v>632.4836435999999</v>
      </c>
      <c r="J11" s="9">
        <f t="shared" si="4"/>
        <v>675.04921984</v>
      </c>
      <c r="K11" s="9">
        <f t="shared" si="4"/>
        <v>760.1803723200001</v>
      </c>
      <c r="L11" s="9">
        <f t="shared" si="4"/>
        <v>845.3115248</v>
      </c>
      <c r="M11" s="9">
        <f t="shared" si="4"/>
        <v>930.4426772799999</v>
      </c>
      <c r="N11" s="9">
        <f t="shared" si="4"/>
        <v>1058.139406</v>
      </c>
      <c r="O11" s="9">
        <f aca="true" t="shared" si="5" ref="O11:X11">((O10*2)/3)-6</f>
        <v>1100.7049822400002</v>
      </c>
      <c r="P11" s="9">
        <f t="shared" si="5"/>
        <v>1143.2705584799999</v>
      </c>
      <c r="Q11" s="9">
        <f t="shared" si="5"/>
        <v>1185.83613472</v>
      </c>
      <c r="R11" s="9">
        <f t="shared" si="5"/>
        <v>1228.40171096</v>
      </c>
      <c r="S11" s="9">
        <f t="shared" si="5"/>
        <v>1270.9672871999999</v>
      </c>
      <c r="T11" s="9">
        <f t="shared" si="5"/>
        <v>1313.53286344</v>
      </c>
      <c r="U11" s="9">
        <f t="shared" si="5"/>
        <v>1356.09843968</v>
      </c>
      <c r="V11" s="9">
        <f t="shared" si="5"/>
        <v>1398.6640159199999</v>
      </c>
      <c r="W11" s="9">
        <f t="shared" si="5"/>
        <v>1441.2295921600005</v>
      </c>
      <c r="X11" s="9">
        <f t="shared" si="5"/>
        <v>1483.7951684</v>
      </c>
    </row>
    <row r="12" spans="1:24" ht="15">
      <c r="A12" s="4" t="s">
        <v>73</v>
      </c>
      <c r="B12" s="16">
        <f>(((((B6+30)*(B6+30))/1000000)*'Технический лист'!$M$9)+(B6*0.000628)*'Технический лист'!$E$20)*1.6</f>
        <v>473.716608</v>
      </c>
      <c r="C12" s="16">
        <f>(((((C6+30)*(C6+30))/1000000)*'Технический лист'!$M$9)+(C6*0.000628)*'Технический лист'!$E$20)*1.6</f>
        <v>525.3790720000001</v>
      </c>
      <c r="D12" s="16">
        <f>(((((D6+30)*(D6+30))/1000000)*'Технический лист'!$M$9)+(D6*0.000628)*'Технический лист'!$E$20)*1.6</f>
        <v>551.5289280000001</v>
      </c>
      <c r="E12" s="16">
        <f>(((((E6+30)*(E6+30))/1000000)*'Технический лист'!$M$9)+(E6*0.000628)*'Технический лист'!$E$20)*1.6</f>
        <v>577.8912</v>
      </c>
      <c r="F12" s="16">
        <f>(((((F6+30)*(F6+30))/1000000)*'Технический лист'!$M$9)+(F6*0.000628)*'Технический лист'!$E$20)*1.6</f>
        <v>604.4658880000001</v>
      </c>
      <c r="G12" s="16">
        <f>(((((G6+30)*(G6+30))/1000000)*'Технический лист'!$M$9)+(G6*0.000628)*'Технический лист'!$E$20)*1.6</f>
        <v>631.252992</v>
      </c>
      <c r="H12" s="16">
        <f>(((((H6+30)*(H6+30))/1000000)*'Технический лист'!$M$9)+(H6*0.000628)*'Технический лист'!$E$20)*1.6</f>
        <v>685.4644480000001</v>
      </c>
      <c r="I12" s="16">
        <f>(((((I6+30)*(I6+30))/1000000)*'Технический лист'!$M$9)+(I6*0.000628)*'Технический лист'!$E$20)*1.6</f>
        <v>740.525568</v>
      </c>
      <c r="J12" s="16">
        <f>(((((J6+30)*(J6+30))/1000000)*'Технический лист'!$M$9)+(J6*0.000628)*'Технический лист'!$E$20)*1.6</f>
        <v>796.436352</v>
      </c>
      <c r="K12" s="16">
        <f>(((((K6+30)*(K6+30))/1000000)*'Технический лист'!$M$9)+(K6*0.000628)*'Технический лист'!$E$20)*1.6</f>
        <v>910.806912</v>
      </c>
      <c r="L12" s="16">
        <f>(((((L6+30)*(L6+30))/1000000)*'Технический лист'!$M$9)+(L6*0.000628)*'Технический лист'!$E$20)*1.6</f>
        <v>1028.576128</v>
      </c>
      <c r="M12" s="16">
        <f>(((((M6+30)*(M6+30))/1000000)*'Технический лист'!$M$9)+(M6*0.000628)*'Технический лист'!$E$20)*1.6</f>
        <v>1149.744</v>
      </c>
      <c r="N12" s="16">
        <f>(((((N6+30)*(N6+30))/1000000)*'Технический лист'!$M$9)+(N6*0.000628)*'Технический лист'!$E$20)*1.6</f>
        <v>1337.8682880000001</v>
      </c>
      <c r="O12" s="16">
        <f>(((((O6+30)*(O6+30))/1000000)*'Технический лист'!$M$9)+(O6*0.000628)*'Технический лист'!$E$20)*1.6</f>
        <v>1402.2757119999999</v>
      </c>
      <c r="P12" s="16">
        <f>(((((P6+30)*(P6+30))/1000000)*'Технический лист'!$M$9)+(P6*0.000628)*'Технический лист'!$E$20)*1.6</f>
        <v>1467.5328</v>
      </c>
      <c r="Q12" s="16">
        <f>(((((Q6+30)*(Q6+30))/1000000)*'Технический лист'!$M$9)+(Q6*0.000628)*'Технический лист'!$E$20)*1.6</f>
        <v>1533.639552</v>
      </c>
      <c r="R12" s="16">
        <f>(((((R6+30)*(R6+30))/1000000)*'Технический лист'!$M$9)+(R6*0.000628)*'Технический лист'!$E$20)*1.6</f>
        <v>1600.595968</v>
      </c>
      <c r="S12" s="16">
        <f>(((((S6+30)*(S6+30))/1000000)*'Технический лист'!$M$9)+(S6*0.000628)*'Технический лист'!$E$20)*1.6</f>
        <v>1668.402048</v>
      </c>
      <c r="T12" s="16">
        <f>(((((T6+30)*(T6+30))/1000000)*'Технический лист'!$M$9)+(T6*0.000628)*'Технический лист'!$E$20)*1.6</f>
        <v>1737.0577919999996</v>
      </c>
      <c r="U12" s="16">
        <f>(((((U6+30)*(U6+30))/1000000)*'Технический лист'!$M$9)+(U6*0.000628)*'Технический лист'!$E$20)*1.6</f>
        <v>1806.5631999999998</v>
      </c>
      <c r="V12" s="16">
        <f>(((((V6+30)*(V6+30))/1000000)*'Технический лист'!$M$9)+(V6*0.000628)*'Технический лист'!$E$20)*1.6</f>
        <v>1876.918272</v>
      </c>
      <c r="W12" s="16">
        <f>(((((W6+30)*(W6+30))/1000000)*'Технический лист'!$M$9)+(W6*0.000628)*'Технический лист'!$E$20)*1.6</f>
        <v>1948.1230079999998</v>
      </c>
      <c r="X12" s="16">
        <f>(((((X6+30)*(X6+30))/1000000)*'Технический лист'!$M$9)+(X6*0.000628)*'Технический лист'!$E$20)*1.6</f>
        <v>2020.177408</v>
      </c>
    </row>
    <row r="13" spans="1:24" ht="15">
      <c r="A13" s="4" t="s">
        <v>74</v>
      </c>
      <c r="B13" s="9">
        <f>(((B6*0.00314)*0.35)*'Технический лист'!$O$9)+B12</f>
        <v>743.5430879999999</v>
      </c>
      <c r="C13" s="9">
        <f>(((C6*0.00314)*0.35)*'Технический лист'!$O$9)+C12</f>
        <v>822.1882</v>
      </c>
      <c r="D13" s="9">
        <f>(((D6*0.00314)*0.35)*'Технический лист'!$O$9)+D12</f>
        <v>861.82938</v>
      </c>
      <c r="E13" s="9">
        <f>(((E6*0.00314)*0.35)*'Технический лист'!$O$9)+E12</f>
        <v>901.682976</v>
      </c>
      <c r="F13" s="9">
        <f>(((F6*0.00314)*0.35)*'Технический лист'!$O$9)+F12</f>
        <v>941.748988</v>
      </c>
      <c r="G13" s="9">
        <f>(((G6*0.00314)*0.35)*'Технический лист'!$O$9)+G12</f>
        <v>982.0274159999999</v>
      </c>
      <c r="H13" s="9">
        <f>(((H6*0.00314)*0.35)*'Технический лист'!$O$9)+H12</f>
        <v>1063.22152</v>
      </c>
      <c r="I13" s="9">
        <f>(((I6*0.00314)*0.35)*'Технический лист'!$O$9)+I12</f>
        <v>1145.265288</v>
      </c>
      <c r="J13" s="9">
        <f>(((J6*0.00314)*0.35)*'Технический лист'!$O$9)+J12</f>
        <v>1228.15872</v>
      </c>
      <c r="K13" s="9">
        <f>(((K6*0.00314)*0.35)*'Технический лист'!$O$9)+K12</f>
        <v>1396.494576</v>
      </c>
      <c r="L13" s="9">
        <f>(((L6*0.00314)*0.35)*'Технический лист'!$O$9)+L12</f>
        <v>1568.2290879999998</v>
      </c>
      <c r="M13" s="9">
        <f>(((M6*0.00314)*0.35)*'Технический лист'!$O$9)+M12</f>
        <v>1743.362256</v>
      </c>
      <c r="N13" s="9">
        <f>(((N6*0.00314)*0.35)*'Технический лист'!$O$9)+N12</f>
        <v>2012.434488</v>
      </c>
      <c r="O13" s="9">
        <f>(((O6*0.00314)*0.35)*'Технический лист'!$O$9)+O12</f>
        <v>2103.82456</v>
      </c>
      <c r="P13" s="9">
        <f>(((P6*0.00314)*0.35)*'Технический лист'!$O$9)+P12</f>
        <v>2196.064296</v>
      </c>
      <c r="Q13" s="9">
        <f>(((Q6*0.00314)*0.35)*'Технический лист'!$O$9)+Q12</f>
        <v>2289.153696</v>
      </c>
      <c r="R13" s="9">
        <f>(((R6*0.00314)*0.35)*'Технический лист'!$O$9)+R12</f>
        <v>2383.09276</v>
      </c>
      <c r="S13" s="9">
        <f>(((S6*0.00314)*0.35)*'Технический лист'!$O$9)+S12</f>
        <v>2477.881488</v>
      </c>
      <c r="T13" s="9">
        <f>(((T6*0.00314)*0.35)*'Технический лист'!$O$9)+T12</f>
        <v>2573.5198799999994</v>
      </c>
      <c r="U13" s="9">
        <f>(((U6*0.00314)*0.35)*'Технический лист'!$O$9)+U12</f>
        <v>2670.0079359999995</v>
      </c>
      <c r="V13" s="9">
        <f>(((V6*0.00314)*0.35)*'Технический лист'!$O$9)+V12</f>
        <v>2767.345656</v>
      </c>
      <c r="W13" s="9">
        <f>(((W6*0.00314)*0.35)*'Технический лист'!$O$9)+W12</f>
        <v>2865.53304</v>
      </c>
      <c r="X13" s="9">
        <f>(((X6*0.00314)*0.35)*'Технический лист'!$O$9)+X12</f>
        <v>2964.570088</v>
      </c>
    </row>
    <row r="14" spans="1:24" ht="15" hidden="1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4" t="s">
        <v>99</v>
      </c>
      <c r="B15" s="16">
        <v>1116</v>
      </c>
      <c r="C15" s="16">
        <v>1252</v>
      </c>
      <c r="D15" s="16">
        <v>1323</v>
      </c>
      <c r="E15" s="16">
        <v>1396</v>
      </c>
      <c r="F15" s="16">
        <v>1467</v>
      </c>
      <c r="G15" s="16">
        <v>1543</v>
      </c>
      <c r="H15" s="16">
        <v>1692</v>
      </c>
      <c r="I15" s="16">
        <v>1843</v>
      </c>
      <c r="J15" s="16">
        <v>2002</v>
      </c>
      <c r="K15" s="16">
        <v>2326</v>
      </c>
      <c r="L15" s="16">
        <v>2668</v>
      </c>
      <c r="M15" s="16">
        <v>3028</v>
      </c>
      <c r="N15" s="16">
        <v>3594</v>
      </c>
      <c r="O15" s="16">
        <v>3787</v>
      </c>
      <c r="P15" s="16">
        <v>3990</v>
      </c>
      <c r="Q15" s="16">
        <v>4194</v>
      </c>
      <c r="R15" s="16">
        <v>4402</v>
      </c>
      <c r="S15" s="16">
        <v>4615</v>
      </c>
      <c r="T15" s="16">
        <v>4830</v>
      </c>
      <c r="U15" s="16">
        <v>5049</v>
      </c>
      <c r="V15" s="16">
        <v>5275</v>
      </c>
      <c r="W15" s="16">
        <v>5499</v>
      </c>
      <c r="X15" s="16">
        <v>5733</v>
      </c>
    </row>
    <row r="16" spans="1:24" ht="15">
      <c r="A16" s="4" t="s">
        <v>103</v>
      </c>
      <c r="B16" s="16">
        <v>1116</v>
      </c>
      <c r="C16" s="16">
        <v>1252</v>
      </c>
      <c r="D16" s="16">
        <v>1323</v>
      </c>
      <c r="E16" s="16">
        <v>1396</v>
      </c>
      <c r="F16" s="16">
        <v>1467</v>
      </c>
      <c r="G16" s="16">
        <v>1543</v>
      </c>
      <c r="H16" s="16">
        <v>1692</v>
      </c>
      <c r="I16" s="16">
        <v>1843</v>
      </c>
      <c r="J16" s="16">
        <v>2002</v>
      </c>
      <c r="K16" s="16">
        <v>2326</v>
      </c>
      <c r="L16" s="16">
        <v>2668</v>
      </c>
      <c r="M16" s="16">
        <v>3028</v>
      </c>
      <c r="N16" s="16">
        <v>3594</v>
      </c>
      <c r="O16" s="16">
        <v>3787</v>
      </c>
      <c r="P16" s="16">
        <v>3990</v>
      </c>
      <c r="Q16" s="16">
        <v>4194</v>
      </c>
      <c r="R16" s="16">
        <v>4402</v>
      </c>
      <c r="S16" s="16">
        <v>4615</v>
      </c>
      <c r="T16" s="16">
        <v>4830</v>
      </c>
      <c r="U16" s="16">
        <v>5049</v>
      </c>
      <c r="V16" s="16">
        <v>5275</v>
      </c>
      <c r="W16" s="16">
        <v>5499</v>
      </c>
      <c r="X16" s="16">
        <v>5733</v>
      </c>
    </row>
    <row r="17" spans="1:24" ht="15">
      <c r="A17" s="4" t="s">
        <v>75</v>
      </c>
      <c r="B17" s="9">
        <f>(((B6*0.00314)*((B6+500)/1000)*'Технический лист'!$K$9))*1.78</f>
        <v>806.5886303999999</v>
      </c>
      <c r="C17" s="9">
        <f>(((C6*0.00314)*((C6+500)/1000)*'Технический лист'!$K$9))*1.78</f>
        <v>902.0349516639999</v>
      </c>
      <c r="D17" s="9">
        <f>(((D6*0.00314)*((D6+500)/1000)*'Технический лист'!$K$9))*1.78</f>
        <v>950.7663480839998</v>
      </c>
      <c r="E17" s="9">
        <f>(((E6*0.00314)*((E6+500)/1000)*'Технический лист'!$K$9))*1.78</f>
        <v>1000.169901696</v>
      </c>
      <c r="F17" s="9">
        <f>(((F6*0.00314)*((F6+500)/1000)*'Технический лист'!$K$9))*1.78</f>
        <v>1050.2456125</v>
      </c>
      <c r="G17" s="9">
        <f>(((G6*0.00314)*((G6+500)/1000)*'Технический лист'!$K$9))*1.78</f>
        <v>1100.9934804959998</v>
      </c>
      <c r="H17" s="9">
        <f>(((H6*0.00314)*((H6+500)/1000)*'Технический лист'!$K$9))*1.78</f>
        <v>1204.505688064</v>
      </c>
      <c r="I17" s="9">
        <f>(((I6*0.00314)*((I6+500)/1000)*'Технический лист'!$K$9))*1.78</f>
        <v>1310.7065243999998</v>
      </c>
      <c r="J17" s="9">
        <f>(((J6*0.00314)*((J6+500)/1000)*'Технический лист'!$K$9))*1.78</f>
        <v>1419.5959895039998</v>
      </c>
      <c r="K17" s="9">
        <f>(((K6*0.00314)*((K6+500)/1000)*'Технический лист'!$K$9))*1.78</f>
        <v>1645.4408060160001</v>
      </c>
      <c r="L17" s="9">
        <f>(((L6*0.00314)*((L6+500)/1000)*'Технический лист'!$K$9))*1.78</f>
        <v>1882.0401376</v>
      </c>
      <c r="M17" s="9">
        <f>(((M6*0.00314)*((M6+500)/1000)*'Технический лист'!$K$9))*1.78</f>
        <v>2129.393984256</v>
      </c>
      <c r="N17" s="9">
        <f>(((N6*0.00314)*((N6+500)/1000)*'Технический лист'!$K$9))*1.78</f>
        <v>2520.58947</v>
      </c>
      <c r="O17" s="9">
        <f>(((O6*0.00314)*((O6+500)/1000)*'Технический лист'!$K$9))*1.78</f>
        <v>2656.365222784</v>
      </c>
      <c r="P17" s="9">
        <f>(((P6*0.00314)*((P6+500)/1000)*'Технический лист'!$K$9))*1.78</f>
        <v>2794.829604336</v>
      </c>
      <c r="Q17" s="9">
        <f>(((Q6*0.00314)*((Q6+500)/1000)*'Технический лист'!$K$9))*1.78</f>
        <v>2935.982614656</v>
      </c>
      <c r="R17" s="9">
        <f>(((R6*0.00314)*((R6+500)/1000)*'Технический лист'!$K$9))*1.78</f>
        <v>3079.8242537439996</v>
      </c>
      <c r="S17" s="9">
        <f>(((S6*0.00314)*((S6+500)/1000)*'Технический лист'!$K$9))*1.78</f>
        <v>3226.3545216</v>
      </c>
      <c r="T17" s="9">
        <f>(((T6*0.00314)*((T6+500)/1000)*'Технический лист'!$K$9))*1.78</f>
        <v>3375.5734182240003</v>
      </c>
      <c r="U17" s="9">
        <f>(((U6*0.00314)*((U6+500)/1000)*'Технический лист'!$K$9))*1.78</f>
        <v>3527.4809436159994</v>
      </c>
      <c r="V17" s="9">
        <f>(((V6*0.00314)*((V6+500)/1000)*'Технический лист'!$K$9))*1.78</f>
        <v>3682.077097776</v>
      </c>
      <c r="W17" s="9">
        <f>(((W6*0.00314)*((W6+500)/1000)*'Технический лист'!$K$9))*1.78</f>
        <v>3839.3618807039998</v>
      </c>
      <c r="X17" s="9">
        <f>(((X6*0.00314)*((X6+500)/1000)*'Технический лист'!$K$9))*1.78</f>
        <v>3999.335292399999</v>
      </c>
    </row>
    <row r="18" spans="1:24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>
      <c r="A19" s="4" t="s">
        <v>105</v>
      </c>
      <c r="B19" s="9">
        <v>682</v>
      </c>
      <c r="C19" s="9">
        <v>751</v>
      </c>
      <c r="D19" s="9">
        <v>787</v>
      </c>
      <c r="E19" s="9">
        <v>823</v>
      </c>
      <c r="F19" s="9">
        <v>860</v>
      </c>
      <c r="G19" s="9">
        <v>897</v>
      </c>
      <c r="H19" s="9">
        <v>972</v>
      </c>
      <c r="I19" s="9">
        <v>1050</v>
      </c>
      <c r="J19" s="9">
        <v>1131</v>
      </c>
      <c r="K19" s="9">
        <v>1298</v>
      </c>
      <c r="L19" s="9">
        <v>1473</v>
      </c>
      <c r="M19" s="9">
        <v>1658</v>
      </c>
      <c r="N19" s="9">
        <v>1951</v>
      </c>
      <c r="O19" s="9">
        <v>2053</v>
      </c>
      <c r="P19" s="9">
        <v>2157</v>
      </c>
      <c r="Q19" s="9">
        <v>2264</v>
      </c>
      <c r="R19" s="9">
        <v>2372</v>
      </c>
      <c r="S19" s="9">
        <v>2483</v>
      </c>
      <c r="T19" s="9">
        <v>2596</v>
      </c>
      <c r="U19" s="9">
        <v>2711</v>
      </c>
      <c r="V19" s="9">
        <v>2828</v>
      </c>
      <c r="W19" s="9">
        <v>2948</v>
      </c>
      <c r="X19" s="9">
        <v>3070</v>
      </c>
    </row>
    <row r="20" spans="1:24" ht="15">
      <c r="A20" s="4" t="s">
        <v>76</v>
      </c>
      <c r="B20" s="9">
        <f>((((B6*0.00314)*0.18)*'Технический лист'!$O$9)+((((B6+100)/1000)*((B6+100)/1000))*3)*'Технический лист'!$I$7)*1.77</f>
        <v>682.14367008</v>
      </c>
      <c r="C20" s="9">
        <f>((((C6*0.00314)*0.18)*'Технический лист'!$O$9)+((((C6+100)/1000)*((C6+100)/1000))*3)*'Технический лист'!$I$7)*1.77</f>
        <v>751.4493482879998</v>
      </c>
      <c r="D20" s="9">
        <f>((((D6*0.00314)*0.18)*'Технический лист'!$O$9)+((((D6+100)/1000)*((D6+100)/1000))*3)*'Технический лист'!$I$7)*1.77</f>
        <v>786.9206707919999</v>
      </c>
      <c r="E20" s="9">
        <f>((((E6*0.00314)*0.18)*'Технический лист'!$O$9)+((((E6+100)/1000)*((E6+100)/1000))*3)*'Технический лист'!$I$7)*1.77</f>
        <v>822.9376488959998</v>
      </c>
      <c r="F20" s="9">
        <f>((((F6*0.00314)*0.18)*'Технический лист'!$O$9)+((((F6+100)/1000)*((F6+100)/1000))*3)*'Технический лист'!$I$7)*1.77</f>
        <v>859.5002826</v>
      </c>
      <c r="G20" s="9">
        <f>((((G6*0.00314)*0.18)*'Технический лист'!$O$9)+((((G6+100)/1000)*((G6+100)/1000))*3)*'Технический лист'!$I$7)*1.77</f>
        <v>896.608571904</v>
      </c>
      <c r="H20" s="9">
        <f>((((H6*0.00314)*0.18)*'Технический лист'!$O$9)+((((H6+100)/1000)*((H6+100)/1000))*3)*'Технический лист'!$I$7)*1.77</f>
        <v>972.4621173119999</v>
      </c>
      <c r="I20" s="9">
        <f>((((I6*0.00314)*0.18)*'Технический лист'!$O$9)+((((I6+100)/1000)*((I6+100)/1000))*3)*'Технический лист'!$I$7)*1.77</f>
        <v>1050.49828512</v>
      </c>
      <c r="J20" s="9">
        <f>((((J6*0.00314)*0.18)*'Технический лист'!$O$9)+((((J6+100)/1000)*((J6+100)/1000))*3)*'Технический лист'!$I$7)*1.77</f>
        <v>1130.717075328</v>
      </c>
      <c r="K20" s="9">
        <f>((((K6*0.00314)*0.18)*'Технический лист'!$O$9)+((((K6+100)/1000)*((K6+100)/1000))*3)*'Технический лист'!$I$7)*1.77</f>
        <v>1297.702522944</v>
      </c>
      <c r="L20" s="9">
        <f>((((L6*0.00314)*0.18)*'Технический лист'!$O$9)+((((L6+100)/1000)*((L6+100)/1000))*3)*'Технический лист'!$I$7)*1.77</f>
        <v>1473.41846016</v>
      </c>
      <c r="M20" s="9">
        <f>((((M6*0.00314)*0.18)*'Технический лист'!$O$9)+((((M6+100)/1000)*((M6+100)/1000))*3)*'Технический лист'!$I$7)*1.77</f>
        <v>1657.864886976</v>
      </c>
      <c r="N20" s="9">
        <f>((((N6*0.00314)*0.18)*'Технический лист'!$O$9)+((((N6+100)/1000)*((N6+100)/1000))*3)*'Технический лист'!$I$7)*1.77</f>
        <v>1950.9041951999998</v>
      </c>
      <c r="O20" s="9">
        <f>((((O6*0.00314)*0.18)*'Технический лист'!$O$9)+((((O6+100)/1000)*((O6+100)/1000))*3)*'Технический лист'!$I$7)*1.77</f>
        <v>2052.949209408</v>
      </c>
      <c r="P20" s="9">
        <f>((((P6*0.00314)*0.18)*'Технический лист'!$O$9)+((((P6+100)/1000)*((P6+100)/1000))*3)*'Технический лист'!$I$7)*1.77</f>
        <v>2157.1768460159997</v>
      </c>
      <c r="Q20" s="9">
        <f>((((Q6*0.00314)*0.18)*'Технический лист'!$O$9)+((((Q6+100)/1000)*((Q6+100)/1000))*3)*'Технический лист'!$I$7)*1.77</f>
        <v>2263.587105024</v>
      </c>
      <c r="R20" s="9">
        <f>((((R6*0.00314)*0.18)*'Технический лист'!$O$9)+((((R6+100)/1000)*((R6+100)/1000))*3)*'Технический лист'!$I$7)*1.77</f>
        <v>2372.179986432</v>
      </c>
      <c r="S20" s="9">
        <f>((((S6*0.00314)*0.18)*'Технический лист'!$O$9)+((((S6+100)/1000)*((S6+100)/1000))*3)*'Технический лист'!$I$7)*1.77</f>
        <v>2482.95549024</v>
      </c>
      <c r="T20" s="9">
        <f>((((T6*0.00314)*0.18)*'Технический лист'!$O$9)+((((T6+100)/1000)*((T6+100)/1000))*3)*'Технический лист'!$I$7)*1.77</f>
        <v>2595.913616448</v>
      </c>
      <c r="U20" s="9">
        <f>((((U6*0.00314)*0.18)*'Технический лист'!$O$9)+((((U6+100)/1000)*((U6+100)/1000))*3)*'Технический лист'!$I$7)*1.77</f>
        <v>2711.054365055999</v>
      </c>
      <c r="V20" s="9">
        <f>((((V6*0.00314)*0.18)*'Технический лист'!$O$9)+((((V6+100)/1000)*((V6+100)/1000))*3)*'Технический лист'!$I$7)*1.77</f>
        <v>2828.3777360639997</v>
      </c>
      <c r="W20" s="9">
        <f>((((W6*0.00314)*0.18)*'Технический лист'!$O$9)+((((W6+100)/1000)*((W6+100)/1000))*3)*'Технический лист'!$I$7)*1.77</f>
        <v>2947.8837294719997</v>
      </c>
      <c r="X20" s="9">
        <f>((((X6*0.00314)*0.18)*'Технический лист'!$O$9)+((((X6+100)/1000)*((X6+100)/1000))*3)*'Технический лист'!$I$7)*1.77</f>
        <v>3069.5723452799994</v>
      </c>
    </row>
    <row r="21" spans="1:24" ht="15">
      <c r="A21" s="4" t="s">
        <v>101</v>
      </c>
      <c r="B21" s="9">
        <v>980</v>
      </c>
      <c r="C21" s="9">
        <v>980</v>
      </c>
      <c r="D21" s="9">
        <v>980</v>
      </c>
      <c r="E21" s="9">
        <v>980</v>
      </c>
      <c r="F21" s="9">
        <v>980</v>
      </c>
      <c r="G21" s="9">
        <v>980</v>
      </c>
      <c r="H21" s="9">
        <v>980</v>
      </c>
      <c r="I21" s="9">
        <v>980</v>
      </c>
      <c r="J21" s="9">
        <v>980</v>
      </c>
      <c r="K21" s="9">
        <v>980</v>
      </c>
      <c r="L21" s="9">
        <v>980</v>
      </c>
      <c r="M21" s="9">
        <v>980</v>
      </c>
      <c r="N21" s="9">
        <v>980</v>
      </c>
      <c r="O21" s="9">
        <v>980</v>
      </c>
      <c r="P21" s="9">
        <v>980</v>
      </c>
      <c r="Q21" s="9">
        <v>980</v>
      </c>
      <c r="R21" s="9">
        <v>980</v>
      </c>
      <c r="S21" s="9">
        <v>980</v>
      </c>
      <c r="T21" s="9">
        <v>980</v>
      </c>
      <c r="U21" s="9">
        <v>980</v>
      </c>
      <c r="V21" s="9">
        <v>980</v>
      </c>
      <c r="W21" s="9">
        <v>980</v>
      </c>
      <c r="X21" s="9">
        <v>980</v>
      </c>
    </row>
    <row r="23" spans="1:28" ht="15">
      <c r="A23" s="41" t="s">
        <v>85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1" t="s">
        <v>85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4" ht="15">
      <c r="A24" s="3" t="s">
        <v>79</v>
      </c>
      <c r="B24" s="10">
        <v>100</v>
      </c>
      <c r="C24" s="10">
        <v>110</v>
      </c>
      <c r="D24" s="10">
        <v>115</v>
      </c>
      <c r="E24" s="10">
        <v>120</v>
      </c>
      <c r="F24" s="10">
        <v>125</v>
      </c>
      <c r="G24" s="10">
        <v>130</v>
      </c>
      <c r="H24" s="10">
        <v>140</v>
      </c>
      <c r="I24" s="10">
        <v>150</v>
      </c>
      <c r="J24" s="10">
        <v>160</v>
      </c>
      <c r="K24" s="10">
        <v>180</v>
      </c>
      <c r="L24" s="10">
        <v>200</v>
      </c>
      <c r="M24" s="10">
        <v>220</v>
      </c>
      <c r="N24" s="10">
        <v>250</v>
      </c>
      <c r="O24" s="10">
        <v>260</v>
      </c>
      <c r="P24" s="10">
        <v>270</v>
      </c>
      <c r="Q24" s="10">
        <v>280</v>
      </c>
      <c r="R24" s="10">
        <v>290</v>
      </c>
      <c r="S24" s="10">
        <v>300</v>
      </c>
      <c r="T24" s="10">
        <v>310</v>
      </c>
      <c r="U24" s="10">
        <v>320</v>
      </c>
      <c r="V24" s="10">
        <v>330</v>
      </c>
      <c r="W24" s="10">
        <v>340</v>
      </c>
      <c r="X24" s="10">
        <v>350</v>
      </c>
    </row>
    <row r="25" spans="1:24" ht="15" hidden="1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4" t="s">
        <v>69</v>
      </c>
      <c r="B26" s="16">
        <f>((B24*0.00314)*'Технический лист'!$G$10)*1.53</f>
        <v>1099.0387402597403</v>
      </c>
      <c r="C26" s="16">
        <f>((C24*0.00314)*'Технический лист'!$G$10)*1.53</f>
        <v>1208.9426142857142</v>
      </c>
      <c r="D26" s="16">
        <f>((D24*0.00314)*'Технический лист'!$G$10)*1.53</f>
        <v>1263.8945512987011</v>
      </c>
      <c r="E26" s="16">
        <f>((E24*0.00314)*'Технический лист'!$G$10)*1.53</f>
        <v>1318.8464883116883</v>
      </c>
      <c r="F26" s="16">
        <f>((F24*0.00314)*'Технический лист'!$G$10)*1.53</f>
        <v>1373.7984253246755</v>
      </c>
      <c r="G26" s="16">
        <f>((G24*0.00314)*'Технический лист'!$G$10)*1.53</f>
        <v>1428.7503623376622</v>
      </c>
      <c r="H26" s="16">
        <f>((H24*0.00314)*'Технический лист'!$G$10)*1.53</f>
        <v>1538.654236363636</v>
      </c>
      <c r="I26" s="16">
        <f>((I24*0.00314)*'Технический лист'!$G$10)*1.53</f>
        <v>1648.5581103896102</v>
      </c>
      <c r="J26" s="16">
        <f>((J24*0.00314)*'Технический лист'!$G$10)*1.53</f>
        <v>1758.461984415584</v>
      </c>
      <c r="K26" s="16">
        <f>((K24*0.00314)*'Технический лист'!$G$10)*1.53</f>
        <v>1978.2697324675323</v>
      </c>
      <c r="L26" s="16">
        <f>((L24*0.00314)*'Технический лист'!$G$10)*1.53</f>
        <v>2198.0774805194806</v>
      </c>
      <c r="M26" s="16">
        <f>((M24*0.00314)*'Технический лист'!$G$10)*1.53</f>
        <v>2417.8852285714283</v>
      </c>
      <c r="N26" s="16">
        <f>((N24*0.00314)*'Технический лист'!$G$10)*1.53</f>
        <v>2747.596850649351</v>
      </c>
      <c r="O26" s="16">
        <f>((O24*0.00314)*'Технический лист'!$G$10)*1.53</f>
        <v>2857.5007246753244</v>
      </c>
      <c r="P26" s="16">
        <f>((P24*0.00314)*'Технический лист'!$G$10)*1.53</f>
        <v>2967.4045987012987</v>
      </c>
      <c r="Q26" s="16">
        <f>((Q24*0.00314)*'Технический лист'!$G$10)*1.53</f>
        <v>3077.308472727272</v>
      </c>
      <c r="R26" s="16">
        <f>((R24*0.00314)*'Технический лист'!$G$10)*1.53</f>
        <v>3187.2123467532465</v>
      </c>
      <c r="S26" s="16">
        <f>((S24*0.00314)*'Технический лист'!$G$10)*1.53</f>
        <v>3297.1162207792204</v>
      </c>
      <c r="T26" s="16">
        <f>((T24*0.00314)*'Технический лист'!$G$10)*1.53</f>
        <v>3407.0200948051947</v>
      </c>
      <c r="U26" s="16">
        <f>((U24*0.00314)*'Технический лист'!$G$10)*1.53</f>
        <v>3516.923968831168</v>
      </c>
      <c r="V26" s="16">
        <f>((V24*0.00314)*'Технический лист'!$G$10)*1.53</f>
        <v>3626.827842857143</v>
      </c>
      <c r="W26" s="16">
        <f>((W24*0.00314)*'Технический лист'!$G$10)*1.53</f>
        <v>3736.731716883117</v>
      </c>
      <c r="X26" s="16">
        <f>((X24*0.00314)*'Технический лист'!$G$10)*1.53</f>
        <v>3846.6355909090903</v>
      </c>
    </row>
    <row r="27" spans="1:24" ht="15">
      <c r="A27" s="4" t="s">
        <v>70</v>
      </c>
      <c r="B27" s="9">
        <f>((B26/2)*1.07)-10</f>
        <v>577.985726038961</v>
      </c>
      <c r="C27" s="9">
        <f aca="true" t="shared" si="6" ref="C27:N27">((C26/2)*1.07)-10</f>
        <v>636.7842986428572</v>
      </c>
      <c r="D27" s="9">
        <f t="shared" si="6"/>
        <v>666.1835849448051</v>
      </c>
      <c r="E27" s="9">
        <f t="shared" si="6"/>
        <v>695.5828712467533</v>
      </c>
      <c r="F27" s="9">
        <f t="shared" si="6"/>
        <v>724.9821575487014</v>
      </c>
      <c r="G27" s="9">
        <f t="shared" si="6"/>
        <v>754.3814438506494</v>
      </c>
      <c r="H27" s="9">
        <f t="shared" si="6"/>
        <v>813.1800164545454</v>
      </c>
      <c r="I27" s="9">
        <f t="shared" si="6"/>
        <v>871.9785890584415</v>
      </c>
      <c r="J27" s="9">
        <f t="shared" si="6"/>
        <v>930.7771616623376</v>
      </c>
      <c r="K27" s="9">
        <f t="shared" si="6"/>
        <v>1048.3743068701299</v>
      </c>
      <c r="L27" s="9">
        <f t="shared" si="6"/>
        <v>1165.971452077922</v>
      </c>
      <c r="M27" s="9">
        <f t="shared" si="6"/>
        <v>1283.5685972857143</v>
      </c>
      <c r="N27" s="9">
        <f t="shared" si="6"/>
        <v>1459.9643150974027</v>
      </c>
      <c r="O27" s="9">
        <f aca="true" t="shared" si="7" ref="O27:X27">((O26/2)*1.07)-10</f>
        <v>1518.7628877012987</v>
      </c>
      <c r="P27" s="9">
        <f t="shared" si="7"/>
        <v>1577.561460305195</v>
      </c>
      <c r="Q27" s="9">
        <f t="shared" si="7"/>
        <v>1636.3600329090907</v>
      </c>
      <c r="R27" s="9">
        <f t="shared" si="7"/>
        <v>1695.158605512987</v>
      </c>
      <c r="S27" s="9">
        <f t="shared" si="7"/>
        <v>1753.957178116883</v>
      </c>
      <c r="T27" s="9">
        <f t="shared" si="7"/>
        <v>1812.7557507207794</v>
      </c>
      <c r="U27" s="9">
        <f t="shared" si="7"/>
        <v>1871.5543233246751</v>
      </c>
      <c r="V27" s="9">
        <f t="shared" si="7"/>
        <v>1930.3528959285716</v>
      </c>
      <c r="W27" s="9">
        <f t="shared" si="7"/>
        <v>1989.1514685324676</v>
      </c>
      <c r="X27" s="9">
        <f t="shared" si="7"/>
        <v>2047.9500411363633</v>
      </c>
    </row>
    <row r="28" spans="1:24" ht="15">
      <c r="A28" s="4" t="s">
        <v>71</v>
      </c>
      <c r="B28" s="16">
        <f>(((B24*0.00314)*0.55)*'Технический лист'!$I$10)*1.59</f>
        <v>867.0719742857143</v>
      </c>
      <c r="C28" s="16">
        <f>(((C24*0.00314)*0.55)*'Технический лист'!$I$10)*1.59</f>
        <v>953.7791717142858</v>
      </c>
      <c r="D28" s="16">
        <f>(((D24*0.00314)*0.55)*'Технический лист'!$I$10)*1.59</f>
        <v>997.1327704285715</v>
      </c>
      <c r="E28" s="16">
        <f>(((E24*0.00314)*0.55)*'Технический лист'!$I$10)*1.59</f>
        <v>1040.4863691428575</v>
      </c>
      <c r="F28" s="16">
        <f>(((F24*0.00314)*0.55)*'Технический лист'!$I$10)*1.59</f>
        <v>1083.8399678571432</v>
      </c>
      <c r="G28" s="16">
        <f>(((G24*0.00314)*0.55)*'Технический лист'!$I$10)*1.59</f>
        <v>1127.1935665714286</v>
      </c>
      <c r="H28" s="16">
        <f>(((H24*0.00314)*0.55)*'Технический лист'!$I$10)*1.59</f>
        <v>1213.9007640000002</v>
      </c>
      <c r="I28" s="16">
        <f>(((I24*0.00314)*0.55)*'Технический лист'!$I$10)*1.59</f>
        <v>1300.6079614285713</v>
      </c>
      <c r="J28" s="16">
        <f>(((J24*0.00314)*0.55)*'Технический лист'!$I$10)*1.59</f>
        <v>1387.3151588571427</v>
      </c>
      <c r="K28" s="16">
        <f>(((K24*0.00314)*0.55)*'Технический лист'!$I$10)*1.59</f>
        <v>1560.7295537142859</v>
      </c>
      <c r="L28" s="16">
        <f>(((L24*0.00314)*0.55)*'Технический лист'!$I$10)*1.59</f>
        <v>1734.1439485714286</v>
      </c>
      <c r="M28" s="16">
        <f>(((M24*0.00314)*0.55)*'Технический лист'!$I$10)*1.59</f>
        <v>1907.5583434285716</v>
      </c>
      <c r="N28" s="16">
        <f>(((N24*0.00314)*0.55)*'Технический лист'!$I$10)*1.59</f>
        <v>2167.6799357142863</v>
      </c>
      <c r="O28" s="16">
        <f>(((O24*0.00314)*0.55)*'Технический лист'!$I$10)*1.59</f>
        <v>2254.3871331428572</v>
      </c>
      <c r="P28" s="16">
        <f>(((P24*0.00314)*0.55)*'Технический лист'!$I$10)*1.59</f>
        <v>2341.0943305714286</v>
      </c>
      <c r="Q28" s="16">
        <f>(((Q24*0.00314)*0.55)*'Технический лист'!$I$10)*1.59</f>
        <v>2427.8015280000004</v>
      </c>
      <c r="R28" s="16">
        <f>(((R24*0.00314)*0.55)*'Технический лист'!$I$10)*1.59</f>
        <v>2514.5087254285713</v>
      </c>
      <c r="S28" s="16">
        <f>(((S24*0.00314)*0.55)*'Технический лист'!$I$10)*1.59</f>
        <v>2601.2159228571427</v>
      </c>
      <c r="T28" s="16">
        <f>(((T24*0.00314)*0.55)*'Технический лист'!$I$10)*1.59</f>
        <v>2687.923120285714</v>
      </c>
      <c r="U28" s="16">
        <f>(((U24*0.00314)*0.55)*'Технический лист'!$I$10)*1.59</f>
        <v>2774.6303177142854</v>
      </c>
      <c r="V28" s="16">
        <f>(((V24*0.00314)*0.55)*'Технический лист'!$I$10)*1.59</f>
        <v>2861.3375151428572</v>
      </c>
      <c r="W28" s="16">
        <f>(((W24*0.00314)*0.55)*'Технический лист'!$I$10)*1.59</f>
        <v>2948.044712571429</v>
      </c>
      <c r="X28" s="16">
        <f>(((X24*0.00314)*0.55)*'Технический лист'!$I$10)*1.59</f>
        <v>3034.7519100000004</v>
      </c>
    </row>
    <row r="29" spans="1:24" ht="15">
      <c r="A29" s="4" t="s">
        <v>72</v>
      </c>
      <c r="B29" s="9">
        <f>((B28*2)/3)-6</f>
        <v>572.0479828571429</v>
      </c>
      <c r="C29" s="9">
        <f aca="true" t="shared" si="8" ref="C29:N29">((C28*2)/3)-6</f>
        <v>629.8527811428572</v>
      </c>
      <c r="D29" s="9">
        <f t="shared" si="8"/>
        <v>658.7551802857143</v>
      </c>
      <c r="E29" s="9">
        <f t="shared" si="8"/>
        <v>687.6575794285717</v>
      </c>
      <c r="F29" s="9">
        <f t="shared" si="8"/>
        <v>716.5599785714288</v>
      </c>
      <c r="G29" s="9">
        <f t="shared" si="8"/>
        <v>745.4623777142857</v>
      </c>
      <c r="H29" s="9">
        <f t="shared" si="8"/>
        <v>803.2671760000002</v>
      </c>
      <c r="I29" s="9">
        <f t="shared" si="8"/>
        <v>861.0719742857142</v>
      </c>
      <c r="J29" s="9">
        <f t="shared" si="8"/>
        <v>918.8767725714284</v>
      </c>
      <c r="K29" s="9">
        <f t="shared" si="8"/>
        <v>1034.4863691428573</v>
      </c>
      <c r="L29" s="9">
        <f t="shared" si="8"/>
        <v>1150.0959657142857</v>
      </c>
      <c r="M29" s="9">
        <f t="shared" si="8"/>
        <v>1265.7055622857144</v>
      </c>
      <c r="N29" s="9">
        <f t="shared" si="8"/>
        <v>1439.1199571428576</v>
      </c>
      <c r="O29" s="9">
        <f aca="true" t="shared" si="9" ref="O29:X29">((O28*2)/3)-6</f>
        <v>1496.9247554285714</v>
      </c>
      <c r="P29" s="9">
        <f t="shared" si="9"/>
        <v>1554.7295537142857</v>
      </c>
      <c r="Q29" s="9">
        <f t="shared" si="9"/>
        <v>1612.5343520000004</v>
      </c>
      <c r="R29" s="9">
        <f t="shared" si="9"/>
        <v>1670.3391502857141</v>
      </c>
      <c r="S29" s="9">
        <f t="shared" si="9"/>
        <v>1728.1439485714284</v>
      </c>
      <c r="T29" s="9">
        <f t="shared" si="9"/>
        <v>1785.9487468571426</v>
      </c>
      <c r="U29" s="9">
        <f t="shared" si="9"/>
        <v>1843.7535451428569</v>
      </c>
      <c r="V29" s="9">
        <f t="shared" si="9"/>
        <v>1901.5583434285716</v>
      </c>
      <c r="W29" s="9">
        <f t="shared" si="9"/>
        <v>1959.363141714286</v>
      </c>
      <c r="X29" s="9">
        <f t="shared" si="9"/>
        <v>2017.1679400000003</v>
      </c>
    </row>
    <row r="30" spans="1:24" ht="15">
      <c r="A30" s="4" t="s">
        <v>73</v>
      </c>
      <c r="B30" s="17">
        <f>(((((B24+30)*(B24+30))/1000000)*'Технический лист'!$M$10)+(B24*0.000942)*'Технический лист'!$E$20)*1.59</f>
        <v>691.4854246753248</v>
      </c>
      <c r="C30" s="17">
        <f>(((((C24+30)*(C24+30))/1000000)*'Технический лист'!$M$10)+(C24*0.000942)*'Технический лист'!$E$20)*1.59</f>
        <v>766.1545090909092</v>
      </c>
      <c r="D30" s="17">
        <f>(((((D24+30)*(D24+30))/1000000)*'Технический лист'!$M$10)+(D24*0.000942)*'Технический лист'!$E$20)*1.59</f>
        <v>803.8989925324676</v>
      </c>
      <c r="E30" s="17">
        <f>(((((E24+30)*(E24+30))/1000000)*'Технический лист'!$M$10)+(E24*0.000942)*'Технический лист'!$E$20)*1.59</f>
        <v>841.9167701298701</v>
      </c>
      <c r="F30" s="17">
        <f>(((((F24+30)*(F24+30))/1000000)*'Технический лист'!$M$10)+(F24*0.000942)*'Технический лист'!$E$20)*1.59</f>
        <v>880.207841883117</v>
      </c>
      <c r="G30" s="17">
        <f>(((((G24+30)*(G24+30))/1000000)*'Технический лист'!$M$10)+(G24*0.000942)*'Технический лист'!$E$20)*1.59</f>
        <v>918.7722077922077</v>
      </c>
      <c r="H30" s="17">
        <f>(((((H24+30)*(H24+30))/1000000)*'Технический лист'!$M$10)+(H24*0.000942)*'Технический лист'!$E$20)*1.59</f>
        <v>996.7208220779221</v>
      </c>
      <c r="I30" s="17">
        <f>(((((I24+30)*(I24+30))/1000000)*'Технический лист'!$M$10)+(I24*0.000942)*'Технический лист'!$E$20)*1.59</f>
        <v>1075.762612987013</v>
      </c>
      <c r="J30" s="17">
        <f>(((((J24+30)*(J24+30))/1000000)*'Технический лист'!$M$10)+(J24*0.000942)*'Технический лист'!$E$20)*1.59</f>
        <v>1155.8975805194805</v>
      </c>
      <c r="K30" s="17">
        <f>(((((K24+30)*(K24+30))/1000000)*'Технический лист'!$M$10)+(K24*0.000942)*'Технический лист'!$E$20)*1.59</f>
        <v>1319.4470454545456</v>
      </c>
      <c r="L30" s="17">
        <f>(((((L24+30)*(L24+30))/1000000)*'Технический лист'!$M$10)+(L24*0.000942)*'Технический лист'!$E$20)*1.59</f>
        <v>1487.369216883117</v>
      </c>
      <c r="M30" s="17">
        <f>(((((M24+30)*(M24+30))/1000000)*'Технический лист'!$M$10)+(M24*0.000942)*'Технический лист'!$E$20)*1.59</f>
        <v>1659.6640948051952</v>
      </c>
      <c r="N30" s="17">
        <f>(((((N24+30)*(N24+30))/1000000)*'Технический лист'!$M$10)+(N24*0.000942)*'Технический лист'!$E$20)*1.59</f>
        <v>1926.3052363636364</v>
      </c>
      <c r="O30" s="17">
        <f>(((((O24+30)*(O24+30))/1000000)*'Технический лист'!$M$10)+(O24*0.000942)*'Технический лист'!$E$20)*1.59</f>
        <v>2017.37197012987</v>
      </c>
      <c r="P30" s="17">
        <f>(((((P24+30)*(P24+30))/1000000)*'Технический лист'!$M$10)+(P24*0.000942)*'Технический лист'!$E$20)*1.59</f>
        <v>2109.5318805194806</v>
      </c>
      <c r="Q30" s="17">
        <f>(((((Q24+30)*(Q24+30))/1000000)*'Технический лист'!$M$10)+(Q24*0.000942)*'Технический лист'!$E$20)*1.59</f>
        <v>2202.784967532468</v>
      </c>
      <c r="R30" s="17">
        <f>(((((R24+30)*(R24+30))/1000000)*'Технический лист'!$M$10)+(R24*0.000942)*'Технический лист'!$E$20)*1.59</f>
        <v>2297.1312311688307</v>
      </c>
      <c r="S30" s="17">
        <f>(((((S24+30)*(S24+30))/1000000)*'Технический лист'!$M$10)+(S24*0.000942)*'Технический лист'!$E$20)*1.59</f>
        <v>2392.5706714285716</v>
      </c>
      <c r="T30" s="17">
        <f>(((((T24+30)*(T24+30))/1000000)*'Технический лист'!$M$10)+(T24*0.000942)*'Технический лист'!$E$20)*1.59</f>
        <v>2489.103288311688</v>
      </c>
      <c r="U30" s="17">
        <f>(((((U24+30)*(U24+30))/1000000)*'Технический лист'!$M$10)+(U24*0.000942)*'Технический лист'!$E$20)*1.59</f>
        <v>2586.729081818182</v>
      </c>
      <c r="V30" s="17">
        <f>(((((V24+30)*(V24+30))/1000000)*'Технический лист'!$M$10)+(V24*0.000942)*'Технический лист'!$E$20)*1.59</f>
        <v>2685.448051948052</v>
      </c>
      <c r="W30" s="17">
        <f>(((((W24+30)*(W24+30))/1000000)*'Технический лист'!$M$10)+(W24*0.000942)*'Технический лист'!$E$20)*1.59</f>
        <v>2785.2601987012986</v>
      </c>
      <c r="X30" s="17">
        <f>(((((X24+30)*(X24+30))/1000000)*'Технический лист'!$M$10)+(X24*0.000942)*'Технический лист'!$E$20)*1.59</f>
        <v>2886.165522077922</v>
      </c>
    </row>
    <row r="31" spans="1:24" ht="15">
      <c r="A31" s="4" t="s">
        <v>74</v>
      </c>
      <c r="B31" s="9">
        <f>(((B24*0.00314)*0.35)*'Технический лист'!$O$8)+B30</f>
        <v>1016.6181519480521</v>
      </c>
      <c r="C31" s="9">
        <f>(((C24*0.00314)*0.35)*'Технический лист'!$O$8)+C30</f>
        <v>1123.8005090909091</v>
      </c>
      <c r="D31" s="9">
        <f>(((D24*0.00314)*0.35)*'Технический лист'!$O$8)+D30</f>
        <v>1177.801628896104</v>
      </c>
      <c r="E31" s="9">
        <f>(((E24*0.00314)*0.35)*'Технический лист'!$O$8)+E30</f>
        <v>1232.0760428571427</v>
      </c>
      <c r="F31" s="9">
        <f>(((F24*0.00314)*0.35)*'Технический лист'!$O$8)+F30</f>
        <v>1286.623750974026</v>
      </c>
      <c r="G31" s="9">
        <f>(((G24*0.00314)*0.35)*'Технический лист'!$O$8)+G30</f>
        <v>1341.4447532467532</v>
      </c>
      <c r="H31" s="9">
        <f>(((H24*0.00314)*0.35)*'Технический лист'!$O$8)+H30</f>
        <v>1451.9066402597402</v>
      </c>
      <c r="I31" s="9">
        <f>(((I24*0.00314)*0.35)*'Технический лист'!$O$8)+I30</f>
        <v>1563.4617038961037</v>
      </c>
      <c r="J31" s="9">
        <f>(((J24*0.00314)*0.35)*'Технический лист'!$O$8)+J30</f>
        <v>1676.109944155844</v>
      </c>
      <c r="K31" s="9">
        <f>(((K24*0.00314)*0.35)*'Технический лист'!$O$8)+K30</f>
        <v>1904.6859545454545</v>
      </c>
      <c r="L31" s="9">
        <f>(((L24*0.00314)*0.35)*'Технический лист'!$O$8)+L30</f>
        <v>2137.6346714285714</v>
      </c>
      <c r="M31" s="9">
        <f>(((M24*0.00314)*0.35)*'Технический лист'!$O$8)+M30</f>
        <v>2374.956094805195</v>
      </c>
      <c r="N31" s="9">
        <f>(((N24*0.00314)*0.35)*'Технический лист'!$O$8)+N30</f>
        <v>2739.1370545454547</v>
      </c>
      <c r="O31" s="9">
        <f>(((O24*0.00314)*0.35)*'Технический лист'!$O$8)+O30</f>
        <v>2862.7170610389608</v>
      </c>
      <c r="P31" s="9">
        <f>(((P24*0.00314)*0.35)*'Технический лист'!$O$8)+P30</f>
        <v>2987.3902441558444</v>
      </c>
      <c r="Q31" s="9">
        <f>(((Q24*0.00314)*0.35)*'Технический лист'!$O$8)+Q30</f>
        <v>3113.156603896104</v>
      </c>
      <c r="R31" s="9">
        <f>(((R24*0.00314)*0.35)*'Технический лист'!$O$8)+R30</f>
        <v>3240.0161402597396</v>
      </c>
      <c r="S31" s="9">
        <f>(((S24*0.00314)*0.35)*'Технический лист'!$O$8)+S30</f>
        <v>3367.968853246753</v>
      </c>
      <c r="T31" s="9">
        <f>(((T24*0.00314)*0.35)*'Технический лист'!$O$8)+T30</f>
        <v>3497.0147428571427</v>
      </c>
      <c r="U31" s="9">
        <f>(((U24*0.00314)*0.35)*'Технический лист'!$O$8)+U30</f>
        <v>3627.153809090909</v>
      </c>
      <c r="V31" s="9">
        <f>(((V24*0.00314)*0.35)*'Технический лист'!$O$8)+V30</f>
        <v>3758.386051948052</v>
      </c>
      <c r="W31" s="9">
        <f>(((W24*0.00314)*0.35)*'Технический лист'!$O$8)+W30</f>
        <v>3890.7114714285713</v>
      </c>
      <c r="X31" s="9">
        <f>(((X24*0.00314)*0.35)*'Технический лист'!$O$8)+X30</f>
        <v>4024.1300675324674</v>
      </c>
    </row>
    <row r="32" spans="1:24" ht="15" hidden="1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>
      <c r="A33" s="4" t="s">
        <v>99</v>
      </c>
      <c r="B33" s="16">
        <v>1504</v>
      </c>
      <c r="C33" s="16">
        <v>1690</v>
      </c>
      <c r="D33" s="16">
        <v>1780</v>
      </c>
      <c r="E33" s="16">
        <v>1878</v>
      </c>
      <c r="F33" s="16">
        <v>1974</v>
      </c>
      <c r="G33" s="16">
        <v>2073</v>
      </c>
      <c r="H33" s="16">
        <v>2271</v>
      </c>
      <c r="I33" s="16">
        <v>2475</v>
      </c>
      <c r="J33" s="16">
        <v>2686</v>
      </c>
      <c r="K33" s="16">
        <v>3123</v>
      </c>
      <c r="L33" s="16">
        <v>3577</v>
      </c>
      <c r="M33" s="16">
        <v>4053</v>
      </c>
      <c r="N33" s="16">
        <v>4812</v>
      </c>
      <c r="O33" s="16">
        <v>5071</v>
      </c>
      <c r="P33" s="16">
        <v>5338</v>
      </c>
      <c r="Q33" s="16">
        <v>5610</v>
      </c>
      <c r="R33" s="16">
        <v>5887</v>
      </c>
      <c r="S33" s="16">
        <v>6169</v>
      </c>
      <c r="T33" s="16">
        <v>6457</v>
      </c>
      <c r="U33" s="16">
        <v>6753</v>
      </c>
      <c r="V33" s="16">
        <v>7051</v>
      </c>
      <c r="W33" s="16">
        <v>7354</v>
      </c>
      <c r="X33" s="16">
        <v>7660</v>
      </c>
    </row>
    <row r="34" spans="1:24" ht="15">
      <c r="A34" s="4" t="s">
        <v>103</v>
      </c>
      <c r="B34" s="16">
        <v>1504</v>
      </c>
      <c r="C34" s="16">
        <v>1690</v>
      </c>
      <c r="D34" s="16">
        <v>1780</v>
      </c>
      <c r="E34" s="16">
        <v>1878</v>
      </c>
      <c r="F34" s="16">
        <v>1974</v>
      </c>
      <c r="G34" s="16">
        <v>2073</v>
      </c>
      <c r="H34" s="16">
        <v>2271</v>
      </c>
      <c r="I34" s="16">
        <v>2475</v>
      </c>
      <c r="J34" s="16">
        <v>2686</v>
      </c>
      <c r="K34" s="16">
        <v>3123</v>
      </c>
      <c r="L34" s="16">
        <v>3577</v>
      </c>
      <c r="M34" s="16">
        <v>4053</v>
      </c>
      <c r="N34" s="16">
        <v>4812</v>
      </c>
      <c r="O34" s="16">
        <v>5071</v>
      </c>
      <c r="P34" s="16">
        <v>5338</v>
      </c>
      <c r="Q34" s="16">
        <v>5610</v>
      </c>
      <c r="R34" s="16">
        <v>5887</v>
      </c>
      <c r="S34" s="16">
        <v>6169</v>
      </c>
      <c r="T34" s="16">
        <v>6457</v>
      </c>
      <c r="U34" s="16">
        <v>6753</v>
      </c>
      <c r="V34" s="16">
        <v>7051</v>
      </c>
      <c r="W34" s="16">
        <v>7354</v>
      </c>
      <c r="X34" s="16">
        <v>7660</v>
      </c>
    </row>
    <row r="35" spans="1:24" ht="15">
      <c r="A35" s="4" t="s">
        <v>75</v>
      </c>
      <c r="B35" s="9">
        <f>(((B24*0.00314)*((B24+500)/1000)*'Технический лист'!$K$10))*1.78</f>
        <v>1075.6959802597403</v>
      </c>
      <c r="C35" s="9">
        <f>(((C24*0.00314)*((C24+500)/1000)*'Технический лист'!$K$10))*1.78</f>
        <v>1202.986671257143</v>
      </c>
      <c r="D35" s="9">
        <f>(((D24*0.00314)*((D24+500)/1000)*'Технический лист'!$K$10))*1.78</f>
        <v>1267.9766367311686</v>
      </c>
      <c r="E35" s="9">
        <f>(((E24*0.00314)*((E24+500)/1000)*'Технический лист'!$K$10))*1.78</f>
        <v>1333.8630155220778</v>
      </c>
      <c r="F35" s="9">
        <f>(((F24*0.00314)*((F24+500)/1000)*'Технический лист'!$K$10))*1.78</f>
        <v>1400.6458076298702</v>
      </c>
      <c r="G35" s="9">
        <f>(((G24*0.00314)*((G24+500)/1000)*'Технический лист'!$K$10))*1.78</f>
        <v>1468.3250130545455</v>
      </c>
      <c r="H35" s="9">
        <f>(((H24*0.00314)*((H24+500)/1000)*'Технический лист'!$K$10))*1.78</f>
        <v>1606.3726638545454</v>
      </c>
      <c r="I35" s="9">
        <f>(((I24*0.00314)*((I24+500)/1000)*'Технический лист'!$K$10))*1.78</f>
        <v>1748.0059679220776</v>
      </c>
      <c r="J35" s="9">
        <f>(((J24*0.00314)*((J24+500)/1000)*'Технический лист'!$K$10))*1.78</f>
        <v>1893.2249252571428</v>
      </c>
      <c r="K35" s="9">
        <f>(((K24*0.00314)*((K24+500)/1000)*'Технический лист'!$K$10))*1.78</f>
        <v>2194.4197997298706</v>
      </c>
      <c r="L35" s="9">
        <f>(((L24*0.00314)*((L24+500)/1000)*'Технический лист'!$K$10))*1.78</f>
        <v>2509.957287272727</v>
      </c>
      <c r="M35" s="9">
        <f>(((M24*0.00314)*((M24+500)/1000)*'Технический лист'!$K$10))*1.78</f>
        <v>2839.8373878857137</v>
      </c>
      <c r="N35" s="9">
        <f>(((N24*0.00314)*((N24+500)/1000)*'Технический лист'!$K$10))*1.78</f>
        <v>3361.549938311688</v>
      </c>
      <c r="O35" s="9">
        <f>(((O24*0.00314)*((O24+500)/1000)*'Технический лист'!$K$10))*1.78</f>
        <v>3542.625428322078</v>
      </c>
      <c r="P35" s="9">
        <f>(((P24*0.00314)*((P24+500)/1000)*'Технический лист'!$K$10))*1.78</f>
        <v>3727.2865715999997</v>
      </c>
      <c r="Q35" s="9">
        <f>(((Q24*0.00314)*((Q24+500)/1000)*'Технический лист'!$K$10))*1.78</f>
        <v>3915.533368145455</v>
      </c>
      <c r="R35" s="9">
        <f>(((R24*0.00314)*((R24+500)/1000)*'Технический лист'!$K$10))*1.78</f>
        <v>4107.365817958441</v>
      </c>
      <c r="S35" s="9">
        <f>(((S24*0.00314)*((S24+500)/1000)*'Технический лист'!$K$10))*1.78</f>
        <v>4302.783921038961</v>
      </c>
      <c r="T35" s="9">
        <f>(((T24*0.00314)*((T24+500)/1000)*'Технический лист'!$K$10))*1.78</f>
        <v>4501.787677387013</v>
      </c>
      <c r="U35" s="9">
        <f>(((U24*0.00314)*((U24+500)/1000)*'Технический лист'!$K$10))*1.78</f>
        <v>4704.377087002596</v>
      </c>
      <c r="V35" s="9">
        <f>(((V24*0.00314)*((V24+500)/1000)*'Технический лист'!$K$10))*1.78</f>
        <v>4910.552149885714</v>
      </c>
      <c r="W35" s="9">
        <f>(((W24*0.00314)*((W24+500)/1000)*'Технический лист'!$K$10))*1.78</f>
        <v>5120.312866036363</v>
      </c>
      <c r="X35" s="9">
        <f>(((X24*0.00314)*((X24+500)/1000)*'Технический лист'!$K$10))*1.78</f>
        <v>5333.659235454545</v>
      </c>
    </row>
    <row r="36" spans="1:24" ht="15" hidden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4" t="s">
        <v>105</v>
      </c>
      <c r="B37" s="9">
        <v>885</v>
      </c>
      <c r="C37" s="9">
        <v>975</v>
      </c>
      <c r="D37" s="9">
        <v>1021</v>
      </c>
      <c r="E37" s="9">
        <v>1068</v>
      </c>
      <c r="F37" s="9">
        <v>1116</v>
      </c>
      <c r="G37" s="9">
        <v>1165</v>
      </c>
      <c r="H37" s="9">
        <v>1264</v>
      </c>
      <c r="I37" s="9">
        <v>1366</v>
      </c>
      <c r="J37" s="9">
        <v>1472</v>
      </c>
      <c r="K37" s="9">
        <v>1693</v>
      </c>
      <c r="L37" s="9">
        <v>1926</v>
      </c>
      <c r="M37" s="9">
        <v>2171</v>
      </c>
      <c r="N37" s="9">
        <v>2563</v>
      </c>
      <c r="O37" s="9">
        <v>2699</v>
      </c>
      <c r="P37" s="9">
        <v>2839</v>
      </c>
      <c r="Q37" s="9">
        <v>2982</v>
      </c>
      <c r="R37" s="9">
        <v>3128</v>
      </c>
      <c r="S37" s="9">
        <v>3277</v>
      </c>
      <c r="T37" s="9">
        <v>3430</v>
      </c>
      <c r="U37" s="9">
        <v>3585</v>
      </c>
      <c r="V37" s="9">
        <v>3743</v>
      </c>
      <c r="W37" s="9">
        <v>3905</v>
      </c>
      <c r="X37" s="9">
        <v>4070</v>
      </c>
    </row>
    <row r="38" spans="1:24" ht="15">
      <c r="A38" s="4" t="s">
        <v>76</v>
      </c>
      <c r="B38" s="9">
        <f>((((B24*0.00314)*0.16)*'Технический лист'!$O$8)+((((B24+100)/1000)*((B24+100)/1000))*3)*'Технический лист'!$I$8)*1.77</f>
        <v>885.079810909091</v>
      </c>
      <c r="C38" s="9">
        <f>((((C24*0.00314)*0.16)*'Технический лист'!$O$8)+((((C24+100)/1000)*((C24+100)/1000))*3)*'Технический лист'!$I$8)*1.77</f>
        <v>975.1427944675323</v>
      </c>
      <c r="D38" s="9">
        <f>((((D24*0.00314)*0.16)*'Технический лист'!$O$8)+((((D24+100)/1000)*((D24+100)/1000))*3)*'Технический лист'!$I$8)*1.77</f>
        <v>1021.3405380974024</v>
      </c>
      <c r="E38" s="9">
        <f>((((E24*0.00314)*0.16)*'Технический лист'!$O$8)+((((E24+100)/1000)*((E24+100)/1000))*3)*'Технический лист'!$I$8)*1.77</f>
        <v>1068.315782961039</v>
      </c>
      <c r="F38" s="9">
        <f>((((F24*0.00314)*0.16)*'Технический лист'!$O$8)+((((F24+100)/1000)*((F24+100)/1000))*3)*'Технический лист'!$I$8)*1.77</f>
        <v>1116.0685290584415</v>
      </c>
      <c r="G38" s="9">
        <f>((((G24*0.00314)*0.16)*'Технический лист'!$O$8)+((((G24+100)/1000)*((G24+100)/1000))*3)*'Технический лист'!$I$8)*1.77</f>
        <v>1164.5987763896103</v>
      </c>
      <c r="H38" s="9">
        <f>((((H24*0.00314)*0.16)*'Технический лист'!$O$8)+((((H24+100)/1000)*((H24+100)/1000))*3)*'Технический лист'!$I$8)*1.77</f>
        <v>1263.9917747532465</v>
      </c>
      <c r="I38" s="9">
        <f>((((I24*0.00314)*0.16)*'Технический лист'!$O$8)+((((I24+100)/1000)*((I24+100)/1000))*3)*'Технический лист'!$I$8)*1.77</f>
        <v>1366.494778051948</v>
      </c>
      <c r="J38" s="9">
        <f>((((J24*0.00314)*0.16)*'Технический лист'!$O$8)+((((J24+100)/1000)*((J24+100)/1000))*3)*'Технический лист'!$I$8)*1.77</f>
        <v>1472.1077862857144</v>
      </c>
      <c r="K38" s="9">
        <f>((((K24*0.00314)*0.16)*'Технический лист'!$O$8)+((((K24+100)/1000)*((K24+100)/1000))*3)*'Технический лист'!$I$8)*1.77</f>
        <v>1692.6638175584415</v>
      </c>
      <c r="L38" s="9">
        <f>((((L24*0.00314)*0.16)*'Технический лист'!$O$8)+((((L24+100)/1000)*((L24+100)/1000))*3)*'Технический лист'!$I$8)*1.77</f>
        <v>1925.659868571429</v>
      </c>
      <c r="M38" s="9">
        <f>((((M24*0.00314)*0.16)*'Технический лист'!$O$8)+((((M24+100)/1000)*((M24+100)/1000))*3)*'Технический лист'!$I$8)*1.77</f>
        <v>2171.0959393246753</v>
      </c>
      <c r="N38" s="9">
        <f>((((N24*0.00314)*0.16)*'Технический лист'!$O$8)+((((N24+100)/1000)*((N24+100)/1000))*3)*'Технический лист'!$I$8)*1.77</f>
        <v>2562.575082467532</v>
      </c>
      <c r="O38" s="9">
        <f>((((O24*0.00314)*0.16)*'Технический лист'!$O$8)+((((O24+100)/1000)*((O24+100)/1000))*3)*'Технический лист'!$I$8)*1.77</f>
        <v>2699.288140051948</v>
      </c>
      <c r="P38" s="9">
        <f>((((P24*0.00314)*0.16)*'Технический лист'!$O$8)+((((P24+100)/1000)*((P24+100)/1000))*3)*'Технический лист'!$I$8)*1.77</f>
        <v>2839.1112025714283</v>
      </c>
      <c r="Q38" s="9">
        <f>((((Q24*0.00314)*0.16)*'Технический лист'!$O$8)+((((Q24+100)/1000)*((Q24+100)/1000))*3)*'Технический лист'!$I$8)*1.77</f>
        <v>2982.0442700259737</v>
      </c>
      <c r="R38" s="9">
        <f>((((R24*0.00314)*0.16)*'Технический лист'!$O$8)+((((R24+100)/1000)*((R24+100)/1000))*3)*'Технический лист'!$I$8)*1.77</f>
        <v>3128.0873424155848</v>
      </c>
      <c r="S38" s="9">
        <f>((((S24*0.00314)*0.16)*'Технический лист'!$O$8)+((((S24+100)/1000)*((S24+100)/1000))*3)*'Технический лист'!$I$8)*1.77</f>
        <v>3277.24041974026</v>
      </c>
      <c r="T38" s="9">
        <f>((((T24*0.00314)*0.16)*'Технический лист'!$O$8)+((((T24+100)/1000)*((T24+100)/1000))*3)*'Технический лист'!$I$8)*1.77</f>
        <v>3429.503502</v>
      </c>
      <c r="U38" s="9">
        <f>((((U24*0.00314)*0.16)*'Технический лист'!$O$8)+((((U24+100)/1000)*((U24+100)/1000))*3)*'Технический лист'!$I$8)*1.77</f>
        <v>3584.8765891948046</v>
      </c>
      <c r="V38" s="9">
        <f>((((V24*0.00314)*0.16)*'Технический лист'!$O$8)+((((V24+100)/1000)*((V24+100)/1000))*3)*'Технический лист'!$I$8)*1.77</f>
        <v>3743.359681324675</v>
      </c>
      <c r="W38" s="9">
        <f>((((W24*0.00314)*0.16)*'Технический лист'!$O$8)+((((W24+100)/1000)*((W24+100)/1000))*3)*'Технический лист'!$I$8)*1.77</f>
        <v>3904.95277838961</v>
      </c>
      <c r="X38" s="9">
        <f>((((X24*0.00314)*0.16)*'Технический лист'!$O$8)+((((X24+100)/1000)*((X24+100)/1000))*3)*'Технический лист'!$I$8)*1.77</f>
        <v>4069.6558803896105</v>
      </c>
    </row>
    <row r="39" spans="1:24" ht="15">
      <c r="A39" s="4" t="s">
        <v>101</v>
      </c>
      <c r="B39" s="9">
        <v>1200</v>
      </c>
      <c r="C39" s="9">
        <v>1200</v>
      </c>
      <c r="D39" s="9">
        <v>1200</v>
      </c>
      <c r="E39" s="9">
        <v>1200</v>
      </c>
      <c r="F39" s="9">
        <v>1200</v>
      </c>
      <c r="G39" s="9">
        <v>1200</v>
      </c>
      <c r="H39" s="9">
        <v>1200</v>
      </c>
      <c r="I39" s="9">
        <v>1200</v>
      </c>
      <c r="J39" s="9">
        <v>1200</v>
      </c>
      <c r="K39" s="9">
        <v>1200</v>
      </c>
      <c r="L39" s="9">
        <v>1200</v>
      </c>
      <c r="M39" s="9">
        <v>1200</v>
      </c>
      <c r="N39" s="9">
        <v>1200</v>
      </c>
      <c r="O39" s="9">
        <v>1200</v>
      </c>
      <c r="P39" s="9">
        <v>1200</v>
      </c>
      <c r="Q39" s="9">
        <v>1200</v>
      </c>
      <c r="R39" s="9">
        <v>1200</v>
      </c>
      <c r="S39" s="9">
        <v>1200</v>
      </c>
      <c r="T39" s="9">
        <v>1200</v>
      </c>
      <c r="U39" s="9">
        <v>1200</v>
      </c>
      <c r="V39" s="9">
        <v>1200</v>
      </c>
      <c r="W39" s="9">
        <v>1200</v>
      </c>
      <c r="X39" s="9">
        <v>1200</v>
      </c>
    </row>
  </sheetData>
  <mergeCells count="8">
    <mergeCell ref="P5:AD5"/>
    <mergeCell ref="O23:AB23"/>
    <mergeCell ref="A23:N23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42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0.7109375" style="0" customWidth="1"/>
    <col min="2" max="24" width="6.28125" style="0" customWidth="1"/>
  </cols>
  <sheetData>
    <row r="1" spans="1:17" ht="45" customHeight="1">
      <c r="A1" s="35" t="s">
        <v>139</v>
      </c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30" ht="15">
      <c r="A5" s="41" t="s">
        <v>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97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 hidden="1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X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  <c r="T7" s="10">
        <f t="shared" si="1"/>
        <v>380</v>
      </c>
      <c r="U7" s="10">
        <f t="shared" si="1"/>
        <v>390</v>
      </c>
      <c r="V7" s="10">
        <f t="shared" si="1"/>
        <v>400</v>
      </c>
      <c r="W7" s="10">
        <f t="shared" si="1"/>
        <v>410</v>
      </c>
      <c r="X7" s="10">
        <f t="shared" si="1"/>
        <v>420</v>
      </c>
    </row>
    <row r="8" spans="1:24" ht="15">
      <c r="A8" s="4" t="s">
        <v>89</v>
      </c>
      <c r="B8" s="16">
        <f>(((B6*0.00314)*'Технический лист'!$G$11)*1.25)*1.62</f>
        <v>224.87894999999997</v>
      </c>
      <c r="C8" s="16">
        <f>(((C6*0.00314)*'Технический лист'!$G$11)*1.25)*1.62</f>
        <v>247.36684499999996</v>
      </c>
      <c r="D8" s="16">
        <f>(((D6*0.00314)*'Технический лист'!$G$11)*1.25)*1.62</f>
        <v>258.61079249999995</v>
      </c>
      <c r="E8" s="16">
        <f>(((E6*0.00314)*'Технический лист'!$G$11)*1.25)*1.62</f>
        <v>269.85474</v>
      </c>
      <c r="F8" s="16">
        <f>(((F6*0.00314)*'Технический лист'!$G$11)*1.25)*1.62</f>
        <v>281.09868750000004</v>
      </c>
      <c r="G8" s="16">
        <f>(((G6*0.00314)*'Технический лист'!$G$11)*1.25)*1.62</f>
        <v>292.342635</v>
      </c>
      <c r="H8" s="16">
        <f>(((H6*0.00314)*'Технический лист'!$G$11)*1.25)*1.62</f>
        <v>314.83052999999995</v>
      </c>
      <c r="I8" s="16">
        <f>(((I6*0.00314)*'Технический лист'!$G$11)*1.25)*1.62</f>
        <v>337.318425</v>
      </c>
      <c r="J8" s="16">
        <f>(((J6*0.00314)*'Технический лист'!$G$11)*1.25)*1.62</f>
        <v>359.8063199999999</v>
      </c>
      <c r="K8" s="16">
        <f>(((K6*0.00314)*'Технический лист'!$G$11)*1.25)*1.62</f>
        <v>404.78211</v>
      </c>
      <c r="L8" s="16">
        <f>(((L6*0.00314)*'Технический лист'!$G$11)*1.25)*1.62</f>
        <v>449.75789999999995</v>
      </c>
      <c r="M8" s="16">
        <f>(((M6*0.00314)*'Технический лист'!$G$11)*1.25)*1.62</f>
        <v>494.7336899999999</v>
      </c>
      <c r="N8" s="16">
        <f>(((N6*0.00314)*'Технический лист'!$G$11)*1.25)*1.62</f>
        <v>562.1973750000001</v>
      </c>
      <c r="O8" s="16">
        <f>(((O6*0.00314)*'Технический лист'!$G$11)*1.25)*1.62</f>
        <v>584.68527</v>
      </c>
      <c r="P8" s="16">
        <f>(((P6*0.00314)*'Технический лист'!$G$11)*1.25)*1.62</f>
        <v>607.173165</v>
      </c>
      <c r="Q8" s="16">
        <f>(((Q6*0.00314)*'Технический лист'!$G$11)*1.25)*1.62</f>
        <v>629.6610599999999</v>
      </c>
      <c r="R8" s="16">
        <f>(((R6*0.00314)*'Технический лист'!$G$11)*1.25)*1.62</f>
        <v>652.1489549999999</v>
      </c>
      <c r="S8" s="16">
        <f>(((S6*0.00314)*'Технический лист'!$G$11)*1.25)*1.62</f>
        <v>674.63685</v>
      </c>
      <c r="T8" s="16">
        <f>(((T6*0.00314)*'Технический лист'!$G$11)*1.25)*1.62</f>
        <v>697.124745</v>
      </c>
      <c r="U8" s="16">
        <f>(((U6*0.00314)*'Технический лист'!$G$11)*1.25)*1.62</f>
        <v>719.6126399999998</v>
      </c>
      <c r="V8" s="16">
        <f>(((V6*0.00314)*'Технический лист'!$G$11)*1.25)*1.62</f>
        <v>742.1005349999999</v>
      </c>
      <c r="W8" s="16">
        <f>(((W6*0.00314)*'Технический лист'!$G$11)*1.25)*1.62</f>
        <v>764.58843</v>
      </c>
      <c r="X8" s="16">
        <f>(((X6*0.00314)*'Технический лист'!$G$11)*1.25)*1.62</f>
        <v>787.076325</v>
      </c>
    </row>
    <row r="9" spans="1:24" ht="15">
      <c r="A9" s="4" t="s">
        <v>90</v>
      </c>
      <c r="B9" s="9">
        <f>(B8/2)*1.07</f>
        <v>120.31023825</v>
      </c>
      <c r="C9" s="9">
        <f aca="true" t="shared" si="2" ref="C9:N9">(C8/2)*1.07</f>
        <v>132.34126207499997</v>
      </c>
      <c r="D9" s="9">
        <f t="shared" si="2"/>
        <v>138.3567739875</v>
      </c>
      <c r="E9" s="9">
        <f t="shared" si="2"/>
        <v>144.3722859</v>
      </c>
      <c r="F9" s="9">
        <f t="shared" si="2"/>
        <v>150.38779781250003</v>
      </c>
      <c r="G9" s="9">
        <f t="shared" si="2"/>
        <v>156.40330972499999</v>
      </c>
      <c r="H9" s="9">
        <f t="shared" si="2"/>
        <v>168.43433355</v>
      </c>
      <c r="I9" s="9">
        <f t="shared" si="2"/>
        <v>180.465357375</v>
      </c>
      <c r="J9" s="9">
        <f t="shared" si="2"/>
        <v>192.49638119999997</v>
      </c>
      <c r="K9" s="9">
        <f t="shared" si="2"/>
        <v>216.55842885</v>
      </c>
      <c r="L9" s="9">
        <f t="shared" si="2"/>
        <v>240.6204765</v>
      </c>
      <c r="M9" s="9">
        <f t="shared" si="2"/>
        <v>264.68252414999995</v>
      </c>
      <c r="N9" s="9">
        <f t="shared" si="2"/>
        <v>300.77559562500005</v>
      </c>
      <c r="O9" s="9">
        <f aca="true" t="shared" si="3" ref="O9:X9">(O8/2)*1.07</f>
        <v>312.80661944999997</v>
      </c>
      <c r="P9" s="9">
        <f t="shared" si="3"/>
        <v>324.83764327500006</v>
      </c>
      <c r="Q9" s="9">
        <f t="shared" si="3"/>
        <v>336.8686671</v>
      </c>
      <c r="R9" s="9">
        <f t="shared" si="3"/>
        <v>348.89969092499996</v>
      </c>
      <c r="S9" s="9">
        <f t="shared" si="3"/>
        <v>360.93071475</v>
      </c>
      <c r="T9" s="9">
        <f t="shared" si="3"/>
        <v>372.961738575</v>
      </c>
      <c r="U9" s="9">
        <f t="shared" si="3"/>
        <v>384.99276239999995</v>
      </c>
      <c r="V9" s="9">
        <f t="shared" si="3"/>
        <v>397.023786225</v>
      </c>
      <c r="W9" s="9">
        <f t="shared" si="3"/>
        <v>409.05481005</v>
      </c>
      <c r="X9" s="9">
        <f t="shared" si="3"/>
        <v>421.08583387500005</v>
      </c>
    </row>
    <row r="10" spans="1:24" ht="15">
      <c r="A10" s="4" t="s">
        <v>71</v>
      </c>
      <c r="B10" s="16">
        <f>((B6*0.00314)*0.5)*'Технический лист'!$I$11*1.88</f>
        <v>200.31525333333332</v>
      </c>
      <c r="C10" s="16">
        <f>((C6*0.00314)*0.5)*'Технический лист'!$I$11*1.88</f>
        <v>220.34677866666664</v>
      </c>
      <c r="D10" s="16">
        <f>((D6*0.00314)*0.5)*'Технический лист'!$I$11*1.88</f>
        <v>230.3625413333333</v>
      </c>
      <c r="E10" s="16">
        <f>((E6*0.00314)*0.5)*'Технический лист'!$I$11*1.88</f>
        <v>240.37830399999999</v>
      </c>
      <c r="F10" s="16">
        <f>((F6*0.00314)*0.5)*'Технический лист'!$I$11*1.88</f>
        <v>250.39406666666665</v>
      </c>
      <c r="G10" s="16">
        <f>((G6*0.00314)*0.5)*'Технический лист'!$I$11*1.88</f>
        <v>260.4098293333333</v>
      </c>
      <c r="H10" s="16">
        <f>((H6*0.00314)*0.5)*'Технический лист'!$I$11*1.88</f>
        <v>280.44135466666665</v>
      </c>
      <c r="I10" s="16">
        <f>((I6*0.00314)*0.5)*'Технический лист'!$I$11*1.88</f>
        <v>300.47288</v>
      </c>
      <c r="J10" s="16">
        <f>((J6*0.00314)*0.5)*'Технический лист'!$I$11*1.88</f>
        <v>320.50440533333324</v>
      </c>
      <c r="K10" s="16">
        <f>((K6*0.00314)*0.5)*'Технический лист'!$I$11*1.88</f>
        <v>360.567456</v>
      </c>
      <c r="L10" s="16">
        <f>((L6*0.00314)*0.5)*'Технический лист'!$I$11*1.88</f>
        <v>400.63050666666663</v>
      </c>
      <c r="M10" s="16">
        <f>((M6*0.00314)*0.5)*'Технический лист'!$I$11*1.88</f>
        <v>440.6935573333333</v>
      </c>
      <c r="N10" s="16">
        <f>((N6*0.00314)*0.5)*'Технический лист'!$I$11*1.88</f>
        <v>500.7881333333333</v>
      </c>
      <c r="O10" s="16">
        <f>((O6*0.00314)*0.5)*'Технический лист'!$I$11*1.88</f>
        <v>520.8196586666666</v>
      </c>
      <c r="P10" s="16">
        <f>((P6*0.00314)*0.5)*'Технический лист'!$I$11*1.88</f>
        <v>540.851184</v>
      </c>
      <c r="Q10" s="16">
        <f>((Q6*0.00314)*0.5)*'Технический лист'!$I$11*1.88</f>
        <v>560.8827093333333</v>
      </c>
      <c r="R10" s="16">
        <f>((R6*0.00314)*0.5)*'Технический лист'!$I$11*1.88</f>
        <v>580.9142346666665</v>
      </c>
      <c r="S10" s="16">
        <f>((S6*0.00314)*0.5)*'Технический лист'!$I$11*1.88</f>
        <v>600.94576</v>
      </c>
      <c r="T10" s="16">
        <f>((T6*0.00314)*0.5)*'Технический лист'!$I$11*1.88</f>
        <v>620.9772853333334</v>
      </c>
      <c r="U10" s="16">
        <f>((U6*0.00314)*0.5)*'Технический лист'!$I$11*1.88</f>
        <v>641.0088106666665</v>
      </c>
      <c r="V10" s="16">
        <f>((V6*0.00314)*0.5)*'Технический лист'!$I$11*1.88</f>
        <v>661.0403359999999</v>
      </c>
      <c r="W10" s="16">
        <f>((W6*0.00314)*0.5)*'Технический лист'!$I$11*1.88</f>
        <v>681.0718613333333</v>
      </c>
      <c r="X10" s="16">
        <f>((X6*0.00314)*0.5)*'Технический лист'!$I$11*1.88</f>
        <v>701.1033866666666</v>
      </c>
    </row>
    <row r="11" spans="1:24" ht="15">
      <c r="A11" s="4" t="s">
        <v>72</v>
      </c>
      <c r="B11" s="9">
        <f>(B10*2)/3</f>
        <v>133.5435022222222</v>
      </c>
      <c r="C11" s="9">
        <f aca="true" t="shared" si="4" ref="C11:N11">(C10*2)/3</f>
        <v>146.89785244444442</v>
      </c>
      <c r="D11" s="9">
        <f t="shared" si="4"/>
        <v>153.57502755555552</v>
      </c>
      <c r="E11" s="9">
        <f t="shared" si="4"/>
        <v>160.25220266666665</v>
      </c>
      <c r="F11" s="9">
        <f t="shared" si="4"/>
        <v>166.92937777777777</v>
      </c>
      <c r="G11" s="9">
        <f t="shared" si="4"/>
        <v>173.60655288888884</v>
      </c>
      <c r="H11" s="9">
        <f t="shared" si="4"/>
        <v>186.9609031111111</v>
      </c>
      <c r="I11" s="9">
        <f t="shared" si="4"/>
        <v>200.31525333333332</v>
      </c>
      <c r="J11" s="9">
        <f t="shared" si="4"/>
        <v>213.66960355555548</v>
      </c>
      <c r="K11" s="9">
        <f t="shared" si="4"/>
        <v>240.37830399999999</v>
      </c>
      <c r="L11" s="9">
        <f t="shared" si="4"/>
        <v>267.0870044444444</v>
      </c>
      <c r="M11" s="9">
        <f t="shared" si="4"/>
        <v>293.79570488888885</v>
      </c>
      <c r="N11" s="9">
        <f t="shared" si="4"/>
        <v>333.85875555555555</v>
      </c>
      <c r="O11" s="9">
        <f aca="true" t="shared" si="5" ref="O11:X11">(O10*2)/3</f>
        <v>347.2131057777777</v>
      </c>
      <c r="P11" s="9">
        <f t="shared" si="5"/>
        <v>360.567456</v>
      </c>
      <c r="Q11" s="9">
        <f t="shared" si="5"/>
        <v>373.9218062222222</v>
      </c>
      <c r="R11" s="9">
        <f t="shared" si="5"/>
        <v>387.2761564444443</v>
      </c>
      <c r="S11" s="9">
        <f t="shared" si="5"/>
        <v>400.63050666666663</v>
      </c>
      <c r="T11" s="9">
        <f t="shared" si="5"/>
        <v>413.98485688888894</v>
      </c>
      <c r="U11" s="9">
        <f t="shared" si="5"/>
        <v>427.33920711111097</v>
      </c>
      <c r="V11" s="9">
        <f t="shared" si="5"/>
        <v>440.6935573333333</v>
      </c>
      <c r="W11" s="9">
        <f t="shared" si="5"/>
        <v>454.0479075555556</v>
      </c>
      <c r="X11" s="9">
        <f t="shared" si="5"/>
        <v>467.4022577777777</v>
      </c>
    </row>
    <row r="12" spans="1:24" ht="15">
      <c r="A12" s="4" t="s">
        <v>73</v>
      </c>
      <c r="B12" s="16">
        <f>((((B6+10)*(B6+10))/1000000)*'Технический лист'!$M$11)+(B6*0.00052)*'Технический лист'!$M$11*1.85</f>
        <v>181.79960000000003</v>
      </c>
      <c r="C12" s="16">
        <f>((((C6+10)*(C6+10))/1000000)*'Технический лист'!$M$11)+(C6*0.00052)*'Технический лист'!$M$11*1.85</f>
        <v>201.80930666666666</v>
      </c>
      <c r="D12" s="16">
        <f>((((D6+10)*(D6+10))/1000000)*'Технический лист'!$M$11)+(D6*0.00052)*'Технический лист'!$M$11*1.85</f>
        <v>211.94006</v>
      </c>
      <c r="E12" s="16">
        <f>((((E6+10)*(E6+10))/1000000)*'Технический лист'!$M$11)+(E6*0.00052)*'Технический лист'!$M$11*1.85</f>
        <v>222.15474666666668</v>
      </c>
      <c r="F12" s="16">
        <f>((((F6+10)*(F6+10))/1000000)*'Технический лист'!$M$11)+(F6*0.00052)*'Технический лист'!$M$11*1.85</f>
        <v>232.45336666666665</v>
      </c>
      <c r="G12" s="16">
        <f>((((G6+10)*(G6+10))/1000000)*'Технический лист'!$M$11)+(G6*0.00052)*'Технический лист'!$M$11*1.85</f>
        <v>242.83592000000002</v>
      </c>
      <c r="H12" s="16">
        <f>((((H6+10)*(H6+10))/1000000)*'Технический лист'!$M$11)+(H6*0.00052)*'Технический лист'!$M$11*1.85</f>
        <v>263.85282666666666</v>
      </c>
      <c r="I12" s="16">
        <f>((((I6+10)*(I6+10))/1000000)*'Технический лист'!$M$11)+(I6*0.00052)*'Технический лист'!$M$11*1.85</f>
        <v>285.20546666666667</v>
      </c>
      <c r="J12" s="16">
        <f>((((J6+10)*(J6+10))/1000000)*'Технический лист'!$M$11)+(J6*0.00052)*'Технический лист'!$M$11*1.85</f>
        <v>306.89384</v>
      </c>
      <c r="K12" s="16">
        <f>((((K6+10)*(K6+10))/1000000)*'Технический лист'!$M$11)+(K6*0.00052)*'Технический лист'!$M$11*1.85</f>
        <v>351.2777866666667</v>
      </c>
      <c r="L12" s="16">
        <f>((((L6+10)*(L6+10))/1000000)*'Технический лист'!$M$11)+(L6*0.00052)*'Технический лист'!$M$11*1.85</f>
        <v>397.0046666666667</v>
      </c>
      <c r="M12" s="16">
        <f>((((M6+10)*(M6+10))/1000000)*'Технический лист'!$M$11)+(M6*0.00052)*'Технический лист'!$M$11*1.85</f>
        <v>444.07448</v>
      </c>
      <c r="N12" s="16">
        <f>((((N6+10)*(N6+10))/1000000)*'Технический лист'!$M$11)+(N6*0.00052)*'Технический лист'!$M$11*1.85</f>
        <v>517.1972</v>
      </c>
      <c r="O12" s="16">
        <f>((((O6+10)*(O6+10))/1000000)*'Технический лист'!$M$11)+(O6*0.00052)*'Технический лист'!$M$11*1.85</f>
        <v>542.2429066666667</v>
      </c>
      <c r="P12" s="16">
        <f>((((P6+10)*(P6+10))/1000000)*'Технический лист'!$M$11)+(P6*0.00052)*'Технический лист'!$M$11*1.85</f>
        <v>567.6243466666667</v>
      </c>
      <c r="Q12" s="16">
        <f>((((Q6+10)*(Q6+10))/1000000)*'Технический лист'!$M$11)+(Q6*0.00052)*'Технический лист'!$M$11*1.85</f>
        <v>593.34152</v>
      </c>
      <c r="R12" s="16">
        <f>((((R6+10)*(R6+10))/1000000)*'Технический лист'!$M$11)+(R6*0.00052)*'Технический лист'!$M$11*1.85</f>
        <v>619.3944266666667</v>
      </c>
      <c r="S12" s="16">
        <f>((((S6+10)*(S6+10))/1000000)*'Технический лист'!$M$11)+(S6*0.00052)*'Технический лист'!$M$11*1.85</f>
        <v>645.7830666666667</v>
      </c>
      <c r="T12" s="16">
        <f>((((T6+10)*(T6+10))/1000000)*'Технический лист'!$M$11)+(T6*0.00052)*'Технический лист'!$M$11*1.85</f>
        <v>672.5074400000001</v>
      </c>
      <c r="U12" s="16">
        <f>((((U6+10)*(U6+10))/1000000)*'Технический лист'!$M$11)+(U6*0.00052)*'Технический лист'!$M$11*1.85</f>
        <v>699.5675466666667</v>
      </c>
      <c r="V12" s="16">
        <f>((((V6+10)*(V6+10))/1000000)*'Технический лист'!$M$11)+(V6*0.00052)*'Технический лист'!$M$11*1.85</f>
        <v>726.9633866666666</v>
      </c>
      <c r="W12" s="16">
        <f>((((W6+10)*(W6+10))/1000000)*'Технический лист'!$M$11)+(W6*0.00052)*'Технический лист'!$M$11*1.85</f>
        <v>754.6949599999999</v>
      </c>
      <c r="X12" s="16">
        <f>((((X6+10)*(X6+10))/1000000)*'Технический лист'!$M$11)+(X6*0.00052)*'Технический лист'!$M$11*1.85</f>
        <v>782.7622666666667</v>
      </c>
    </row>
    <row r="13" spans="1:24" ht="15">
      <c r="A13" s="4" t="s">
        <v>74</v>
      </c>
      <c r="B13" s="9">
        <f>(((B6*0.00314)*0.45)*'Технический лист'!$M$11)+B12</f>
        <v>418.99520000000007</v>
      </c>
      <c r="C13" s="9">
        <f>(((C6*0.00314)*0.45)*'Технический лист'!$M$11)+C12</f>
        <v>462.7244666666667</v>
      </c>
      <c r="D13" s="9">
        <f>(((D6*0.00314)*0.45)*'Технический лист'!$M$11)+D12</f>
        <v>484.71500000000003</v>
      </c>
      <c r="E13" s="9">
        <f>(((E6*0.00314)*0.45)*'Технический лист'!$M$11)+E12</f>
        <v>506.7894666666667</v>
      </c>
      <c r="F13" s="9">
        <f>(((F6*0.00314)*0.45)*'Технический лист'!$M$11)+F12</f>
        <v>528.9478666666666</v>
      </c>
      <c r="G13" s="9">
        <f>(((G6*0.00314)*0.45)*'Технический лист'!$M$11)+G12</f>
        <v>551.1902000000001</v>
      </c>
      <c r="H13" s="9">
        <f>(((H6*0.00314)*0.45)*'Технический лист'!$M$11)+H12</f>
        <v>595.9266666666667</v>
      </c>
      <c r="I13" s="9">
        <f>(((I6*0.00314)*0.45)*'Технический лист'!$M$11)+I12</f>
        <v>640.9988666666667</v>
      </c>
      <c r="J13" s="9">
        <f>(((J6*0.00314)*0.45)*'Технический лист'!$M$11)+J12</f>
        <v>686.4068</v>
      </c>
      <c r="K13" s="9">
        <f>(((K6*0.00314)*0.45)*'Технический лист'!$M$11)+K12</f>
        <v>778.2298666666668</v>
      </c>
      <c r="L13" s="9">
        <f>(((L6*0.00314)*0.45)*'Технический лист'!$M$11)+L12</f>
        <v>871.3958666666667</v>
      </c>
      <c r="M13" s="9">
        <f>(((M6*0.00314)*0.45)*'Технический лист'!$M$11)+M12</f>
        <v>965.9048</v>
      </c>
      <c r="N13" s="9">
        <f>(((N6*0.00314)*0.45)*'Технический лист'!$M$11)+N12</f>
        <v>1110.1862</v>
      </c>
      <c r="O13" s="9">
        <f>(((O6*0.00314)*0.45)*'Технический лист'!$M$11)+O12</f>
        <v>1158.9514666666669</v>
      </c>
      <c r="P13" s="9">
        <f>(((P6*0.00314)*0.45)*'Технический лист'!$M$11)+P12</f>
        <v>1208.0524666666668</v>
      </c>
      <c r="Q13" s="9">
        <f>(((Q6*0.00314)*0.45)*'Технический лист'!$M$11)+Q12</f>
        <v>1257.4892</v>
      </c>
      <c r="R13" s="9">
        <f>(((R6*0.00314)*0.45)*'Технический лист'!$M$11)+R12</f>
        <v>1307.2616666666668</v>
      </c>
      <c r="S13" s="9">
        <f>(((S6*0.00314)*0.45)*'Технический лист'!$M$11)+S12</f>
        <v>1357.369866666667</v>
      </c>
      <c r="T13" s="9">
        <f>(((T6*0.00314)*0.45)*'Технический лист'!$M$11)+T12</f>
        <v>1407.8138000000001</v>
      </c>
      <c r="U13" s="9">
        <f>(((U6*0.00314)*0.45)*'Технический лист'!$M$11)+U12</f>
        <v>1458.5934666666667</v>
      </c>
      <c r="V13" s="9">
        <f>(((V6*0.00314)*0.45)*'Технический лист'!$M$11)+V12</f>
        <v>1509.7088666666666</v>
      </c>
      <c r="W13" s="9">
        <f>(((W6*0.00314)*0.45)*'Технический лист'!$M$11)+W12</f>
        <v>1561.16</v>
      </c>
      <c r="X13" s="9">
        <f>(((X6*0.00314)*0.45)*'Технический лист'!$M$11)+X12</f>
        <v>1612.9468666666667</v>
      </c>
    </row>
    <row r="14" spans="1:24" ht="15" hidden="1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4" t="s">
        <v>99</v>
      </c>
      <c r="B15" s="16">
        <v>328</v>
      </c>
      <c r="C15" s="16">
        <v>370</v>
      </c>
      <c r="D15" s="16">
        <v>390</v>
      </c>
      <c r="E15" s="16">
        <v>411</v>
      </c>
      <c r="F15" s="16">
        <v>429</v>
      </c>
      <c r="G15" s="16">
        <v>453</v>
      </c>
      <c r="H15" s="16">
        <v>493</v>
      </c>
      <c r="I15" s="16">
        <v>535</v>
      </c>
      <c r="J15" s="16">
        <v>582</v>
      </c>
      <c r="K15" s="16">
        <v>673</v>
      </c>
      <c r="L15" s="16">
        <v>770</v>
      </c>
      <c r="M15" s="16">
        <v>871</v>
      </c>
      <c r="N15" s="16">
        <v>1030</v>
      </c>
      <c r="O15" s="16">
        <v>1084</v>
      </c>
      <c r="P15" s="16">
        <v>1143</v>
      </c>
      <c r="Q15" s="16">
        <v>1200</v>
      </c>
      <c r="R15" s="16">
        <v>1257</v>
      </c>
      <c r="S15" s="16">
        <v>1317</v>
      </c>
      <c r="T15" s="16">
        <v>1378</v>
      </c>
      <c r="U15" s="16">
        <v>1440</v>
      </c>
      <c r="V15" s="16">
        <v>1504</v>
      </c>
      <c r="W15" s="16">
        <v>1569</v>
      </c>
      <c r="X15" s="16">
        <v>1632</v>
      </c>
    </row>
    <row r="16" spans="1:24" ht="15">
      <c r="A16" s="4" t="s">
        <v>103</v>
      </c>
      <c r="B16" s="16">
        <v>328</v>
      </c>
      <c r="C16" s="16">
        <v>370</v>
      </c>
      <c r="D16" s="16">
        <v>390</v>
      </c>
      <c r="E16" s="16">
        <v>411</v>
      </c>
      <c r="F16" s="16">
        <v>429</v>
      </c>
      <c r="G16" s="16">
        <v>453</v>
      </c>
      <c r="H16" s="16">
        <v>493</v>
      </c>
      <c r="I16" s="16">
        <v>535</v>
      </c>
      <c r="J16" s="16">
        <v>582</v>
      </c>
      <c r="K16" s="16">
        <v>673</v>
      </c>
      <c r="L16" s="16">
        <v>770</v>
      </c>
      <c r="M16" s="16">
        <v>871</v>
      </c>
      <c r="N16" s="16">
        <v>1030</v>
      </c>
      <c r="O16" s="16">
        <v>1084</v>
      </c>
      <c r="P16" s="16">
        <v>1143</v>
      </c>
      <c r="Q16" s="16">
        <v>1200</v>
      </c>
      <c r="R16" s="16">
        <v>1257</v>
      </c>
      <c r="S16" s="16">
        <v>1317</v>
      </c>
      <c r="T16" s="16">
        <v>1378</v>
      </c>
      <c r="U16" s="16">
        <v>1440</v>
      </c>
      <c r="V16" s="16">
        <v>1504</v>
      </c>
      <c r="W16" s="16">
        <v>1569</v>
      </c>
      <c r="X16" s="16">
        <v>1632</v>
      </c>
    </row>
    <row r="17" spans="1:24" ht="15">
      <c r="A17" s="4" t="s">
        <v>75</v>
      </c>
      <c r="B17" s="9">
        <f>((B6*0.00314)*((B6+500)/1000)*'Технический лист'!$K$11)*2.1</f>
        <v>268.50768</v>
      </c>
      <c r="C17" s="9">
        <f>((C6*0.00314)*((C6+500)/1000)*'Технический лист'!$K$11)*2.1</f>
        <v>300.2810888</v>
      </c>
      <c r="D17" s="9">
        <f>((D6*0.00314)*((D6+500)/1000)*'Технический лист'!$K$11)*2.1</f>
        <v>316.5034278</v>
      </c>
      <c r="E17" s="9">
        <f>((E6*0.00314)*((E6+500)/1000)*'Технический лист'!$K$11)*2.1</f>
        <v>332.94952320000004</v>
      </c>
      <c r="F17" s="9">
        <f>((F6*0.00314)*((F6+500)/1000)*'Технический лист'!$K$11)*2.1</f>
        <v>349.61937500000005</v>
      </c>
      <c r="G17" s="9">
        <f>((G6*0.00314)*((G6+500)/1000)*'Технический лист'!$K$11)*2.1</f>
        <v>366.5129832</v>
      </c>
      <c r="H17" s="9">
        <f>((H6*0.00314)*((H6+500)/1000)*'Технический лист'!$K$11)*2.1</f>
        <v>400.97146879999997</v>
      </c>
      <c r="I17" s="9">
        <f>((I6*0.00314)*((I6+500)/1000)*'Технический лист'!$K$11)*2.1</f>
        <v>436.3249799999999</v>
      </c>
      <c r="J17" s="9">
        <f>((J6*0.00314)*((J6+500)/1000)*'Технический лист'!$K$11)*2.1</f>
        <v>472.5735168</v>
      </c>
      <c r="K17" s="9">
        <f>((K6*0.00314)*((K6+500)/1000)*'Технический лист'!$K$11)*2.1</f>
        <v>547.7556672000002</v>
      </c>
      <c r="L17" s="9">
        <f>((L6*0.00314)*((L6+500)/1000)*'Технический лист'!$K$11)*2.1</f>
        <v>626.51792</v>
      </c>
      <c r="M17" s="9">
        <f>((M6*0.00314)*((M6+500)/1000)*'Технический лист'!$K$11)*2.1</f>
        <v>708.8602751999999</v>
      </c>
      <c r="N17" s="9">
        <f>((N6*0.00314)*((N6+500)/1000)*'Технический лист'!$K$11)*2.1</f>
        <v>839.0865</v>
      </c>
      <c r="O17" s="9">
        <f>((O6*0.00314)*((O6+500)/1000)*'Технический лист'!$K$11)*2.1</f>
        <v>884.2852928</v>
      </c>
      <c r="P17" s="9">
        <f>((P6*0.00314)*((P6+500)/1000)*'Технический лист'!$K$11)*2.1</f>
        <v>930.3791112</v>
      </c>
      <c r="Q17" s="9">
        <f>((Q6*0.00314)*((Q6+500)/1000)*'Технический лист'!$K$11)*2.1</f>
        <v>977.3679552000001</v>
      </c>
      <c r="R17" s="9">
        <f>((R6*0.00314)*((R6+500)/1000)*'Технический лист'!$K$11)*2.1</f>
        <v>1025.2518248</v>
      </c>
      <c r="S17" s="9">
        <f>((S6*0.00314)*((S6+500)/1000)*'Технический лист'!$K$11)*2.1</f>
        <v>1074.03072</v>
      </c>
      <c r="T17" s="9">
        <f>((T6*0.00314)*((T6+500)/1000)*'Технический лист'!$K$11)*2.1</f>
        <v>1123.7046408</v>
      </c>
      <c r="U17" s="9">
        <f>((U6*0.00314)*((U6+500)/1000)*'Технический лист'!$K$11)*2.1</f>
        <v>1174.2735871999998</v>
      </c>
      <c r="V17" s="9">
        <f>((V6*0.00314)*((V6+500)/1000)*'Технический лист'!$K$11)*2.1</f>
        <v>1225.7375591999999</v>
      </c>
      <c r="W17" s="9">
        <f>((W6*0.00314)*((W6+500)/1000)*'Технический лист'!$K$11)*2.1</f>
        <v>1278.0965568</v>
      </c>
      <c r="X17" s="9">
        <f>((X6*0.00314)*((X6+500)/1000)*'Технический лист'!$K$11)*2.1</f>
        <v>1331.35058</v>
      </c>
    </row>
    <row r="18" spans="1:24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">
      <c r="A19" s="4" t="s">
        <v>105</v>
      </c>
      <c r="B19" s="9">
        <v>368</v>
      </c>
      <c r="C19" s="9">
        <v>405</v>
      </c>
      <c r="D19" s="9">
        <v>360</v>
      </c>
      <c r="E19" s="9">
        <v>415</v>
      </c>
      <c r="F19" s="9">
        <v>445</v>
      </c>
      <c r="G19" s="9">
        <v>460</v>
      </c>
      <c r="H19" s="9">
        <v>495</v>
      </c>
      <c r="I19" s="9">
        <v>524</v>
      </c>
      <c r="J19" s="9">
        <v>558</v>
      </c>
      <c r="K19" s="9">
        <v>623</v>
      </c>
      <c r="L19" s="9">
        <v>695</v>
      </c>
      <c r="M19" s="9">
        <v>764</v>
      </c>
      <c r="N19" s="9">
        <v>871</v>
      </c>
      <c r="O19" s="9">
        <v>908</v>
      </c>
      <c r="P19" s="9">
        <v>945</v>
      </c>
      <c r="Q19" s="9">
        <v>984</v>
      </c>
      <c r="R19" s="9">
        <v>1021</v>
      </c>
      <c r="S19" s="9">
        <v>1060</v>
      </c>
      <c r="T19" s="9">
        <v>1100</v>
      </c>
      <c r="U19" s="9">
        <v>1140</v>
      </c>
      <c r="V19" s="9">
        <v>1178</v>
      </c>
      <c r="W19" s="9">
        <v>1219</v>
      </c>
      <c r="X19" s="9">
        <v>1260</v>
      </c>
    </row>
    <row r="20" spans="1:24" ht="15">
      <c r="A20" s="4" t="s">
        <v>100</v>
      </c>
      <c r="B20" s="9">
        <v>333</v>
      </c>
      <c r="C20" s="9">
        <v>333</v>
      </c>
      <c r="D20" s="9">
        <v>333</v>
      </c>
      <c r="E20" s="9">
        <v>333</v>
      </c>
      <c r="F20" s="9">
        <v>333</v>
      </c>
      <c r="G20" s="9">
        <v>333</v>
      </c>
      <c r="H20" s="9">
        <v>333</v>
      </c>
      <c r="I20" s="9">
        <v>333</v>
      </c>
      <c r="J20" s="9">
        <v>333</v>
      </c>
      <c r="K20" s="9">
        <v>333</v>
      </c>
      <c r="L20" s="9">
        <v>333</v>
      </c>
      <c r="M20" s="9">
        <v>333</v>
      </c>
      <c r="N20" s="9">
        <v>333</v>
      </c>
      <c r="O20" s="9">
        <v>333</v>
      </c>
      <c r="P20" s="9">
        <v>333</v>
      </c>
      <c r="Q20" s="9">
        <v>333</v>
      </c>
      <c r="R20" s="9">
        <v>333</v>
      </c>
      <c r="S20" s="9">
        <v>333</v>
      </c>
      <c r="T20" s="9">
        <v>333</v>
      </c>
      <c r="U20" s="9">
        <v>333</v>
      </c>
      <c r="V20" s="9">
        <v>333</v>
      </c>
      <c r="W20" s="9">
        <v>333</v>
      </c>
      <c r="X20" s="9">
        <v>333</v>
      </c>
    </row>
    <row r="21" spans="1:24" ht="15">
      <c r="A21" s="4" t="s">
        <v>101</v>
      </c>
      <c r="B21" s="9">
        <v>380</v>
      </c>
      <c r="C21" s="9">
        <v>380</v>
      </c>
      <c r="D21" s="9">
        <v>380</v>
      </c>
      <c r="E21" s="9">
        <v>380</v>
      </c>
      <c r="F21" s="9">
        <v>380</v>
      </c>
      <c r="G21" s="9">
        <v>380</v>
      </c>
      <c r="H21" s="9">
        <v>380</v>
      </c>
      <c r="I21" s="9">
        <v>380</v>
      </c>
      <c r="J21" s="9">
        <v>380</v>
      </c>
      <c r="K21" s="9">
        <v>380</v>
      </c>
      <c r="L21" s="9">
        <v>380</v>
      </c>
      <c r="M21" s="9">
        <v>380</v>
      </c>
      <c r="N21" s="9">
        <v>380</v>
      </c>
      <c r="O21" s="9">
        <v>380</v>
      </c>
      <c r="P21" s="9">
        <v>380</v>
      </c>
      <c r="Q21" s="9">
        <v>380</v>
      </c>
      <c r="R21" s="9">
        <v>380</v>
      </c>
      <c r="S21" s="9">
        <v>380</v>
      </c>
      <c r="T21" s="9">
        <v>380</v>
      </c>
      <c r="U21" s="9">
        <v>380</v>
      </c>
      <c r="V21" s="9">
        <v>380</v>
      </c>
      <c r="W21" s="9">
        <v>380</v>
      </c>
      <c r="X21" s="9">
        <v>380</v>
      </c>
    </row>
    <row r="22" spans="1:24" ht="15">
      <c r="A22" s="4" t="s">
        <v>124</v>
      </c>
      <c r="B22" s="9">
        <v>1100</v>
      </c>
      <c r="C22" s="9">
        <v>1100</v>
      </c>
      <c r="D22" s="9">
        <v>1100</v>
      </c>
      <c r="E22" s="9">
        <v>1100</v>
      </c>
      <c r="F22" s="9">
        <v>1100</v>
      </c>
      <c r="G22" s="9">
        <v>1100</v>
      </c>
      <c r="H22" s="9">
        <v>1100</v>
      </c>
      <c r="I22" s="9">
        <v>1100</v>
      </c>
      <c r="J22" s="9">
        <v>1100</v>
      </c>
      <c r="K22" s="9">
        <v>1100</v>
      </c>
      <c r="L22" s="9">
        <v>1100</v>
      </c>
      <c r="M22" s="9">
        <v>1100</v>
      </c>
      <c r="N22" s="9">
        <v>1100</v>
      </c>
      <c r="O22" s="9">
        <v>1200</v>
      </c>
      <c r="P22" s="9">
        <v>1200</v>
      </c>
      <c r="Q22" s="9">
        <v>1200</v>
      </c>
      <c r="R22" s="9">
        <v>1200</v>
      </c>
      <c r="S22" s="9">
        <v>1200</v>
      </c>
      <c r="T22" s="9">
        <v>1200</v>
      </c>
      <c r="U22" s="9">
        <v>1200</v>
      </c>
      <c r="V22" s="9">
        <v>1200</v>
      </c>
      <c r="W22" s="9">
        <v>1200</v>
      </c>
      <c r="X22" s="9">
        <v>1200</v>
      </c>
    </row>
    <row r="23" spans="1:24" ht="15">
      <c r="A23" s="4" t="s">
        <v>104</v>
      </c>
      <c r="B23" s="9">
        <v>880</v>
      </c>
      <c r="C23" s="9">
        <v>880</v>
      </c>
      <c r="D23" s="9">
        <v>880</v>
      </c>
      <c r="E23" s="9">
        <v>880</v>
      </c>
      <c r="F23" s="9">
        <v>945</v>
      </c>
      <c r="G23" s="9">
        <v>945</v>
      </c>
      <c r="H23" s="9">
        <v>945</v>
      </c>
      <c r="I23" s="9">
        <v>945</v>
      </c>
      <c r="J23" s="9">
        <v>1170</v>
      </c>
      <c r="K23" s="9">
        <v>1380</v>
      </c>
      <c r="L23" s="9">
        <v>1570</v>
      </c>
      <c r="M23" s="9">
        <v>2140</v>
      </c>
      <c r="N23" s="9">
        <v>2265</v>
      </c>
      <c r="O23" s="9">
        <v>2265</v>
      </c>
      <c r="P23" s="9">
        <v>2265</v>
      </c>
      <c r="Q23" s="9">
        <v>2265</v>
      </c>
      <c r="R23" s="9">
        <v>2265</v>
      </c>
      <c r="S23" s="9">
        <v>2505</v>
      </c>
      <c r="T23" s="9">
        <v>2505</v>
      </c>
      <c r="U23" s="9">
        <v>2820</v>
      </c>
      <c r="V23" s="9">
        <v>2820</v>
      </c>
      <c r="W23" s="9">
        <v>2820</v>
      </c>
      <c r="X23" s="9">
        <v>2820</v>
      </c>
    </row>
    <row r="24" spans="1:24" ht="15">
      <c r="A24" s="4" t="s">
        <v>91</v>
      </c>
      <c r="B24" s="16">
        <v>95</v>
      </c>
      <c r="C24" s="16">
        <v>95</v>
      </c>
      <c r="D24" s="16">
        <v>95</v>
      </c>
      <c r="E24" s="16">
        <v>95</v>
      </c>
      <c r="F24" s="16">
        <v>95</v>
      </c>
      <c r="G24" s="16">
        <v>95</v>
      </c>
      <c r="H24" s="16">
        <v>95</v>
      </c>
      <c r="I24" s="16">
        <v>95</v>
      </c>
      <c r="J24" s="16">
        <v>95</v>
      </c>
      <c r="K24" s="16">
        <v>95</v>
      </c>
      <c r="L24" s="16">
        <v>95</v>
      </c>
      <c r="M24" s="16">
        <v>115</v>
      </c>
      <c r="N24" s="16">
        <v>115</v>
      </c>
      <c r="O24" s="16">
        <v>115</v>
      </c>
      <c r="P24" s="16">
        <v>115</v>
      </c>
      <c r="Q24" s="16">
        <v>115</v>
      </c>
      <c r="R24" s="16">
        <v>115</v>
      </c>
      <c r="S24" s="16">
        <v>115</v>
      </c>
      <c r="T24" s="16">
        <v>115</v>
      </c>
      <c r="U24" s="16">
        <v>115</v>
      </c>
      <c r="V24" s="16">
        <v>115</v>
      </c>
      <c r="W24" s="16">
        <v>115</v>
      </c>
      <c r="X24" s="16">
        <v>115</v>
      </c>
    </row>
    <row r="26" spans="1:28" ht="15">
      <c r="A26" s="41" t="s">
        <v>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 t="s">
        <v>98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4" ht="15">
      <c r="A27" s="3" t="s">
        <v>79</v>
      </c>
      <c r="B27" s="10">
        <v>100</v>
      </c>
      <c r="C27" s="10">
        <v>110</v>
      </c>
      <c r="D27" s="10">
        <v>115</v>
      </c>
      <c r="E27" s="10">
        <v>120</v>
      </c>
      <c r="F27" s="10">
        <v>125</v>
      </c>
      <c r="G27" s="10">
        <v>130</v>
      </c>
      <c r="H27" s="10">
        <v>140</v>
      </c>
      <c r="I27" s="10">
        <v>150</v>
      </c>
      <c r="J27" s="10">
        <v>160</v>
      </c>
      <c r="K27" s="10">
        <v>180</v>
      </c>
      <c r="L27" s="10">
        <v>200</v>
      </c>
      <c r="M27" s="10">
        <v>220</v>
      </c>
      <c r="N27" s="10">
        <v>250</v>
      </c>
      <c r="O27" s="10">
        <v>260</v>
      </c>
      <c r="P27" s="10">
        <v>270</v>
      </c>
      <c r="Q27" s="10">
        <v>280</v>
      </c>
      <c r="R27" s="10">
        <v>290</v>
      </c>
      <c r="S27" s="10">
        <v>300</v>
      </c>
      <c r="T27" s="10">
        <v>310</v>
      </c>
      <c r="U27" s="10">
        <v>320</v>
      </c>
      <c r="V27" s="10">
        <v>330</v>
      </c>
      <c r="W27" s="10">
        <v>340</v>
      </c>
      <c r="X27" s="10">
        <v>350</v>
      </c>
    </row>
    <row r="28" spans="1:24" ht="15" hidden="1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4" t="s">
        <v>89</v>
      </c>
      <c r="B29" s="17">
        <f>(((B27*0.00314)*'Технический лист'!$G$14)*1.25)*1.67</f>
        <v>276.3919583333333</v>
      </c>
      <c r="C29" s="17">
        <f>(((C27*0.00314)*'Технический лист'!$G$14)*1.25)*1.67</f>
        <v>304.0311541666666</v>
      </c>
      <c r="D29" s="17">
        <f>(((D27*0.00314)*'Технический лист'!$G$14)*1.25)*1.67</f>
        <v>317.85075208333325</v>
      </c>
      <c r="E29" s="17">
        <f>(((E27*0.00314)*'Технический лист'!$G$14)*1.25)*1.67</f>
        <v>331.67035</v>
      </c>
      <c r="F29" s="17">
        <f>(((F27*0.00314)*'Технический лист'!$G$14)*1.25)*1.67</f>
        <v>345.4899479166666</v>
      </c>
      <c r="G29" s="17">
        <f>(((G27*0.00314)*'Технический лист'!$G$14)*1.25)*1.67</f>
        <v>359.3095458333333</v>
      </c>
      <c r="H29" s="17">
        <f>(((H27*0.00314)*'Технический лист'!$G$14)*1.25)*1.67</f>
        <v>386.9487416666666</v>
      </c>
      <c r="I29" s="17">
        <f>(((I27*0.00314)*'Технический лист'!$G$14)*1.25)*1.67</f>
        <v>414.58793749999995</v>
      </c>
      <c r="J29" s="17">
        <f>(((J27*0.00314)*'Технический лист'!$G$14)*1.25)*1.67</f>
        <v>442.22713333333326</v>
      </c>
      <c r="K29" s="17">
        <f>(((K27*0.00314)*'Технический лист'!$G$14)*1.25)*1.67</f>
        <v>497.5055249999999</v>
      </c>
      <c r="L29" s="17">
        <f>(((L27*0.00314)*'Технический лист'!$G$14)*1.25)*1.67</f>
        <v>552.7839166666666</v>
      </c>
      <c r="M29" s="17">
        <f>(((M27*0.00314)*'Технический лист'!$G$14)*1.25)*1.67</f>
        <v>608.0623083333332</v>
      </c>
      <c r="N29" s="17">
        <f>(((N27*0.00314)*'Технический лист'!$G$14)*1.25)*1.67</f>
        <v>690.9798958333332</v>
      </c>
      <c r="O29" s="17">
        <f>(((O27*0.00314)*'Технический лист'!$G$14)*1.25)*1.67</f>
        <v>718.6190916666666</v>
      </c>
      <c r="P29" s="17">
        <f>(((P27*0.00314)*'Технический лист'!$G$14)*1.25)*1.67</f>
        <v>746.2582874999999</v>
      </c>
      <c r="Q29" s="17">
        <f>(((Q27*0.00314)*'Технический лист'!$G$14)*1.25)*1.67</f>
        <v>773.8974833333332</v>
      </c>
      <c r="R29" s="17">
        <f>(((R27*0.00314)*'Технический лист'!$G$14)*1.25)*1.67</f>
        <v>801.5366791666665</v>
      </c>
      <c r="S29" s="17">
        <f>(((S27*0.00314)*'Технический лист'!$G$14)*1.25)*1.67</f>
        <v>829.1758749999999</v>
      </c>
      <c r="T29" s="17">
        <f>(((T27*0.00314)*'Технический лист'!$G$14)*1.25)*1.67</f>
        <v>856.8150708333333</v>
      </c>
      <c r="U29" s="17">
        <f>(((U27*0.00314)*'Технический лист'!$G$14)*1.25)*1.67</f>
        <v>884.4542666666665</v>
      </c>
      <c r="V29" s="17">
        <f>(((V27*0.00314)*'Технический лист'!$G$14)*1.25)*1.67</f>
        <v>912.0934624999999</v>
      </c>
      <c r="W29" s="17">
        <f>(((W27*0.00314)*'Технический лист'!$G$14)*1.25)*1.67</f>
        <v>939.7326583333332</v>
      </c>
      <c r="X29" s="17">
        <f>(((X27*0.00314)*'Технический лист'!$G$14)*1.25)*1.67</f>
        <v>967.3718541666666</v>
      </c>
    </row>
    <row r="30" spans="1:24" ht="15">
      <c r="A30" s="4" t="s">
        <v>90</v>
      </c>
      <c r="B30" s="9">
        <f>(B29/2)*1.07</f>
        <v>147.86969770833335</v>
      </c>
      <c r="C30" s="9">
        <f aca="true" t="shared" si="6" ref="C30:N30">(C29/2)*1.07</f>
        <v>162.65666747916666</v>
      </c>
      <c r="D30" s="9">
        <f t="shared" si="6"/>
        <v>170.05015236458328</v>
      </c>
      <c r="E30" s="9">
        <f t="shared" si="6"/>
        <v>177.44363725</v>
      </c>
      <c r="F30" s="9">
        <f t="shared" si="6"/>
        <v>184.83712213541665</v>
      </c>
      <c r="G30" s="9">
        <f t="shared" si="6"/>
        <v>192.23060702083333</v>
      </c>
      <c r="H30" s="9">
        <f t="shared" si="6"/>
        <v>207.01757679166664</v>
      </c>
      <c r="I30" s="9">
        <f t="shared" si="6"/>
        <v>221.80454656249998</v>
      </c>
      <c r="J30" s="9">
        <f t="shared" si="6"/>
        <v>236.59151633333332</v>
      </c>
      <c r="K30" s="9">
        <f t="shared" si="6"/>
        <v>266.16545587499996</v>
      </c>
      <c r="L30" s="9">
        <f t="shared" si="6"/>
        <v>295.7393954166667</v>
      </c>
      <c r="M30" s="9">
        <f t="shared" si="6"/>
        <v>325.3133349583333</v>
      </c>
      <c r="N30" s="9">
        <f t="shared" si="6"/>
        <v>369.6742442708333</v>
      </c>
      <c r="O30" s="9">
        <f aca="true" t="shared" si="7" ref="O30:X30">(O29/2)*1.07</f>
        <v>384.46121404166666</v>
      </c>
      <c r="P30" s="9">
        <f t="shared" si="7"/>
        <v>399.2481838125</v>
      </c>
      <c r="Q30" s="9">
        <f t="shared" si="7"/>
        <v>414.0351535833333</v>
      </c>
      <c r="R30" s="9">
        <f t="shared" si="7"/>
        <v>428.82212335416665</v>
      </c>
      <c r="S30" s="9">
        <f t="shared" si="7"/>
        <v>443.60909312499996</v>
      </c>
      <c r="T30" s="9">
        <f t="shared" si="7"/>
        <v>458.3960628958333</v>
      </c>
      <c r="U30" s="9">
        <f t="shared" si="7"/>
        <v>473.18303266666663</v>
      </c>
      <c r="V30" s="9">
        <f t="shared" si="7"/>
        <v>487.97000243749994</v>
      </c>
      <c r="W30" s="9">
        <f t="shared" si="7"/>
        <v>502.7569722083333</v>
      </c>
      <c r="X30" s="9">
        <f t="shared" si="7"/>
        <v>517.5439419791667</v>
      </c>
    </row>
    <row r="31" spans="1:24" ht="15">
      <c r="A31" s="4" t="s">
        <v>71</v>
      </c>
      <c r="B31" s="16">
        <f>((B27*0.00314)*0.55)*'Технический лист'!$I$14*2.2</f>
        <v>283.68853333333334</v>
      </c>
      <c r="C31" s="16">
        <f>((C27*0.00314)*0.55)*'Технический лист'!$I$14*2.2</f>
        <v>312.0573866666667</v>
      </c>
      <c r="D31" s="16">
        <f>((D27*0.00314)*0.55)*'Технический лист'!$I$14*2.2</f>
        <v>326.24181333333337</v>
      </c>
      <c r="E31" s="16">
        <f>((E27*0.00314)*0.55)*'Технический лист'!$I$14*2.2</f>
        <v>340.42624000000006</v>
      </c>
      <c r="F31" s="16">
        <f>((F27*0.00314)*0.55)*'Технический лист'!$I$14*2.2</f>
        <v>354.61066666666676</v>
      </c>
      <c r="G31" s="16">
        <f>((G27*0.00314)*0.55)*'Технический лист'!$I$14*2.2</f>
        <v>368.79509333333334</v>
      </c>
      <c r="H31" s="16">
        <f>((H27*0.00314)*0.55)*'Технический лист'!$I$14*2.2</f>
        <v>397.1639466666667</v>
      </c>
      <c r="I31" s="16">
        <f>((I27*0.00314)*0.55)*'Технический лист'!$I$14*2.2</f>
        <v>425.5328</v>
      </c>
      <c r="J31" s="16">
        <f>((J27*0.00314)*0.55)*'Технический лист'!$I$14*2.2</f>
        <v>453.90165333333334</v>
      </c>
      <c r="K31" s="16">
        <f>((K27*0.00314)*0.55)*'Технический лист'!$I$14*2.2</f>
        <v>510.63936000000007</v>
      </c>
      <c r="L31" s="16">
        <f>((L27*0.00314)*0.55)*'Технический лист'!$I$14*2.2</f>
        <v>567.3770666666667</v>
      </c>
      <c r="M31" s="16">
        <f>((M27*0.00314)*0.55)*'Технический лист'!$I$14*2.2</f>
        <v>624.1147733333333</v>
      </c>
      <c r="N31" s="16">
        <f>((N27*0.00314)*0.55)*'Технический лист'!$I$14*2.2</f>
        <v>709.2213333333335</v>
      </c>
      <c r="O31" s="16">
        <f>((O27*0.00314)*0.55)*'Технический лист'!$I$14*2.2</f>
        <v>737.5901866666667</v>
      </c>
      <c r="P31" s="16">
        <f>((P27*0.00314)*0.55)*'Технический лист'!$I$14*2.2</f>
        <v>765.9590400000001</v>
      </c>
      <c r="Q31" s="16">
        <f>((Q27*0.00314)*0.55)*'Технический лист'!$I$14*2.2</f>
        <v>794.3278933333333</v>
      </c>
      <c r="R31" s="16">
        <f>((R27*0.00314)*0.55)*'Технический лист'!$I$14*2.2</f>
        <v>822.6967466666666</v>
      </c>
      <c r="S31" s="16">
        <f>((S27*0.00314)*0.55)*'Технический лист'!$I$14*2.2</f>
        <v>851.0656</v>
      </c>
      <c r="T31" s="16">
        <f>((T27*0.00314)*0.55)*'Технический лист'!$I$14*2.2</f>
        <v>879.4344533333334</v>
      </c>
      <c r="U31" s="16">
        <f>((U27*0.00314)*0.55)*'Технический лист'!$I$14*2.2</f>
        <v>907.8033066666667</v>
      </c>
      <c r="V31" s="16">
        <f>((V27*0.00314)*0.55)*'Технический лист'!$I$14*2.2</f>
        <v>936.1721600000001</v>
      </c>
      <c r="W31" s="16">
        <f>((W27*0.00314)*0.55)*'Технический лист'!$I$14*2.2</f>
        <v>964.5410133333336</v>
      </c>
      <c r="X31" s="16">
        <f>((X27*0.00314)*0.55)*'Технический лист'!$I$14*2.2</f>
        <v>992.9098666666669</v>
      </c>
    </row>
    <row r="32" spans="1:24" ht="15">
      <c r="A32" s="4" t="s">
        <v>72</v>
      </c>
      <c r="B32" s="9">
        <f>(B31*2)/3</f>
        <v>189.1256888888889</v>
      </c>
      <c r="C32" s="9">
        <f aca="true" t="shared" si="8" ref="C32:N32">(C31*2)/3</f>
        <v>208.03825777777777</v>
      </c>
      <c r="D32" s="9">
        <f t="shared" si="8"/>
        <v>217.49454222222224</v>
      </c>
      <c r="E32" s="9">
        <f t="shared" si="8"/>
        <v>226.9508266666667</v>
      </c>
      <c r="F32" s="9">
        <f t="shared" si="8"/>
        <v>236.40711111111116</v>
      </c>
      <c r="G32" s="9">
        <f t="shared" si="8"/>
        <v>245.86339555555557</v>
      </c>
      <c r="H32" s="9">
        <f t="shared" si="8"/>
        <v>264.77596444444447</v>
      </c>
      <c r="I32" s="9">
        <f t="shared" si="8"/>
        <v>283.68853333333334</v>
      </c>
      <c r="J32" s="9">
        <f t="shared" si="8"/>
        <v>302.6011022222222</v>
      </c>
      <c r="K32" s="9">
        <f t="shared" si="8"/>
        <v>340.42624000000006</v>
      </c>
      <c r="L32" s="9">
        <f t="shared" si="8"/>
        <v>378.2513777777778</v>
      </c>
      <c r="M32" s="9">
        <f t="shared" si="8"/>
        <v>416.07651555555555</v>
      </c>
      <c r="N32" s="9">
        <f t="shared" si="8"/>
        <v>472.8142222222223</v>
      </c>
      <c r="O32" s="9">
        <f aca="true" t="shared" si="9" ref="O32:X32">(O31*2)/3</f>
        <v>491.72679111111114</v>
      </c>
      <c r="P32" s="9">
        <f t="shared" si="9"/>
        <v>510.63936000000007</v>
      </c>
      <c r="Q32" s="9">
        <f t="shared" si="9"/>
        <v>529.5519288888889</v>
      </c>
      <c r="R32" s="9">
        <f t="shared" si="9"/>
        <v>548.4644977777778</v>
      </c>
      <c r="S32" s="9">
        <f t="shared" si="9"/>
        <v>567.3770666666667</v>
      </c>
      <c r="T32" s="9">
        <f t="shared" si="9"/>
        <v>586.2896355555556</v>
      </c>
      <c r="U32" s="9">
        <f t="shared" si="9"/>
        <v>605.2022044444444</v>
      </c>
      <c r="V32" s="9">
        <f t="shared" si="9"/>
        <v>624.1147733333333</v>
      </c>
      <c r="W32" s="9">
        <f t="shared" si="9"/>
        <v>643.0273422222224</v>
      </c>
      <c r="X32" s="9">
        <f t="shared" si="9"/>
        <v>661.9399111111112</v>
      </c>
    </row>
    <row r="33" spans="1:24" ht="15">
      <c r="A33" s="4" t="s">
        <v>73</v>
      </c>
      <c r="B33" s="17">
        <f>((((B27+30)*(B27+30))/1000000)*'Технический лист'!$E$19)+(B27*0.0006)*'Технический лист'!$M$11*2</f>
        <v>243.69</v>
      </c>
      <c r="C33" s="17">
        <f>((((C27+30)*(C27+30))/1000000)*'Технический лист'!$E$19)+(C27*0.0006)*'Технический лист'!$M$11*2</f>
        <v>270.58399999999995</v>
      </c>
      <c r="D33" s="17">
        <f>((((D27+30)*(D27+30))/1000000)*'Технический лист'!$E$19)+(D27*0.0006)*'Технический лист'!$M$11*2</f>
        <v>284.21849999999995</v>
      </c>
      <c r="E33" s="17">
        <f>((((E27+30)*(E27+30))/1000000)*'Технический лист'!$E$19)+(E27*0.0006)*'Технический лист'!$M$11*2</f>
        <v>297.97799999999995</v>
      </c>
      <c r="F33" s="17">
        <f>((((F27+30)*(F27+30))/1000000)*'Технический лист'!$E$19)+(F27*0.0006)*'Технический лист'!$M$11*2</f>
        <v>311.8625</v>
      </c>
      <c r="G33" s="17">
        <f>((((G27+30)*(G27+30))/1000000)*'Технический лист'!$E$19)+(G27*0.0006)*'Технический лист'!$M$11*2</f>
        <v>325.872</v>
      </c>
      <c r="H33" s="17">
        <f>((((H27+30)*(H27+30))/1000000)*'Технический лист'!$E$19)+(H27*0.0006)*'Технический лист'!$M$11*2</f>
        <v>354.26599999999996</v>
      </c>
      <c r="I33" s="17">
        <f>((((I27+30)*(I27+30))/1000000)*'Технический лист'!$E$19)+(I27*0.0006)*'Технический лист'!$M$11*2</f>
        <v>383.16</v>
      </c>
      <c r="J33" s="17">
        <f>((((J27+30)*(J27+30))/1000000)*'Технический лист'!$E$19)+(J27*0.0006)*'Технический лист'!$M$11*2</f>
        <v>412.554</v>
      </c>
      <c r="K33" s="17">
        <f>((((K27+30)*(K27+30))/1000000)*'Технический лист'!$E$19)+(K27*0.0006)*'Технический лист'!$M$11*2</f>
        <v>472.842</v>
      </c>
      <c r="L33" s="17">
        <f>((((L27+30)*(L27+30))/1000000)*'Технический лист'!$E$19)+(L27*0.0006)*'Технический лист'!$M$11*2</f>
        <v>535.13</v>
      </c>
      <c r="M33" s="17">
        <f>((((M27+30)*(M27+30))/1000000)*'Технический лист'!$E$19)+(M27*0.0006)*'Технический лист'!$M$11*2</f>
        <v>599.4179999999999</v>
      </c>
      <c r="N33" s="17">
        <f>((((N27+30)*(N27+30))/1000000)*'Технический лист'!$E$19)+(N27*0.0006)*'Технический лист'!$M$11*2</f>
        <v>699.6</v>
      </c>
      <c r="O33" s="17">
        <f>((((O27+30)*(O27+30))/1000000)*'Технический лист'!$E$19)+(O27*0.0006)*'Технический лист'!$M$11*2</f>
        <v>733.994</v>
      </c>
      <c r="P33" s="17">
        <f>((((P27+30)*(P27+30))/1000000)*'Технический лист'!$E$19)+(P27*0.0006)*'Технический лист'!$M$11*2</f>
        <v>768.8879999999999</v>
      </c>
      <c r="Q33" s="17">
        <f>((((Q27+30)*(Q27+30))/1000000)*'Технический лист'!$E$19)+(Q27*0.0006)*'Технический лист'!$M$11*2</f>
        <v>804.2819999999999</v>
      </c>
      <c r="R33" s="17">
        <f>((((R27+30)*(R27+30))/1000000)*'Технический лист'!$E$19)+(R27*0.0006)*'Технический лист'!$M$11*2</f>
        <v>840.1759999999999</v>
      </c>
      <c r="S33" s="17">
        <f>((((S27+30)*(S27+30))/1000000)*'Технический лист'!$E$19)+(S27*0.0006)*'Технический лист'!$M$11*2</f>
        <v>876.57</v>
      </c>
      <c r="T33" s="17">
        <f>((((T27+30)*(T27+30))/1000000)*'Технический лист'!$E$19)+(T27*0.0006)*'Технический лист'!$M$11*2</f>
        <v>913.4639999999999</v>
      </c>
      <c r="U33" s="17">
        <f>((((U27+30)*(U27+30))/1000000)*'Технический лист'!$E$19)+(U27*0.0006)*'Технический лист'!$M$11*2</f>
        <v>950.858</v>
      </c>
      <c r="V33" s="17">
        <f>((((V27+30)*(V27+30))/1000000)*'Технический лист'!$E$19)+(V27*0.0006)*'Технический лист'!$M$11*2</f>
        <v>988.752</v>
      </c>
      <c r="W33" s="17">
        <f>((((W27+30)*(W27+30))/1000000)*'Технический лист'!$E$19)+(W27*0.0006)*'Технический лист'!$M$11*2</f>
        <v>1027.146</v>
      </c>
      <c r="X33" s="17">
        <f>((((X27+30)*(X27+30))/1000000)*'Технический лист'!$E$19)+(X27*0.0006)*'Технический лист'!$M$11*2</f>
        <v>1066.04</v>
      </c>
    </row>
    <row r="34" spans="1:24" ht="15">
      <c r="A34" s="4" t="s">
        <v>74</v>
      </c>
      <c r="B34" s="20">
        <f>(((B27*0.00314)*0.35)*'Технический лист'!$O$8)+B33</f>
        <v>568.8227272727272</v>
      </c>
      <c r="C34" s="20">
        <f>(((C27*0.00314)*0.35)*'Технический лист'!$O$8)+C33</f>
        <v>628.2299999999999</v>
      </c>
      <c r="D34" s="20">
        <f>(((D27*0.00314)*0.35)*'Технический лист'!$O$8)+D33</f>
        <v>658.1211363636363</v>
      </c>
      <c r="E34" s="20">
        <f>(((E27*0.00314)*0.35)*'Технический лист'!$O$8)+E33</f>
        <v>688.1372727272726</v>
      </c>
      <c r="F34" s="20">
        <f>(((F27*0.00314)*0.35)*'Технический лист'!$O$8)+F33</f>
        <v>718.278409090909</v>
      </c>
      <c r="G34" s="20">
        <f>(((G27*0.00314)*0.35)*'Технический лист'!$O$8)+G33</f>
        <v>748.5445454545454</v>
      </c>
      <c r="H34" s="9">
        <f>(((H27*0.00314)*0.35)*'Технический лист'!$O$8)+H33</f>
        <v>809.4518181818181</v>
      </c>
      <c r="I34" s="9">
        <f>(((I27*0.00314)*0.35)*'Технический лист'!$O$8)+I33</f>
        <v>870.8590909090908</v>
      </c>
      <c r="J34" s="9">
        <f>(((J27*0.00314)*0.35)*'Технический лист'!$O$8)+J33</f>
        <v>932.7663636363635</v>
      </c>
      <c r="K34" s="9">
        <f>(((K27*0.00314)*0.35)*'Технический лист'!$O$8)+K33</f>
        <v>1058.080909090909</v>
      </c>
      <c r="L34" s="9">
        <f>(((L27*0.00314)*0.35)*'Технический лист'!$O$8)+L33</f>
        <v>1185.3954545454544</v>
      </c>
      <c r="M34" s="9">
        <f>(((M27*0.00314)*0.35)*'Технический лист'!$O$8)+M33</f>
        <v>1314.7099999999998</v>
      </c>
      <c r="N34" s="9">
        <f>(((N27*0.00314)*0.35)*'Технический лист'!$O$8)+N33</f>
        <v>1512.431818181818</v>
      </c>
      <c r="O34" s="9">
        <f>(((O27*0.00314)*0.35)*'Технический лист'!$O$8)+O33</f>
        <v>1579.3390909090908</v>
      </c>
      <c r="P34" s="9">
        <f>(((P27*0.00314)*0.35)*'Технический лист'!$O$8)+P33</f>
        <v>1646.7463636363636</v>
      </c>
      <c r="Q34" s="9">
        <f>(((Q27*0.00314)*0.35)*'Технический лист'!$O$8)+Q33</f>
        <v>1714.6536363636362</v>
      </c>
      <c r="R34" s="9">
        <f>(((R27*0.00314)*0.35)*'Технический лист'!$O$8)+R33</f>
        <v>1783.0609090909088</v>
      </c>
      <c r="S34" s="9">
        <f>(((S27*0.00314)*0.35)*'Технический лист'!$O$8)+S33</f>
        <v>1851.9681818181816</v>
      </c>
      <c r="T34" s="9">
        <f>(((T27*0.00314)*0.35)*'Технический лист'!$O$8)+T33</f>
        <v>1921.3754545454544</v>
      </c>
      <c r="U34" s="9">
        <f>(((U27*0.00314)*0.35)*'Технический лист'!$O$8)+U33</f>
        <v>1991.282727272727</v>
      </c>
      <c r="V34" s="9">
        <f>(((V27*0.00314)*0.35)*'Технический лист'!$O$8)+V33</f>
        <v>2061.6899999999996</v>
      </c>
      <c r="W34" s="9">
        <f>(((W27*0.00314)*0.35)*'Технический лист'!$O$8)+W33</f>
        <v>2132.597272727273</v>
      </c>
      <c r="X34" s="9">
        <f>(((X27*0.00314)*0.35)*'Технический лист'!$O$8)+X33</f>
        <v>2204.004545454545</v>
      </c>
    </row>
    <row r="35" spans="1:24" ht="15" hidden="1">
      <c r="A35" s="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>
      <c r="A36" s="4" t="s">
        <v>99</v>
      </c>
      <c r="B36" s="16">
        <v>267</v>
      </c>
      <c r="C36" s="16">
        <v>297</v>
      </c>
      <c r="D36" s="16">
        <v>314</v>
      </c>
      <c r="E36" s="16">
        <v>330</v>
      </c>
      <c r="F36" s="16">
        <v>346</v>
      </c>
      <c r="G36" s="16">
        <v>363</v>
      </c>
      <c r="H36" s="16">
        <v>396</v>
      </c>
      <c r="I36" s="16">
        <v>430</v>
      </c>
      <c r="J36" s="16">
        <v>468</v>
      </c>
      <c r="K36" s="16">
        <v>543</v>
      </c>
      <c r="L36" s="16">
        <v>620</v>
      </c>
      <c r="M36" s="16">
        <v>703</v>
      </c>
      <c r="N36" s="16">
        <v>832</v>
      </c>
      <c r="O36" s="16">
        <v>875</v>
      </c>
      <c r="P36" s="16">
        <v>920</v>
      </c>
      <c r="Q36" s="16">
        <v>966</v>
      </c>
      <c r="R36" s="16">
        <v>1015</v>
      </c>
      <c r="S36" s="16">
        <v>1063</v>
      </c>
      <c r="T36" s="16">
        <v>1114</v>
      </c>
      <c r="U36" s="16">
        <v>1162</v>
      </c>
      <c r="V36" s="16">
        <v>1211</v>
      </c>
      <c r="W36" s="16">
        <v>1265</v>
      </c>
      <c r="X36" s="16">
        <v>1317</v>
      </c>
    </row>
    <row r="37" spans="1:24" ht="15">
      <c r="A37" s="4" t="s">
        <v>103</v>
      </c>
      <c r="B37" s="16">
        <v>221</v>
      </c>
      <c r="C37" s="16">
        <v>248</v>
      </c>
      <c r="D37" s="16">
        <v>261</v>
      </c>
      <c r="E37" s="16">
        <v>275</v>
      </c>
      <c r="F37" s="16">
        <v>288</v>
      </c>
      <c r="G37" s="16">
        <v>303</v>
      </c>
      <c r="H37" s="16">
        <v>330</v>
      </c>
      <c r="I37" s="16">
        <v>359</v>
      </c>
      <c r="J37" s="16">
        <v>390</v>
      </c>
      <c r="K37" s="16">
        <v>452</v>
      </c>
      <c r="L37" s="16">
        <v>517</v>
      </c>
      <c r="M37" s="16">
        <v>582</v>
      </c>
      <c r="N37" s="16">
        <v>693</v>
      </c>
      <c r="O37" s="16">
        <v>730</v>
      </c>
      <c r="P37" s="16">
        <v>768</v>
      </c>
      <c r="Q37" s="16">
        <v>805</v>
      </c>
      <c r="R37" s="16">
        <v>845</v>
      </c>
      <c r="S37" s="16">
        <v>886</v>
      </c>
      <c r="T37" s="16">
        <v>928</v>
      </c>
      <c r="U37" s="16">
        <v>968</v>
      </c>
      <c r="V37" s="16">
        <v>1010</v>
      </c>
      <c r="W37" s="16">
        <v>1054</v>
      </c>
      <c r="X37" s="16">
        <v>1098</v>
      </c>
    </row>
    <row r="38" spans="1:24" ht="15">
      <c r="A38" s="4" t="s">
        <v>75</v>
      </c>
      <c r="B38" s="9">
        <f>(((B27*0.00314)*((B27+500)/1000)*'Технический лист'!$K$14))*2.78</f>
        <v>391.06815999999986</v>
      </c>
      <c r="C38" s="9">
        <f>(((C27*0.00314)*((C27+500)/1000)*'Технический лист'!$K$14))*2.78</f>
        <v>437.3445589333333</v>
      </c>
      <c r="D38" s="9">
        <f>(((D27*0.00314)*((D27+500)/1000)*'Технический лист'!$K$14))*2.78</f>
        <v>460.97159359999995</v>
      </c>
      <c r="E38" s="9">
        <f>(((E27*0.00314)*((E27+500)/1000)*'Технический лист'!$K$14))*2.78</f>
        <v>484.92451839999995</v>
      </c>
      <c r="F38" s="9">
        <f>(((F27*0.00314)*((F27+500)/1000)*'Технический лист'!$K$14))*2.78</f>
        <v>509.20333333333326</v>
      </c>
      <c r="G38" s="9">
        <f>(((G27*0.00314)*((G27+500)/1000)*'Технический лист'!$K$14))*2.78</f>
        <v>533.8080384</v>
      </c>
      <c r="H38" s="9">
        <f>(((H27*0.00314)*((H27+500)/1000)*'Технический лист'!$K$14))*2.78</f>
        <v>583.9951189333332</v>
      </c>
      <c r="I38" s="9">
        <f>(((I27*0.00314)*((I27+500)/1000)*'Технический лист'!$K$14))*2.78</f>
        <v>635.4857599999999</v>
      </c>
      <c r="J38" s="9">
        <f>(((J27*0.00314)*((J27+500)/1000)*'Технический лист'!$K$14))*2.78</f>
        <v>688.2799615999999</v>
      </c>
      <c r="K38" s="9">
        <f>(((K27*0.00314)*((K27+500)/1000)*'Технический лист'!$K$14))*2.78</f>
        <v>797.7790464</v>
      </c>
      <c r="L38" s="9">
        <f>(((L27*0.00314)*((L27+500)/1000)*'Технический лист'!$K$14))*2.78</f>
        <v>912.4923733333333</v>
      </c>
      <c r="M38" s="9">
        <f>(((M27*0.00314)*((M27+500)/1000)*'Технический лист'!$K$14))*2.78</f>
        <v>1032.4199423999999</v>
      </c>
      <c r="N38" s="9">
        <f>(((N27*0.00314)*((N27+500)/1000)*'Технический лист'!$K$14))*2.78</f>
        <v>1222.0879999999997</v>
      </c>
      <c r="O38" s="9">
        <f>(((O27*0.00314)*((O27+500)/1000)*'Технический лист'!$K$14))*2.78</f>
        <v>1287.9178069333332</v>
      </c>
      <c r="P38" s="9">
        <f>(((P27*0.00314)*((P27+500)/1000)*'Технический лист'!$K$14))*2.78</f>
        <v>1355.0511743999998</v>
      </c>
      <c r="Q38" s="9">
        <f>(((Q27*0.00314)*((Q27+500)/1000)*'Технический лист'!$K$14))*2.78</f>
        <v>1423.4881024</v>
      </c>
      <c r="R38" s="9">
        <f>(((R27*0.00314)*((R27+500)/1000)*'Технический лист'!$K$14))*2.78</f>
        <v>1493.2285909333332</v>
      </c>
      <c r="S38" s="9">
        <f>(((S27*0.00314)*((S27+500)/1000)*'Технический лист'!$K$14))*2.78</f>
        <v>1564.27264</v>
      </c>
      <c r="T38" s="9">
        <f>(((T27*0.00314)*((T27+500)/1000)*'Технический лист'!$K$14))*2.78</f>
        <v>1636.6202496</v>
      </c>
      <c r="U38" s="9">
        <f>(((U27*0.00314)*((U27+500)/1000)*'Технический лист'!$K$14))*2.78</f>
        <v>1710.271419733333</v>
      </c>
      <c r="V38" s="9">
        <f>(((V27*0.00314)*((V27+500)/1000)*'Технический лист'!$K$14))*2.78</f>
        <v>1785.2261503999996</v>
      </c>
      <c r="W38" s="9">
        <f>(((W27*0.00314)*((W27+500)/1000)*'Технический лист'!$K$14))*2.78</f>
        <v>1861.4844415999999</v>
      </c>
      <c r="X38" s="9">
        <f>(((X27*0.00314)*((X27+500)/1000)*'Технический лист'!$K$14))*2.78</f>
        <v>1939.046293333333</v>
      </c>
    </row>
    <row r="39" spans="1:24" ht="15" hidden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>
      <c r="A40" s="4" t="s">
        <v>105</v>
      </c>
      <c r="B40" s="9">
        <f>(((B27*0.00314)*0.16)*'Технический лист'!$M$14)+((((B27+100)/1000)*((B27+100)/1000))*3)*'Технический лист'!$M$14*2.3</f>
        <v>569.8325333333335</v>
      </c>
      <c r="C40" s="9">
        <f>(((C27*0.00314)*0.16)*'Технический лист'!$M$14)+((((C27+100)/1000)*((C27+100)/1000))*3)*'Технический лист'!$M$14*2.3</f>
        <v>628.0209866666665</v>
      </c>
      <c r="D40" s="9">
        <f>(((D27*0.00314)*0.16)*'Технический лист'!$M$14)+((((D27+100)/1000)*((D27+100)/1000))*3)*'Технический лист'!$M$14*2.3</f>
        <v>658.0191133333333</v>
      </c>
      <c r="E40" s="9">
        <f>(((E27*0.00314)*0.16)*'Технический лист'!$M$14)+((((E27+100)/1000)*((E27+100)/1000))*3)*'Технический лист'!$M$14*2.3</f>
        <v>688.61984</v>
      </c>
      <c r="F40" s="9">
        <f>(((F27*0.00314)*0.16)*'Технический лист'!$M$14)+((((F27+100)/1000)*((F27+100)/1000))*3)*'Технический лист'!$M$14*2.3</f>
        <v>719.8231666666668</v>
      </c>
      <c r="G40" s="9">
        <f>(((G27*0.00314)*0.16)*'Технический лист'!$M$14)+((((G27+100)/1000)*((G27+100)/1000))*3)*'Технический лист'!$M$14*2.3</f>
        <v>751.6290933333333</v>
      </c>
      <c r="H40" s="9">
        <f>(((H27*0.00314)*0.16)*'Технический лист'!$M$14)+((((H27+100)/1000)*((H27+100)/1000))*3)*'Технический лист'!$M$14*2.3</f>
        <v>817.0487466666666</v>
      </c>
      <c r="I40" s="9">
        <f>(((I27*0.00314)*0.16)*'Технический лист'!$M$14)+((((I27+100)/1000)*((I27+100)/1000))*3)*'Технический лист'!$M$14*2.3</f>
        <v>884.8788</v>
      </c>
      <c r="J40" s="9">
        <f>(((J27*0.00314)*0.16)*'Технический лист'!$M$14)+((((J27+100)/1000)*((J27+100)/1000))*3)*'Технический лист'!$M$14*2.3</f>
        <v>955.1192533333335</v>
      </c>
      <c r="K40" s="9">
        <f>(((K27*0.00314)*0.16)*'Технический лист'!$M$14)+((((K27+100)/1000)*((K27+100)/1000))*3)*'Технический лист'!$M$14*2.3</f>
        <v>1102.8313600000001</v>
      </c>
      <c r="L40" s="9">
        <f>(((L27*0.00314)*0.16)*'Технический лист'!$M$14)+((((L27+100)/1000)*((L27+100)/1000))*3)*'Технический лист'!$M$14*2.3</f>
        <v>1260.1850666666667</v>
      </c>
      <c r="M40" s="9">
        <f>(((M27*0.00314)*0.16)*'Технический лист'!$M$14)+((((M27+100)/1000)*((M27+100)/1000))*3)*'Технический лист'!$M$14*2.3</f>
        <v>1427.1803733333334</v>
      </c>
      <c r="N40" s="9">
        <f>(((N27*0.00314)*0.16)*'Технический лист'!$M$14)+((((N27+100)/1000)*((N27+100)/1000))*3)*'Технический лист'!$M$14*2.3</f>
        <v>1695.7513333333332</v>
      </c>
      <c r="O40" s="9">
        <f>(((O27*0.00314)*0.16)*'Технический лист'!$M$14)+((((O27+100)/1000)*((O27+100)/1000))*3)*'Технический лист'!$M$14*2.3</f>
        <v>1790.0957866666668</v>
      </c>
      <c r="P40" s="9">
        <f>(((P27*0.00314)*0.16)*'Технический лист'!$M$14)+((((P27+100)/1000)*((P27+100)/1000))*3)*'Технический лист'!$M$14*2.3</f>
        <v>1886.8506399999999</v>
      </c>
      <c r="Q40" s="9">
        <f>(((Q27*0.00314)*0.16)*'Технический лист'!$M$14)+((((Q27+100)/1000)*((Q27+100)/1000))*3)*'Технический лист'!$M$14*2.3</f>
        <v>1986.0158933333332</v>
      </c>
      <c r="R40" s="9">
        <f>(((R27*0.00314)*0.16)*'Технический лист'!$M$14)+((((R27+100)/1000)*((R27+100)/1000))*3)*'Технический лист'!$M$14*2.3</f>
        <v>2087.5915466666665</v>
      </c>
      <c r="S40" s="9">
        <f>(((S27*0.00314)*0.16)*'Технический лист'!$M$14)+((((S27+100)/1000)*((S27+100)/1000))*3)*'Технический лист'!$M$14*2.3</f>
        <v>2191.5776000000005</v>
      </c>
      <c r="T40" s="9">
        <f>(((T27*0.00314)*0.16)*'Технический лист'!$M$14)+((((T27+100)/1000)*((T27+100)/1000))*3)*'Технический лист'!$M$14*2.3</f>
        <v>2297.9740533333334</v>
      </c>
      <c r="U40" s="9">
        <f>(((U27*0.00314)*0.16)*'Технический лист'!$M$14)+((((U27+100)/1000)*((U27+100)/1000))*3)*'Технический лист'!$M$14*2.3</f>
        <v>2406.7809066666664</v>
      </c>
      <c r="V40" s="9">
        <f>(((V27*0.00314)*0.16)*'Технический лист'!$M$14)+((((V27+100)/1000)*((V27+100)/1000))*3)*'Технический лист'!$M$14*2.3</f>
        <v>2517.9981599999996</v>
      </c>
      <c r="W40" s="9">
        <f>(((W27*0.00314)*0.16)*'Технический лист'!$M$14)+((((W27+100)/1000)*((W27+100)/1000))*3)*'Технический лист'!$M$14*2.3</f>
        <v>2631.625813333333</v>
      </c>
      <c r="X40" s="9">
        <f>(((X27*0.00314)*0.16)*'Технический лист'!$M$14)+((((X27+100)/1000)*((X27+100)/1000))*3)*'Технический лист'!$M$14*2.3</f>
        <v>2747.6638666666668</v>
      </c>
    </row>
    <row r="41" spans="1:24" ht="15">
      <c r="A41" s="4" t="s">
        <v>100</v>
      </c>
      <c r="B41" s="9">
        <v>515</v>
      </c>
      <c r="C41" s="9">
        <v>515</v>
      </c>
      <c r="D41" s="9">
        <v>515</v>
      </c>
      <c r="E41" s="9">
        <v>515</v>
      </c>
      <c r="F41" s="9">
        <v>515</v>
      </c>
      <c r="G41" s="9">
        <v>515</v>
      </c>
      <c r="H41" s="9">
        <v>515</v>
      </c>
      <c r="I41" s="9">
        <v>515</v>
      </c>
      <c r="J41" s="9">
        <v>515</v>
      </c>
      <c r="K41" s="9">
        <v>515</v>
      </c>
      <c r="L41" s="9">
        <v>515</v>
      </c>
      <c r="M41" s="9">
        <v>515</v>
      </c>
      <c r="N41" s="9">
        <v>515</v>
      </c>
      <c r="O41" s="9">
        <v>515</v>
      </c>
      <c r="P41" s="9">
        <v>515</v>
      </c>
      <c r="Q41" s="9">
        <v>515</v>
      </c>
      <c r="R41" s="9">
        <v>515</v>
      </c>
      <c r="S41" s="9">
        <v>515</v>
      </c>
      <c r="T41" s="9">
        <v>515</v>
      </c>
      <c r="U41" s="9">
        <v>515</v>
      </c>
      <c r="V41" s="9">
        <v>515</v>
      </c>
      <c r="W41" s="9">
        <v>515</v>
      </c>
      <c r="X41" s="9">
        <v>515</v>
      </c>
    </row>
    <row r="42" spans="1:24" ht="15">
      <c r="A42" s="4" t="s">
        <v>101</v>
      </c>
      <c r="B42" s="9">
        <v>575</v>
      </c>
      <c r="C42" s="9">
        <v>575</v>
      </c>
      <c r="D42" s="9">
        <v>575</v>
      </c>
      <c r="E42" s="9">
        <v>575</v>
      </c>
      <c r="F42" s="9">
        <v>575</v>
      </c>
      <c r="G42" s="9">
        <v>575</v>
      </c>
      <c r="H42" s="9">
        <v>575</v>
      </c>
      <c r="I42" s="9">
        <v>575</v>
      </c>
      <c r="J42" s="9">
        <v>575</v>
      </c>
      <c r="K42" s="9">
        <v>575</v>
      </c>
      <c r="L42" s="9">
        <v>575</v>
      </c>
      <c r="M42" s="9">
        <v>575</v>
      </c>
      <c r="N42" s="9">
        <v>575</v>
      </c>
      <c r="O42" s="9">
        <v>575</v>
      </c>
      <c r="P42" s="9">
        <v>575</v>
      </c>
      <c r="Q42" s="9">
        <v>575</v>
      </c>
      <c r="R42" s="9">
        <v>575</v>
      </c>
      <c r="S42" s="9">
        <v>575</v>
      </c>
      <c r="T42" s="9">
        <v>575</v>
      </c>
      <c r="U42" s="9">
        <v>575</v>
      </c>
      <c r="V42" s="9">
        <v>575</v>
      </c>
      <c r="W42" s="9">
        <v>575</v>
      </c>
      <c r="X42" s="9">
        <v>575</v>
      </c>
    </row>
  </sheetData>
  <mergeCells count="8">
    <mergeCell ref="P5:AD5"/>
    <mergeCell ref="O26:AB26"/>
    <mergeCell ref="A26:N26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M30" sqref="M30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лист'!$G$3)+310+((B7*0.00314)*'Технический лист'!$G$11))*1.5</f>
        <v>1224.8329</v>
      </c>
      <c r="C8" s="16">
        <f>(((C6*0.00314)*'Технический лист'!$G$3)+310+((C7*0.00314)*'Технический лист'!$G$11))*1.5</f>
        <v>1289.1558</v>
      </c>
      <c r="D8" s="16">
        <f>(((D6*0.00314)*'Технический лист'!$G$3)+310+((D7*0.00314)*'Технический лист'!$G$11))*1.5</f>
        <v>1321.31725</v>
      </c>
      <c r="E8" s="16">
        <f>(((E6*0.00314)*'Технический лист'!$G$3)+310+((E7*0.00314)*'Технический лист'!$G$11))*1.5</f>
        <v>1353.4787</v>
      </c>
      <c r="F8" s="16">
        <f>(((F6*0.00314)*'Технический лист'!$G$3)+310+((F7*0.00314)*'Технический лист'!$G$11))*1.5</f>
        <v>1385.64015</v>
      </c>
      <c r="G8" s="16">
        <f>(((G6*0.00314)*'Технический лист'!$G$3)+310+((G7*0.00314)*'Технический лист'!$G$11))*1.5</f>
        <v>1417.8016000000002</v>
      </c>
      <c r="H8" s="16">
        <f>(((H6*0.00314)*'Технический лист'!$G$3)+310+((H7*0.00314)*'Технический лист'!$G$11))*1.5</f>
        <v>1482.1245</v>
      </c>
      <c r="I8" s="16">
        <f>(((I6*0.00314)*'Технический лист'!$G$3)+310+((I7*0.00314)*'Технический лист'!$G$11))*1.5</f>
        <v>1546.4474</v>
      </c>
      <c r="J8" s="16">
        <f>(((J6*0.00314)*'Технический лист'!$G$3)+310+((J7*0.00314)*'Технический лист'!$G$11))*1.5</f>
        <v>1610.7702999999997</v>
      </c>
      <c r="K8" s="16">
        <f>(((K6*0.00314)*'Технический лист'!$G$3)+310+((K7*0.00314)*'Технический лист'!$G$11))*1.5</f>
        <v>1739.4161000000001</v>
      </c>
      <c r="L8" s="16">
        <f>(((L6*0.00314)*'Технический лист'!$G$3)+310+((L7*0.00314)*'Технический лист'!$G$11))*1.5</f>
        <v>1868.0619000000002</v>
      </c>
      <c r="M8" s="16">
        <f>(((M6*0.00314)*'Технический лист'!$G$3)+310+((M7*0.00314)*'Технический лист'!$G$11))*1.5</f>
        <v>1996.7077000000002</v>
      </c>
      <c r="N8" s="16">
        <f>(((N6*0.00314)*'Технический лист'!$G$3)+310+((N7*0.00314)*'Технический лист'!$G$11))*1.5</f>
        <v>2189.6764</v>
      </c>
      <c r="O8" s="16">
        <f>(((O6*0.00314)*'Технический лист'!$G$3)+310+((O7*0.00314)*'Технический лист'!$G$11))*1.5</f>
        <v>2253.9993000000004</v>
      </c>
      <c r="P8" s="16">
        <f>(((P6*0.00314)*'Технический лист'!$G$3)+310+((P7*0.00314)*'Технический лист'!$G$11))*1.5</f>
        <v>2318.3221999999996</v>
      </c>
      <c r="Q8" s="16">
        <f>(((Q6*0.00314)*'Технический лист'!$G$3)+310+((Q7*0.00314)*'Технический лист'!$G$11))*1.5</f>
        <v>2382.6450999999997</v>
      </c>
      <c r="R8" s="16">
        <f>(((R6*0.00314)*'Технический лист'!$G$3)+310+((R7*0.00314)*'Технический лист'!$G$11))*1.5</f>
        <v>2446.968</v>
      </c>
      <c r="S8" s="16">
        <f>(((S6*0.00314)*'Технический лист'!$G$3)+310+((S7*0.00314)*'Технический лист'!$G$11))*1.5</f>
        <v>2511.2909</v>
      </c>
    </row>
    <row r="9" spans="1:19" ht="15">
      <c r="A9" s="4" t="s">
        <v>3</v>
      </c>
      <c r="B9" s="9">
        <f>((B8/2)*1.07)-10</f>
        <v>645.2856015000001</v>
      </c>
      <c r="C9" s="9">
        <f aca="true" t="shared" si="2" ref="C9:N9">((C8/2)*1.07)-10</f>
        <v>679.698353</v>
      </c>
      <c r="D9" s="9">
        <f t="shared" si="2"/>
        <v>696.9047287500001</v>
      </c>
      <c r="E9" s="9">
        <f t="shared" si="2"/>
        <v>714.1111045</v>
      </c>
      <c r="F9" s="9">
        <f t="shared" si="2"/>
        <v>731.31748025</v>
      </c>
      <c r="G9" s="9">
        <f t="shared" si="2"/>
        <v>748.5238560000001</v>
      </c>
      <c r="H9" s="9">
        <f t="shared" si="2"/>
        <v>782.9366075</v>
      </c>
      <c r="I9" s="9">
        <f t="shared" si="2"/>
        <v>817.349359</v>
      </c>
      <c r="J9" s="9">
        <f t="shared" si="2"/>
        <v>851.7621104999998</v>
      </c>
      <c r="K9" s="9">
        <f t="shared" si="2"/>
        <v>920.5876135000001</v>
      </c>
      <c r="L9" s="9">
        <f t="shared" si="2"/>
        <v>989.4131165000001</v>
      </c>
      <c r="M9" s="9">
        <f t="shared" si="2"/>
        <v>1058.2386195000001</v>
      </c>
      <c r="N9" s="9">
        <f t="shared" si="2"/>
        <v>1161.476874</v>
      </c>
      <c r="O9" s="9">
        <f aca="true" t="shared" si="3" ref="O9:S9">((O8/2)*1.07)-10</f>
        <v>1195.8896255000002</v>
      </c>
      <c r="P9" s="9">
        <f t="shared" si="3"/>
        <v>1230.3023769999998</v>
      </c>
      <c r="Q9" s="9">
        <f t="shared" si="3"/>
        <v>1264.7151285</v>
      </c>
      <c r="R9" s="9">
        <f t="shared" si="3"/>
        <v>1299.12788</v>
      </c>
      <c r="S9" s="9">
        <f t="shared" si="3"/>
        <v>1333.5406315</v>
      </c>
    </row>
    <row r="10" spans="1:19" ht="15">
      <c r="A10" s="4" t="s">
        <v>5</v>
      </c>
      <c r="B10" s="16">
        <f>((((B6*0.00314)*0.5)*'Технический лист'!$I$3)+310+(((B7*0.00314)*0.5)*'Технический лист'!$I$11))*1.5</f>
        <v>1132.8152</v>
      </c>
      <c r="C10" s="16">
        <f>((((C6*0.00314)*0.5)*'Технический лист'!$I$3)+310+(((C7*0.00314)*0.5)*'Технический лист'!$I$11))*1.5</f>
        <v>1188.4089</v>
      </c>
      <c r="D10" s="16">
        <f>((((D6*0.00314)*0.5)*'Технический лист'!$I$3)+310+(((D7*0.00314)*0.5)*'Технический лист'!$I$11))*1.5</f>
        <v>1216.2057499999999</v>
      </c>
      <c r="E10" s="16">
        <f>((((E6*0.00314)*0.5)*'Технический лист'!$I$3)+310+(((E7*0.00314)*0.5)*'Технический лист'!$I$11))*1.5</f>
        <v>1244.0026</v>
      </c>
      <c r="F10" s="16">
        <f>((((F6*0.00314)*0.5)*'Технический лист'!$I$3)+310+(((F7*0.00314)*0.5)*'Технический лист'!$I$11))*1.5</f>
        <v>1271.79945</v>
      </c>
      <c r="G10" s="16">
        <f>((((G6*0.00314)*0.5)*'Технический лист'!$I$3)+310+(((G7*0.00314)*0.5)*'Технический лист'!$I$11))*1.5</f>
        <v>1299.5963</v>
      </c>
      <c r="H10" s="16">
        <f>((((H6*0.00314)*0.5)*'Технический лист'!$I$3)+310+(((H7*0.00314)*0.5)*'Технический лист'!$I$11))*1.5</f>
        <v>1355.19</v>
      </c>
      <c r="I10" s="16">
        <f>((((I6*0.00314)*0.5)*'Технический лист'!$I$3)+310+(((I7*0.00314)*0.5)*'Технический лист'!$I$11))*1.5</f>
        <v>1410.7837</v>
      </c>
      <c r="J10" s="16">
        <f>((((J6*0.00314)*0.5)*'Технический лист'!$I$3)+310+(((J7*0.00314)*0.5)*'Технический лист'!$I$11))*1.5</f>
        <v>1466.3773999999999</v>
      </c>
      <c r="K10" s="16">
        <f>((((K6*0.00314)*0.5)*'Технический лист'!$I$3)+310+(((K7*0.00314)*0.5)*'Технический лист'!$I$11))*1.5</f>
        <v>1577.5647999999999</v>
      </c>
      <c r="L10" s="16">
        <f>((((L6*0.00314)*0.5)*'Технический лист'!$I$3)+310+(((L7*0.00314)*0.5)*'Технический лист'!$I$11))*1.5</f>
        <v>1688.7522000000001</v>
      </c>
      <c r="M10" s="16">
        <f>((((M6*0.00314)*0.5)*'Технический лист'!$I$3)+310+(((M7*0.00314)*0.5)*'Технический лист'!$I$11))*1.5</f>
        <v>1799.9396000000002</v>
      </c>
      <c r="N10" s="16">
        <f>((((N6*0.00314)*0.5)*'Технический лист'!$I$3)+310+(((N7*0.00314)*0.5)*'Технический лист'!$I$11))*1.5</f>
        <v>1966.7207</v>
      </c>
      <c r="O10" s="16">
        <f>((((O6*0.00314)*0.5)*'Технический лист'!$I$3)+310+(((O7*0.00314)*0.5)*'Технический лист'!$I$11))*1.5</f>
        <v>2022.3143999999998</v>
      </c>
      <c r="P10" s="16">
        <f>((((P6*0.00314)*0.5)*'Технический лист'!$I$3)+310+(((P7*0.00314)*0.5)*'Технический лист'!$I$11))*1.5</f>
        <v>2077.9081</v>
      </c>
      <c r="Q10" s="16">
        <f>((((Q6*0.00314)*0.5)*'Технический лист'!$I$3)+310+(((Q7*0.00314)*0.5)*'Технический лист'!$I$11))*1.5</f>
        <v>2133.5018</v>
      </c>
      <c r="R10" s="16">
        <f>((((R6*0.00314)*0.5)*'Технический лист'!$I$3)+310+(((R7*0.00314)*0.5)*'Технический лист'!$I$11))*1.5</f>
        <v>2189.0955</v>
      </c>
      <c r="S10" s="16">
        <f>((((S6*0.00314)*0.5)*'Технический лист'!$I$3)+310+(((S7*0.00314)*0.5)*'Технический лист'!$I$11))*1.5</f>
        <v>2244.6892</v>
      </c>
    </row>
    <row r="11" spans="1:19" ht="15">
      <c r="A11" s="4" t="s">
        <v>96</v>
      </c>
      <c r="B11" s="9">
        <f>((B10*2)/3)-7</f>
        <v>748.2101333333334</v>
      </c>
      <c r="C11" s="9">
        <f aca="true" t="shared" si="4" ref="C11:N11">((C10*2)/3)-7</f>
        <v>785.2725999999999</v>
      </c>
      <c r="D11" s="9">
        <f t="shared" si="4"/>
        <v>803.8038333333333</v>
      </c>
      <c r="E11" s="9">
        <f t="shared" si="4"/>
        <v>822.3350666666666</v>
      </c>
      <c r="F11" s="9">
        <f t="shared" si="4"/>
        <v>840.8663</v>
      </c>
      <c r="G11" s="9">
        <f t="shared" si="4"/>
        <v>859.3975333333333</v>
      </c>
      <c r="H11" s="9">
        <f t="shared" si="4"/>
        <v>896.46</v>
      </c>
      <c r="I11" s="9">
        <f t="shared" si="4"/>
        <v>933.5224666666667</v>
      </c>
      <c r="J11" s="9">
        <f t="shared" si="4"/>
        <v>970.5849333333332</v>
      </c>
      <c r="K11" s="9">
        <f t="shared" si="4"/>
        <v>1044.7098666666666</v>
      </c>
      <c r="L11" s="9">
        <f t="shared" si="4"/>
        <v>1118.8348</v>
      </c>
      <c r="M11" s="9">
        <f t="shared" si="4"/>
        <v>1192.9597333333334</v>
      </c>
      <c r="N11" s="9">
        <f t="shared" si="4"/>
        <v>1304.1471333333334</v>
      </c>
      <c r="O11" s="9">
        <f aca="true" t="shared" si="5" ref="O11:S11">((O10*2)/3)-7</f>
        <v>1341.2096</v>
      </c>
      <c r="P11" s="9">
        <f t="shared" si="5"/>
        <v>1378.2720666666667</v>
      </c>
      <c r="Q11" s="9">
        <f t="shared" si="5"/>
        <v>1415.3345333333334</v>
      </c>
      <c r="R11" s="9">
        <f t="shared" si="5"/>
        <v>1452.397</v>
      </c>
      <c r="S11" s="9">
        <f t="shared" si="5"/>
        <v>1489.4594666666665</v>
      </c>
    </row>
    <row r="12" spans="1:19" ht="15">
      <c r="A12" s="4" t="s">
        <v>6</v>
      </c>
      <c r="B12" s="16">
        <f>((((B6*0.00314)*0.22)*'Технический лист'!$M$3)+100+(((B7*0.00314)*0.21)*'Технический лист'!$O$11)+(((B6+30)*(B6+30)/1000000)*'Технический лист'!$E$18))*1.5</f>
        <v>631.340004</v>
      </c>
      <c r="C12" s="16">
        <f>((((C6*0.00314)*0.22)*'Технический лист'!$M$3)+100+(((C7*0.00314)*0.21)*'Технический лист'!$O$11)+(((C6+30)*(C6+30)/1000000)*'Технический лист'!$E$18))*1.5</f>
        <v>676.85364</v>
      </c>
      <c r="D12" s="16">
        <f>((((D6*0.00314)*0.22)*'Технический лист'!$M$3)+100+(((D7*0.00314)*0.21)*'Технический лист'!$O$11)+(((D6+30)*(D6+30)/1000000)*'Технический лист'!$E$18))*1.5</f>
        <v>699.970458</v>
      </c>
      <c r="E12" s="16">
        <f>((((E6*0.00314)*0.22)*'Технический лист'!$M$3)+100+(((E7*0.00314)*0.21)*'Технический лист'!$O$11)+(((E6+30)*(E6+30)/1000000)*'Технический лист'!$E$18))*1.5</f>
        <v>723.3272760000001</v>
      </c>
      <c r="F12" s="16">
        <f>((((F6*0.00314)*0.22)*'Технический лист'!$M$3)+100+(((F7*0.00314)*0.21)*'Технический лист'!$O$11)+(((F6+30)*(F6+30)/1000000)*'Технический лист'!$E$18))*1.5</f>
        <v>746.9240940000001</v>
      </c>
      <c r="G12" s="16">
        <f>((((G6*0.00314)*0.22)*'Технический лист'!$M$3)+100+(((G7*0.00314)*0.21)*'Технический лист'!$O$11)+(((G6+30)*(G6+30)/1000000)*'Технический лист'!$E$18))*1.5</f>
        <v>770.760912</v>
      </c>
      <c r="H12" s="16">
        <f>((((H6*0.00314)*0.22)*'Технический лист'!$M$3)+100+(((H7*0.00314)*0.21)*'Технический лист'!$O$11)+(((H6+30)*(H6+30)/1000000)*'Технический лист'!$E$18))*1.5</f>
        <v>819.154548</v>
      </c>
      <c r="I12" s="16">
        <f>((((I6*0.00314)*0.22)*'Технический лист'!$M$3)+100+(((I7*0.00314)*0.21)*'Технический лист'!$O$11)+(((I6+30)*(I6+30)/1000000)*'Технический лист'!$E$18))*1.5</f>
        <v>868.5081839999998</v>
      </c>
      <c r="J12" s="16">
        <f>((((J6*0.00314)*0.22)*'Технический лист'!$M$3)+100+(((J7*0.00314)*0.21)*'Технический лист'!$O$11)+(((J6+30)*(J6+30)/1000000)*'Технический лист'!$E$18))*1.5</f>
        <v>918.8218199999999</v>
      </c>
      <c r="K12" s="16">
        <f>((((K6*0.00314)*0.22)*'Технический лист'!$M$3)+100+(((K7*0.00314)*0.21)*'Технический лист'!$O$11)+(((K6+30)*(K6+30)/1000000)*'Технический лист'!$E$18))*1.5</f>
        <v>1022.329092</v>
      </c>
      <c r="L12" s="16">
        <f>((((L6*0.00314)*0.22)*'Технический лист'!$M$3)+100+(((L7*0.00314)*0.21)*'Технический лист'!$O$11)+(((L6+30)*(L6+30)/1000000)*'Технический лист'!$E$18))*1.5</f>
        <v>1129.676364</v>
      </c>
      <c r="M12" s="16">
        <f>((((M6*0.00314)*0.22)*'Технический лист'!$M$3)+100+(((M7*0.00314)*0.21)*'Технический лист'!$O$11)+(((M6+30)*(M6+30)/1000000)*'Технический лист'!$E$18))*1.5</f>
        <v>1240.863636</v>
      </c>
      <c r="N12" s="16">
        <f>((((N6*0.00314)*0.22)*'Технический лист'!$M$3)+100+(((N7*0.00314)*0.21)*'Технический лист'!$O$11)+(((N6+30)*(N6+30)/1000000)*'Технический лист'!$E$18))*1.5</f>
        <v>1414.844544</v>
      </c>
      <c r="O12" s="16">
        <f>((((O6*0.00314)*0.22)*'Технический лист'!$M$3)+100+(((O7*0.00314)*0.21)*'Технический лист'!$O$11)+(((O6+30)*(O6+30)/1000000)*'Технический лист'!$E$18))*1.5</f>
        <v>1474.75818</v>
      </c>
      <c r="P12" s="16">
        <f>((((P6*0.00314)*0.22)*'Технический лист'!$M$3)+100+(((P7*0.00314)*0.21)*'Технический лист'!$O$11)+(((P6+30)*(P6+30)/1000000)*'Технический лист'!$E$18))*1.5</f>
        <v>1535.631816</v>
      </c>
      <c r="Q12" s="16">
        <f>((((Q6*0.00314)*0.22)*'Технический лист'!$M$3)+100+(((Q7*0.00314)*0.21)*'Технический лист'!$O$11)+(((Q6+30)*(Q6+30)/1000000)*'Технический лист'!$E$18))*1.5</f>
        <v>1597.465452</v>
      </c>
      <c r="R12" s="16">
        <f>((((R6*0.00314)*0.22)*'Технический лист'!$M$3)+100+(((R7*0.00314)*0.21)*'Технический лист'!$O$11)+(((R6+30)*(R6+30)/1000000)*'Технический лист'!$E$18))*1.5</f>
        <v>1660.2590880000002</v>
      </c>
      <c r="S12" s="16">
        <f>((((S6*0.00314)*0.22)*'Технический лист'!$M$3)+100+(((S7*0.00314)*0.21)*'Технический лист'!$O$11)+(((S6+30)*(S6+30)/1000000)*'Технический лист'!$E$18))*1.5</f>
        <v>1724.0127239999997</v>
      </c>
    </row>
    <row r="13" spans="1:19" ht="15">
      <c r="A13" s="4" t="s">
        <v>7</v>
      </c>
      <c r="B13" s="9">
        <f>(B12*2.2)+24</f>
        <v>1412.9480088000003</v>
      </c>
      <c r="C13" s="9">
        <f aca="true" t="shared" si="6" ref="C13:N13">(C12*2.2)+24</f>
        <v>1513.0780080000002</v>
      </c>
      <c r="D13" s="9">
        <f t="shared" si="6"/>
        <v>1563.9350076</v>
      </c>
      <c r="E13" s="9">
        <f t="shared" si="6"/>
        <v>1615.3200072000004</v>
      </c>
      <c r="F13" s="9">
        <f t="shared" si="6"/>
        <v>1667.2330068000003</v>
      </c>
      <c r="G13" s="9">
        <f t="shared" si="6"/>
        <v>1719.6740064</v>
      </c>
      <c r="H13" s="9">
        <f t="shared" si="6"/>
        <v>1826.1400056</v>
      </c>
      <c r="I13" s="9">
        <f t="shared" si="6"/>
        <v>1934.7180047999998</v>
      </c>
      <c r="J13" s="9">
        <f t="shared" si="6"/>
        <v>2045.408004</v>
      </c>
      <c r="K13" s="9">
        <f t="shared" si="6"/>
        <v>2273.1240024</v>
      </c>
      <c r="L13" s="9">
        <f t="shared" si="6"/>
        <v>2509.2880008</v>
      </c>
      <c r="M13" s="9">
        <f t="shared" si="6"/>
        <v>2753.8999992000004</v>
      </c>
      <c r="N13" s="9">
        <f t="shared" si="6"/>
        <v>3136.6579968000005</v>
      </c>
      <c r="O13" s="9">
        <f aca="true" t="shared" si="7" ref="O13:S13">(O12*2.2)+24</f>
        <v>3268.4679960000003</v>
      </c>
      <c r="P13" s="9">
        <f t="shared" si="7"/>
        <v>3402.3899952000006</v>
      </c>
      <c r="Q13" s="9">
        <f t="shared" si="7"/>
        <v>3538.4239944</v>
      </c>
      <c r="R13" s="9">
        <f t="shared" si="7"/>
        <v>3676.569993600001</v>
      </c>
      <c r="S13" s="9">
        <f t="shared" si="7"/>
        <v>3816.8279927999997</v>
      </c>
    </row>
    <row r="14" spans="1:19" ht="15">
      <c r="A14" s="4" t="s">
        <v>8</v>
      </c>
      <c r="B14" s="16">
        <f>((((B6*0.00314)*0.2)*'Технический лист'!$M$3)+50+(((B7*0.00314)*0.22)*'Технический лист'!$O$11))*1.5</f>
        <v>463.96184800000003</v>
      </c>
      <c r="C14" s="16">
        <f>((((C6*0.00314)*0.2)*'Технический лист'!$M$3)+50+(((C7*0.00314)*0.22)*'Технический лист'!$O$11))*1.5</f>
        <v>495.034032</v>
      </c>
      <c r="D14" s="16">
        <f>((((D6*0.00314)*0.2)*'Технический лист'!$M$3)+50+(((D7*0.00314)*0.22)*'Технический лист'!$O$11))*1.5</f>
        <v>510.570124</v>
      </c>
      <c r="E14" s="16">
        <f>((((E6*0.00314)*0.2)*'Технический лист'!$M$3)+50+(((E7*0.00314)*0.22)*'Технический лист'!$O$11))*1.5</f>
        <v>526.106216</v>
      </c>
      <c r="F14" s="16">
        <f>((((F6*0.00314)*0.2)*'Технический лист'!$M$3)+50+(((F7*0.00314)*0.22)*'Технический лист'!$O$11))*1.5</f>
        <v>541.642308</v>
      </c>
      <c r="G14" s="16">
        <f>((((G6*0.00314)*0.2)*'Технический лист'!$M$3)+50+(((G7*0.00314)*0.22)*'Технический лист'!$O$11))*1.5</f>
        <v>557.1784</v>
      </c>
      <c r="H14" s="16">
        <f>((((H6*0.00314)*0.2)*'Технический лист'!$M$3)+50+(((H7*0.00314)*0.22)*'Технический лист'!$O$11))*1.5</f>
        <v>588.250584</v>
      </c>
      <c r="I14" s="16">
        <f>((((I6*0.00314)*0.2)*'Технический лист'!$M$3)+50+(((I7*0.00314)*0.22)*'Технический лист'!$O$11))*1.5</f>
        <v>619.322768</v>
      </c>
      <c r="J14" s="16">
        <f>((((J6*0.00314)*0.2)*'Технический лист'!$M$3)+50+(((J7*0.00314)*0.22)*'Технический лист'!$O$11))*1.5</f>
        <v>650.394952</v>
      </c>
      <c r="K14" s="16">
        <f>((((K6*0.00314)*0.2)*'Технический лист'!$M$3)+50+(((K7*0.00314)*0.22)*'Технический лист'!$O$11))*1.5</f>
        <v>712.5393200000001</v>
      </c>
      <c r="L14" s="16">
        <f>((((L6*0.00314)*0.2)*'Технический лист'!$M$3)+50+(((L7*0.00314)*0.22)*'Технический лист'!$O$11))*1.5</f>
        <v>774.6836880000001</v>
      </c>
      <c r="M14" s="16">
        <f>((((M6*0.00314)*0.2)*'Технический лист'!$M$3)+50+(((M7*0.00314)*0.22)*'Технический лист'!$O$11))*1.5</f>
        <v>836.828056</v>
      </c>
      <c r="N14" s="16">
        <f>((((N6*0.00314)*0.2)*'Технический лист'!$M$3)+50+(((N7*0.00314)*0.22)*'Технический лист'!$O$11))*1.5</f>
        <v>930.0446080000002</v>
      </c>
      <c r="O14" s="16">
        <f>((((O6*0.00314)*0.2)*'Технический лист'!$M$3)+50+(((O7*0.00314)*0.22)*'Технический лист'!$O$11))*1.5</f>
        <v>961.116792</v>
      </c>
      <c r="P14" s="16">
        <f>((((P6*0.00314)*0.2)*'Технический лист'!$M$3)+50+(((P7*0.00314)*0.22)*'Технический лист'!$O$11))*1.5</f>
        <v>992.1889760000001</v>
      </c>
      <c r="Q14" s="16">
        <f>((((Q6*0.00314)*0.2)*'Технический лист'!$M$3)+50+(((Q7*0.00314)*0.22)*'Технический лист'!$O$11))*1.5</f>
        <v>1023.2611599999999</v>
      </c>
      <c r="R14" s="16">
        <f>((((R6*0.00314)*0.2)*'Технический лист'!$M$3)+50+(((R7*0.00314)*0.22)*'Технический лист'!$O$11))*1.5</f>
        <v>1054.3333440000001</v>
      </c>
      <c r="S14" s="16">
        <f>((((S6*0.00314)*0.2)*'Технический лист'!$M$3)+50+(((S7*0.00314)*0.22)*'Технический лист'!$O$11))*1.5</f>
        <v>1085.405528</v>
      </c>
    </row>
    <row r="15" spans="1:19" ht="15">
      <c r="A15" s="4" t="s">
        <v>99</v>
      </c>
      <c r="B15" s="16">
        <v>1996</v>
      </c>
      <c r="C15" s="16">
        <v>2120</v>
      </c>
      <c r="D15" s="16">
        <v>2185</v>
      </c>
      <c r="E15" s="16">
        <v>2250</v>
      </c>
      <c r="F15" s="16">
        <v>2315</v>
      </c>
      <c r="G15" s="16">
        <v>2380</v>
      </c>
      <c r="H15" s="16">
        <v>2520</v>
      </c>
      <c r="I15" s="16">
        <v>2660</v>
      </c>
      <c r="J15" s="16">
        <v>2800</v>
      </c>
      <c r="K15" s="16">
        <v>3095</v>
      </c>
      <c r="L15" s="16">
        <v>3400</v>
      </c>
      <c r="M15" s="16">
        <v>3720</v>
      </c>
      <c r="N15" s="16">
        <v>2430</v>
      </c>
      <c r="O15" s="16">
        <v>4400</v>
      </c>
      <c r="P15" s="16">
        <v>5890</v>
      </c>
      <c r="Q15" s="16">
        <v>4760</v>
      </c>
      <c r="R15" s="16">
        <v>4950</v>
      </c>
      <c r="S15" s="16">
        <v>5135</v>
      </c>
    </row>
    <row r="16" spans="1:19" ht="15">
      <c r="A16" s="4" t="s">
        <v>102</v>
      </c>
      <c r="B16" s="16">
        <v>1996</v>
      </c>
      <c r="C16" s="16">
        <v>2120</v>
      </c>
      <c r="D16" s="16">
        <v>2185</v>
      </c>
      <c r="E16" s="16">
        <v>2250</v>
      </c>
      <c r="F16" s="16">
        <v>2315</v>
      </c>
      <c r="G16" s="16">
        <v>2380</v>
      </c>
      <c r="H16" s="16">
        <v>2520</v>
      </c>
      <c r="I16" s="16">
        <v>2660</v>
      </c>
      <c r="J16" s="16">
        <v>2800</v>
      </c>
      <c r="K16" s="16">
        <v>3095</v>
      </c>
      <c r="L16" s="16">
        <v>3400</v>
      </c>
      <c r="M16" s="16">
        <v>3720</v>
      </c>
      <c r="N16" s="16">
        <v>2430</v>
      </c>
      <c r="O16" s="16">
        <v>4400</v>
      </c>
      <c r="P16" s="16">
        <v>5890</v>
      </c>
      <c r="Q16" s="16">
        <v>4760</v>
      </c>
      <c r="R16" s="16">
        <v>4950</v>
      </c>
      <c r="S16" s="16">
        <v>5135</v>
      </c>
    </row>
    <row r="17" spans="1:19" ht="15">
      <c r="A17" s="4" t="s">
        <v>9</v>
      </c>
      <c r="B17" s="9">
        <f>((((B6*0.00314)*((B6+545)/1000))*'Технический лист'!$K$3)+370+((B7*0.00314)*((B7+450)/1000))*'Технический лист'!$K$11)*1.5</f>
        <v>1457.579498</v>
      </c>
      <c r="C17" s="9">
        <f>((((C6*0.00314)*((C6+545)/1000))*'Технический лист'!$K$3)+370+((C7*0.00314)*((C7+450)/1000))*'Технический лист'!$K$11)*1.5</f>
        <v>1549.365309</v>
      </c>
      <c r="D17" s="9">
        <f>((((D6*0.00314)*((D6+545)/1000))*'Технический лист'!$K$3)+370+((D7*0.00314)*((D7+450)/1000))*'Технический лист'!$K$11)*1.5</f>
        <v>1596.1557049999997</v>
      </c>
      <c r="E17" s="9">
        <f>((((E6*0.00314)*((E6+545)/1000))*'Технический лист'!$K$3)+370+((E7*0.00314)*((E7+450)/1000))*'Технический лист'!$K$11)*1.5</f>
        <v>1643.5444280000002</v>
      </c>
      <c r="F17" s="9">
        <f>((((F6*0.00314)*((F6+545)/1000))*'Технический лист'!$K$3)+370+((F7*0.00314)*((F7+450)/1000))*'Технический лист'!$K$11)*1.5</f>
        <v>1691.531478</v>
      </c>
      <c r="G17" s="9">
        <f>((((G6*0.00314)*((G6+545)/1000))*'Технический лист'!$K$3)+370+((G7*0.00314)*((G7+450)/1000))*'Технический лист'!$K$11)*1.5</f>
        <v>1740.116855</v>
      </c>
      <c r="H17" s="9">
        <f>((((H6*0.00314)*((H6+545)/1000))*'Технический лист'!$K$3)+370+((H7*0.00314)*((H7+450)/1000))*'Технический лист'!$K$11)*1.5</f>
        <v>1839.08259</v>
      </c>
      <c r="I17" s="9">
        <f>((((I6*0.00314)*((I6+545)/1000))*'Технический лист'!$K$3)+370+((I7*0.00314)*((I7+450)/1000))*'Технический лист'!$K$11)*1.5</f>
        <v>1940.441633</v>
      </c>
      <c r="J17" s="9">
        <f>((((J6*0.00314)*((J6+545)/1000))*'Технический лист'!$K$3)+370+((J7*0.00314)*((J7+450)/1000))*'Технический лист'!$K$11)*1.5</f>
        <v>2044.1939839999998</v>
      </c>
      <c r="K17" s="9">
        <f>((((K6*0.00314)*((K6+545)/1000))*'Технический лист'!$K$3)+370+((K7*0.00314)*((K7+450)/1000))*'Технический лист'!$K$11)*1.5</f>
        <v>2258.8786099999998</v>
      </c>
      <c r="L17" s="9">
        <f>((((L6*0.00314)*((L6+545)/1000))*'Технический лист'!$K$3)+370+((L7*0.00314)*((L7+450)/1000))*'Технический лист'!$K$11)*1.5</f>
        <v>2483.1364679999997</v>
      </c>
      <c r="M17" s="9">
        <f>((((M6*0.00314)*((M6+545)/1000))*'Технический лист'!$K$3)+370+((M7*0.00314)*((M7+450)/1000))*'Технический лист'!$K$11)*1.5</f>
        <v>2716.967558</v>
      </c>
      <c r="N17" s="9">
        <f>((((N6*0.00314)*((N6+545)/1000))*'Технический лист'!$K$3)+370+((N7*0.00314)*((N7+450)/1000))*'Технический лист'!$K$11)*1.5</f>
        <v>3085.664003</v>
      </c>
      <c r="O17" s="9">
        <f>((((O6*0.00314)*((O6+545)/1000))*'Технический лист'!$K$3)+370+((O7*0.00314)*((O7+450)/1000))*'Технический лист'!$K$11)*1.5</f>
        <v>3213.3494340000007</v>
      </c>
      <c r="P17" s="9">
        <f>((((P6*0.00314)*((P6+545)/1000))*'Технический лист'!$K$3)+370+((P7*0.00314)*((P7+450)/1000))*'Технический лист'!$K$11)*1.5</f>
        <v>3343.4281730000002</v>
      </c>
      <c r="Q17" s="9">
        <f>((((Q6*0.00314)*((Q6+545)/1000))*'Технический лист'!$K$3)+370+((Q7*0.00314)*((Q7+450)/1000))*'Технический лист'!$K$11)*1.5</f>
        <v>3475.9002199999995</v>
      </c>
      <c r="R17" s="9">
        <f>((((R6*0.00314)*((R6+545)/1000))*'Технический лист'!$K$3)+370+((R7*0.00314)*((R7+450)/1000))*'Технический лист'!$K$11)*1.5</f>
        <v>3610.7655749999994</v>
      </c>
      <c r="S17" s="9">
        <f>((((S6*0.00314)*((S6+545)/1000))*'Технический лист'!$K$3)+370+((S7*0.00314)*((S7+450)/1000))*'Технический лист'!$K$11)*1.5</f>
        <v>3748.024238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 aca="true" t="shared" si="8" ref="B23:N23">B22+70</f>
        <v>170</v>
      </c>
      <c r="C23" s="10">
        <f t="shared" si="8"/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лист'!$G$3)+310+((B23*0.00314)*'Технический лист'!$G$5))*1.5</f>
        <v>1851.2472</v>
      </c>
      <c r="C24" s="16">
        <f>(((C22*0.00314)*'Технический лист'!$G$3)+310+((C23*0.00314)*'Технический лист'!$G$5))*1.5</f>
        <v>1952.4180000000001</v>
      </c>
      <c r="D24" s="16">
        <f>(((D22*0.00314)*'Технический лист'!$G$3)+310+((D23*0.00314)*'Технический лист'!$G$5))*1.5</f>
        <v>2003.0033999999998</v>
      </c>
      <c r="E24" s="16">
        <f>(((E22*0.00314)*'Технический лист'!$G$3)+310+((E23*0.00314)*'Технический лист'!$G$5))*1.5</f>
        <v>2053.5888000000004</v>
      </c>
      <c r="F24" s="16">
        <f>(((F22*0.00314)*'Технический лист'!$G$3)+310+((F23*0.00314)*'Технический лист'!$G$5))*1.5</f>
        <v>2104.1742</v>
      </c>
      <c r="G24" s="16">
        <f>(((G22*0.00314)*'Технический лист'!$G$3)+310+((G23*0.00314)*'Технический лист'!$G$5))*1.5</f>
        <v>2154.7596000000003</v>
      </c>
      <c r="H24" s="16">
        <f>(((H22*0.00314)*'Технический лист'!$G$3)+310+((H23*0.00314)*'Технический лист'!$G$5))*1.5</f>
        <v>2255.9303999999997</v>
      </c>
      <c r="I24" s="16">
        <f>(((I22*0.00314)*'Технический лист'!$G$3)+310+((I23*0.00314)*'Технический лист'!$G$5))*1.5</f>
        <v>2357.1012</v>
      </c>
      <c r="J24" s="16">
        <f>(((J22*0.00314)*'Технический лист'!$G$3)+310+((J23*0.00314)*'Технический лист'!$G$5))*1.5</f>
        <v>2458.272</v>
      </c>
      <c r="K24" s="16">
        <f>(((K22*0.00314)*'Технический лист'!$G$3)+310+((K23*0.00314)*'Технический лист'!$G$5))*1.5</f>
        <v>2660.6136</v>
      </c>
      <c r="L24" s="16">
        <f>(((L22*0.00314)*'Технический лист'!$G$3)+310+((L23*0.00314)*'Технический лист'!$G$5))*1.5</f>
        <v>2862.9552000000003</v>
      </c>
      <c r="M24" s="16">
        <f>(((M22*0.00314)*'Технический лист'!$G$3)+310+((M23*0.00314)*'Технический лист'!$G$5))*1.5</f>
        <v>3065.2968</v>
      </c>
      <c r="N24" s="16">
        <f>(((N22*0.00314)*'Технический лист'!$G$3)+310+((N23*0.00314)*'Технический лист'!$G$5))*1.5</f>
        <v>3368.8092</v>
      </c>
      <c r="O24" s="16">
        <f>(((O22*0.00314)*'Технический лист'!$G$3)+310+((O23*0.00314)*'Технический лист'!$G$5))*1.5</f>
        <v>3469.9800000000005</v>
      </c>
      <c r="P24" s="16">
        <f>(((P22*0.00314)*'Технический лист'!$G$3)+310+((P23*0.00314)*'Технический лист'!$G$5))*1.5</f>
        <v>3571.1508000000003</v>
      </c>
      <c r="Q24" s="16">
        <f>(((Q22*0.00314)*'Технический лист'!$G$3)+310+((Q23*0.00314)*'Технический лист'!$G$5))*1.5</f>
        <v>3672.3215999999998</v>
      </c>
      <c r="R24" s="16">
        <f>(((R22*0.00314)*'Технический лист'!$G$3)+310+((R23*0.00314)*'Технический лист'!$G$5))*1.5</f>
        <v>3773.4924000000005</v>
      </c>
      <c r="S24" s="16">
        <f>(((S22*0.00314)*'Технический лист'!$G$3)+310+((S23*0.00314)*'Технический лист'!$G$5))*1.5</f>
        <v>3874.6632</v>
      </c>
    </row>
    <row r="25" spans="1:19" ht="15">
      <c r="A25" s="4" t="s">
        <v>3</v>
      </c>
      <c r="B25" s="9">
        <f>((B24/2)*1.07)-10</f>
        <v>980.4172520000001</v>
      </c>
      <c r="C25" s="9">
        <f aca="true" t="shared" si="10" ref="C25:N25">((C24/2)*1.07)-10</f>
        <v>1034.5436300000001</v>
      </c>
      <c r="D25" s="9">
        <f t="shared" si="10"/>
        <v>1061.6068189999999</v>
      </c>
      <c r="E25" s="9">
        <f t="shared" si="10"/>
        <v>1088.6700080000003</v>
      </c>
      <c r="F25" s="9">
        <f t="shared" si="10"/>
        <v>1115.733197</v>
      </c>
      <c r="G25" s="9">
        <f t="shared" si="10"/>
        <v>1142.7963860000002</v>
      </c>
      <c r="H25" s="9">
        <f t="shared" si="10"/>
        <v>1196.922764</v>
      </c>
      <c r="I25" s="9">
        <f t="shared" si="10"/>
        <v>1251.049142</v>
      </c>
      <c r="J25" s="9">
        <f t="shared" si="10"/>
        <v>1305.17552</v>
      </c>
      <c r="K25" s="9">
        <f t="shared" si="10"/>
        <v>1413.428276</v>
      </c>
      <c r="L25" s="9">
        <f t="shared" si="10"/>
        <v>1521.6810320000002</v>
      </c>
      <c r="M25" s="9">
        <f t="shared" si="10"/>
        <v>1629.933788</v>
      </c>
      <c r="N25" s="9">
        <f t="shared" si="10"/>
        <v>1792.312922</v>
      </c>
      <c r="O25" s="9">
        <f aca="true" t="shared" si="11" ref="O25:S25">((O24/2)*1.07)-10</f>
        <v>1846.4393000000005</v>
      </c>
      <c r="P25" s="9">
        <f t="shared" si="11"/>
        <v>1900.5656780000004</v>
      </c>
      <c r="Q25" s="9">
        <f t="shared" si="11"/>
        <v>1954.692056</v>
      </c>
      <c r="R25" s="9">
        <f t="shared" si="11"/>
        <v>2008.8184340000005</v>
      </c>
      <c r="S25" s="9">
        <f t="shared" si="11"/>
        <v>2062.944812</v>
      </c>
    </row>
    <row r="26" spans="1:19" ht="15">
      <c r="A26" s="4" t="s">
        <v>5</v>
      </c>
      <c r="B26" s="16">
        <f>((((B22*0.00314)*0.5)*'Технический лист'!$I$3)+310+(((B23*0.00314)*0.5)*'Технический лист'!$I$5))*1.5</f>
        <v>1576.1361000000002</v>
      </c>
      <c r="C26" s="16">
        <f>((((C22*0.00314)*0.5)*'Технический лист'!$I$3)+310+(((C23*0.00314)*0.5)*'Технический лист'!$I$5))*1.5</f>
        <v>1657.8075</v>
      </c>
      <c r="D26" s="16">
        <f>((((D22*0.00314)*0.5)*'Технический лист'!$I$3)+310+(((D23*0.00314)*0.5)*'Технический лист'!$I$5))*1.5</f>
        <v>1698.6432</v>
      </c>
      <c r="E26" s="16">
        <f>((((E22*0.00314)*0.5)*'Технический лист'!$I$3)+310+(((E23*0.00314)*0.5)*'Технический лист'!$I$5))*1.5</f>
        <v>1739.4788999999998</v>
      </c>
      <c r="F26" s="16">
        <f>((((F22*0.00314)*0.5)*'Технический лист'!$I$3)+310+(((F23*0.00314)*0.5)*'Технический лист'!$I$5))*1.5</f>
        <v>1780.3146000000002</v>
      </c>
      <c r="G26" s="16">
        <f>((((G22*0.00314)*0.5)*'Технический лист'!$I$3)+310+(((G23*0.00314)*0.5)*'Технический лист'!$I$5))*1.5</f>
        <v>1821.1502999999998</v>
      </c>
      <c r="H26" s="16">
        <f>((((H22*0.00314)*0.5)*'Технический лист'!$I$3)+310+(((H23*0.00314)*0.5)*'Технический лист'!$I$5))*1.5</f>
        <v>1902.8217</v>
      </c>
      <c r="I26" s="16">
        <f>((((I22*0.00314)*0.5)*'Технический лист'!$I$3)+310+(((I23*0.00314)*0.5)*'Технический лист'!$I$5))*1.5</f>
        <v>1984.4931000000001</v>
      </c>
      <c r="J26" s="16">
        <f>((((J22*0.00314)*0.5)*'Технический лист'!$I$3)+310+(((J23*0.00314)*0.5)*'Технический лист'!$I$5))*1.5</f>
        <v>2066.1645</v>
      </c>
      <c r="K26" s="16">
        <f>((((K22*0.00314)*0.5)*'Технический лист'!$I$3)+310+(((K23*0.00314)*0.5)*'Технический лист'!$I$5))*1.5</f>
        <v>2229.5073</v>
      </c>
      <c r="L26" s="16">
        <f>((((L22*0.00314)*0.5)*'Технический лист'!$I$3)+310+(((L23*0.00314)*0.5)*'Технический лист'!$I$5))*1.5</f>
        <v>2392.8501</v>
      </c>
      <c r="M26" s="16">
        <f>((((M22*0.00314)*0.5)*'Технический лист'!$I$3)+310+(((M23*0.00314)*0.5)*'Технический лист'!$I$5))*1.5</f>
        <v>2556.1929</v>
      </c>
      <c r="N26" s="16">
        <f>((((N22*0.00314)*0.5)*'Технический лист'!$I$3)+310+(((N23*0.00314)*0.5)*'Технический лист'!$I$5))*1.5</f>
        <v>2801.2070999999996</v>
      </c>
      <c r="O26" s="16">
        <f>((((O22*0.00314)*0.5)*'Технический лист'!$I$3)+310+(((O23*0.00314)*0.5)*'Технический лист'!$I$5))*1.5</f>
        <v>2882.8785</v>
      </c>
      <c r="P26" s="16">
        <f>((((P22*0.00314)*0.5)*'Технический лист'!$I$3)+310+(((P23*0.00314)*0.5)*'Технический лист'!$I$5))*1.5</f>
        <v>2964.5499000000004</v>
      </c>
      <c r="Q26" s="16">
        <f>((((Q22*0.00314)*0.5)*'Технический лист'!$I$3)+310+(((Q23*0.00314)*0.5)*'Технический лист'!$I$5))*1.5</f>
        <v>3046.2213</v>
      </c>
      <c r="R26" s="16">
        <f>((((R22*0.00314)*0.5)*'Технический лист'!$I$3)+310+(((R23*0.00314)*0.5)*'Технический лист'!$I$5))*1.5</f>
        <v>3127.8927000000003</v>
      </c>
      <c r="S26" s="16">
        <f>((((S22*0.00314)*0.5)*'Технический лист'!$I$3)+310+(((S23*0.00314)*0.5)*'Технический лист'!$I$5))*1.5</f>
        <v>3209.5640999999996</v>
      </c>
    </row>
    <row r="27" spans="1:19" ht="15">
      <c r="A27" s="4" t="s">
        <v>96</v>
      </c>
      <c r="B27" s="9">
        <f>((B26*2)/3)-7</f>
        <v>1043.7574000000002</v>
      </c>
      <c r="C27" s="9">
        <f aca="true" t="shared" si="12" ref="C27:N27">((C26*2)/3)-7</f>
        <v>1098.205</v>
      </c>
      <c r="D27" s="9">
        <f t="shared" si="12"/>
        <v>1125.4288</v>
      </c>
      <c r="E27" s="9">
        <f t="shared" si="12"/>
        <v>1152.6526</v>
      </c>
      <c r="F27" s="9">
        <f t="shared" si="12"/>
        <v>1179.8764</v>
      </c>
      <c r="G27" s="9">
        <f t="shared" si="12"/>
        <v>1207.1001999999999</v>
      </c>
      <c r="H27" s="9">
        <f t="shared" si="12"/>
        <v>1261.5478</v>
      </c>
      <c r="I27" s="9">
        <f t="shared" si="12"/>
        <v>1315.9954</v>
      </c>
      <c r="J27" s="9">
        <f t="shared" si="12"/>
        <v>1370.443</v>
      </c>
      <c r="K27" s="9">
        <f t="shared" si="12"/>
        <v>1479.3382000000001</v>
      </c>
      <c r="L27" s="9">
        <f t="shared" si="12"/>
        <v>1588.2334</v>
      </c>
      <c r="M27" s="9">
        <f t="shared" si="12"/>
        <v>1697.1286</v>
      </c>
      <c r="N27" s="9">
        <f t="shared" si="12"/>
        <v>1860.4713999999997</v>
      </c>
      <c r="O27" s="9">
        <f aca="true" t="shared" si="13" ref="O27:S27">((O26*2)/3)-7</f>
        <v>1914.9189999999999</v>
      </c>
      <c r="P27" s="9">
        <f t="shared" si="13"/>
        <v>1969.3666000000003</v>
      </c>
      <c r="Q27" s="9">
        <f t="shared" si="13"/>
        <v>2023.8142</v>
      </c>
      <c r="R27" s="9">
        <f t="shared" si="13"/>
        <v>2078.2618</v>
      </c>
      <c r="S27" s="9">
        <f t="shared" si="13"/>
        <v>2132.7093999999997</v>
      </c>
    </row>
    <row r="28" spans="1:19" ht="15">
      <c r="A28" s="4" t="s">
        <v>6</v>
      </c>
      <c r="B28" s="16">
        <f>((((B22*0.00314)*0.22)*'Технический лист'!$M$3)+100+(((B23*0.00314)*0.21)*'Технический лист'!$O$5)+(((B22+30)*(B22+30)/1000000)*'Технический лист'!$E$18))*1.5</f>
        <v>788.9497920000001</v>
      </c>
      <c r="C28" s="16">
        <f>((((C22*0.00314)*0.22)*'Технический лист'!$M$3)+100+(((C23*0.00314)*0.21)*'Технический лист'!$O$5)+(((C22+30)*(C22+30)/1000000)*'Технический лист'!$E$18))*1.5</f>
        <v>843.734592</v>
      </c>
      <c r="D28" s="16">
        <f>((((D22*0.00314)*0.22)*'Технический лист'!$M$3)+100+(((D23*0.00314)*0.21)*'Технический лист'!$O$5)+(((D22+30)*(D22+30)/1000000)*'Технический лист'!$E$18))*1.5</f>
        <v>871.4869919999999</v>
      </c>
      <c r="E28" s="16">
        <f>((((E22*0.00314)*0.22)*'Технический лист'!$M$3)+100+(((E23*0.00314)*0.21)*'Технический лист'!$O$5)+(((E22+30)*(E22+30)/1000000)*'Технический лист'!$E$18))*1.5</f>
        <v>899.4793920000002</v>
      </c>
      <c r="F28" s="16">
        <f>((((F22*0.00314)*0.22)*'Технический лист'!$M$3)+100+(((F23*0.00314)*0.21)*'Технический лист'!$O$5)+(((F22+30)*(F22+30)/1000000)*'Технический лист'!$E$18))*1.5</f>
        <v>927.711792</v>
      </c>
      <c r="G28" s="16">
        <f>((((G22*0.00314)*0.22)*'Технический лист'!$M$3)+100+(((G23*0.00314)*0.21)*'Технический лист'!$O$5)+(((G22+30)*(G22+30)/1000000)*'Технический лист'!$E$18))*1.5</f>
        <v>956.1841919999999</v>
      </c>
      <c r="H28" s="16">
        <f>((((H22*0.00314)*0.22)*'Технический лист'!$M$3)+100+(((H23*0.00314)*0.21)*'Технический лист'!$O$5)+(((H22+30)*(H22+30)/1000000)*'Технический лист'!$E$18))*1.5</f>
        <v>1013.848992</v>
      </c>
      <c r="I28" s="16">
        <f>((((I22*0.00314)*0.22)*'Технический лист'!$M$3)+100+(((I23*0.00314)*0.21)*'Технический лист'!$O$5)+(((I22+30)*(I22+30)/1000000)*'Технический лист'!$E$18))*1.5</f>
        <v>1072.4737919999998</v>
      </c>
      <c r="J28" s="16">
        <f>((((J22*0.00314)*0.22)*'Технический лист'!$M$3)+100+(((J23*0.00314)*0.21)*'Технический лист'!$O$5)+(((J22+30)*(J22+30)/1000000)*'Технический лист'!$E$18))*1.5</f>
        <v>1132.0585919999999</v>
      </c>
      <c r="K28" s="16">
        <f>((((K22*0.00314)*0.22)*'Технический лист'!$M$3)+100+(((K23*0.00314)*0.21)*'Технический лист'!$O$5)+(((K22+30)*(K22+30)/1000000)*'Технический лист'!$E$18))*1.5</f>
        <v>1254.1081920000001</v>
      </c>
      <c r="L28" s="16">
        <f>((((L22*0.00314)*0.22)*'Технический лист'!$M$3)+100+(((L23*0.00314)*0.21)*'Технический лист'!$O$5)+(((L22+30)*(L22+30)/1000000)*'Технический лист'!$E$18))*1.5</f>
        <v>1379.997792</v>
      </c>
      <c r="M28" s="16">
        <f>((((M22*0.00314)*0.22)*'Технический лист'!$M$3)+100+(((M23*0.00314)*0.21)*'Технический лист'!$O$5)+(((M22+30)*(M22+30)/1000000)*'Технический лист'!$E$18))*1.5</f>
        <v>1509.727392</v>
      </c>
      <c r="N28" s="16">
        <f>((((N22*0.00314)*0.22)*'Технический лист'!$M$3)+100+(((N23*0.00314)*0.21)*'Технический лист'!$O$5)+(((N22+30)*(N22+30)/1000000)*'Технический лист'!$E$18))*1.5</f>
        <v>1711.5217920000002</v>
      </c>
      <c r="O28" s="16">
        <f>((((O22*0.00314)*0.22)*'Технический лист'!$M$3)+100+(((O23*0.00314)*0.21)*'Технический лист'!$O$5)+(((O22+30)*(O22+30)/1000000)*'Технический лист'!$E$18))*1.5</f>
        <v>1780.7065920000002</v>
      </c>
      <c r="P28" s="16">
        <f>((((P22*0.00314)*0.22)*'Технический лист'!$M$3)+100+(((P23*0.00314)*0.21)*'Технический лист'!$O$5)+(((P22+30)*(P22+30)/1000000)*'Технический лист'!$E$18))*1.5</f>
        <v>1850.851392</v>
      </c>
      <c r="Q28" s="16">
        <f>((((Q22*0.00314)*0.22)*'Технический лист'!$M$3)+100+(((Q23*0.00314)*0.21)*'Технический лист'!$O$5)+(((Q22+30)*(Q22+30)/1000000)*'Технический лист'!$E$18))*1.5</f>
        <v>1921.956192</v>
      </c>
      <c r="R28" s="16">
        <f>((((R22*0.00314)*0.22)*'Технический лист'!$M$3)+100+(((R23*0.00314)*0.21)*'Технический лист'!$O$5)+(((R22+30)*(R22+30)/1000000)*'Технический лист'!$E$18))*1.5</f>
        <v>1994.0209920000002</v>
      </c>
      <c r="S28" s="16">
        <f>((((S22*0.00314)*0.22)*'Технический лист'!$M$3)+100+(((S23*0.00314)*0.21)*'Технический лист'!$O$5)+(((S22+30)*(S22+30)/1000000)*'Технический лист'!$E$18))*1.5</f>
        <v>2067.045792</v>
      </c>
    </row>
    <row r="29" spans="1:19" ht="15">
      <c r="A29" s="4" t="s">
        <v>7</v>
      </c>
      <c r="B29" s="9">
        <f>(B28*2.2)+24</f>
        <v>1759.6895424000004</v>
      </c>
      <c r="C29" s="9">
        <f aca="true" t="shared" si="14" ref="C29:N29">(C28*2.2)+24</f>
        <v>1880.2161024000002</v>
      </c>
      <c r="D29" s="9">
        <f t="shared" si="14"/>
        <v>1941.2713823999998</v>
      </c>
      <c r="E29" s="9">
        <f t="shared" si="14"/>
        <v>2002.8546624000005</v>
      </c>
      <c r="F29" s="9">
        <f t="shared" si="14"/>
        <v>2064.9659424</v>
      </c>
      <c r="G29" s="9">
        <f t="shared" si="14"/>
        <v>2127.6052224</v>
      </c>
      <c r="H29" s="9">
        <f t="shared" si="14"/>
        <v>2254.4677824</v>
      </c>
      <c r="I29" s="9">
        <f t="shared" si="14"/>
        <v>2383.4423423999997</v>
      </c>
      <c r="J29" s="9">
        <f t="shared" si="14"/>
        <v>2514.5289024</v>
      </c>
      <c r="K29" s="9">
        <f t="shared" si="14"/>
        <v>2783.0380224000005</v>
      </c>
      <c r="L29" s="9">
        <f t="shared" si="14"/>
        <v>3059.9951424</v>
      </c>
      <c r="M29" s="9">
        <f t="shared" si="14"/>
        <v>3345.4002624000004</v>
      </c>
      <c r="N29" s="9">
        <f t="shared" si="14"/>
        <v>3789.3479424000006</v>
      </c>
      <c r="O29" s="9">
        <f aca="true" t="shared" si="15" ref="O29:S29">(O28*2.2)+24</f>
        <v>3941.5545024000007</v>
      </c>
      <c r="P29" s="9">
        <f t="shared" si="15"/>
        <v>4095.8730624000004</v>
      </c>
      <c r="Q29" s="9">
        <f t="shared" si="15"/>
        <v>4252.303622400001</v>
      </c>
      <c r="R29" s="9">
        <f t="shared" si="15"/>
        <v>4410.8461824000005</v>
      </c>
      <c r="S29" s="9">
        <f t="shared" si="15"/>
        <v>4571.5007424000005</v>
      </c>
    </row>
    <row r="30" spans="1:19" ht="15">
      <c r="A30" s="4" t="s">
        <v>8</v>
      </c>
      <c r="B30" s="16">
        <f>((((B22*0.00314)*0.2)*'Технический лист'!$M$3)+50+(((B23*0.00314)*0.22)*'Технический лист'!$O$5))*1.5</f>
        <v>629.0768640000001</v>
      </c>
      <c r="C30" s="16">
        <f>((((C22*0.00314)*0.2)*'Технический лист'!$M$3)+50+(((C23*0.00314)*0.22)*'Технический лист'!$O$5))*1.5</f>
        <v>669.861696</v>
      </c>
      <c r="D30" s="16">
        <f>((((D22*0.00314)*0.2)*'Технический лист'!$M$3)+50+(((D23*0.00314)*0.22)*'Технический лист'!$O$5))*1.5</f>
        <v>690.254112</v>
      </c>
      <c r="E30" s="16">
        <f>((((E22*0.00314)*0.2)*'Технический лист'!$M$3)+50+(((E23*0.00314)*0.22)*'Технический лист'!$O$5))*1.5</f>
        <v>710.646528</v>
      </c>
      <c r="F30" s="16">
        <f>((((F22*0.00314)*0.2)*'Технический лист'!$M$3)+50+(((F23*0.00314)*0.22)*'Технический лист'!$O$5))*1.5</f>
        <v>731.038944</v>
      </c>
      <c r="G30" s="16">
        <f>((((G22*0.00314)*0.2)*'Технический лист'!$M$3)+50+(((G23*0.00314)*0.22)*'Технический лист'!$O$5))*1.5</f>
        <v>751.43136</v>
      </c>
      <c r="H30" s="16">
        <f>((((H22*0.00314)*0.2)*'Технический лист'!$M$3)+50+(((H23*0.00314)*0.22)*'Технический лист'!$O$5))*1.5</f>
        <v>792.2161920000001</v>
      </c>
      <c r="I30" s="16">
        <f>((((I22*0.00314)*0.2)*'Технический лист'!$M$3)+50+(((I23*0.00314)*0.22)*'Технический лист'!$O$5))*1.5</f>
        <v>833.001024</v>
      </c>
      <c r="J30" s="16">
        <f>((((J22*0.00314)*0.2)*'Технический лист'!$M$3)+50+(((J23*0.00314)*0.22)*'Технический лист'!$O$5))*1.5</f>
        <v>873.7858559999999</v>
      </c>
      <c r="K30" s="16">
        <f>((((K22*0.00314)*0.2)*'Технический лист'!$M$3)+50+(((K23*0.00314)*0.22)*'Технический лист'!$O$5))*1.5</f>
        <v>955.3555200000002</v>
      </c>
      <c r="L30" s="16">
        <f>((((L22*0.00314)*0.2)*'Технический лист'!$M$3)+50+(((L23*0.00314)*0.22)*'Технический лист'!$O$5))*1.5</f>
        <v>1036.9251840000002</v>
      </c>
      <c r="M30" s="16">
        <f>((((M22*0.00314)*0.2)*'Технический лист'!$M$3)+50+(((M23*0.00314)*0.22)*'Технический лист'!$O$5))*1.5</f>
        <v>1118.494848</v>
      </c>
      <c r="N30" s="16">
        <f>((((N22*0.00314)*0.2)*'Технический лист'!$M$3)+50+(((N23*0.00314)*0.22)*'Технический лист'!$O$5))*1.5</f>
        <v>1240.849344</v>
      </c>
      <c r="O30" s="16">
        <f>((((O22*0.00314)*0.2)*'Технический лист'!$M$3)+50+(((O23*0.00314)*0.22)*'Технический лист'!$O$5))*1.5</f>
        <v>1281.634176</v>
      </c>
      <c r="P30" s="16">
        <f>((((P22*0.00314)*0.2)*'Технический лист'!$M$3)+50+(((P23*0.00314)*0.22)*'Технический лист'!$O$5))*1.5</f>
        <v>1322.419008</v>
      </c>
      <c r="Q30" s="16">
        <f>((((Q22*0.00314)*0.2)*'Технический лист'!$M$3)+50+(((Q23*0.00314)*0.22)*'Технический лист'!$O$5))*1.5</f>
        <v>1363.20384</v>
      </c>
      <c r="R30" s="16">
        <f>((((R22*0.00314)*0.2)*'Технический лист'!$M$3)+50+(((R23*0.00314)*0.22)*'Технический лист'!$O$5))*1.5</f>
        <v>1403.9886720000002</v>
      </c>
      <c r="S30" s="16">
        <f>((((S22*0.00314)*0.2)*'Технический лист'!$M$3)+50+(((S23*0.00314)*0.22)*'Технический лист'!$O$5))*1.5</f>
        <v>1444.773504</v>
      </c>
    </row>
    <row r="31" spans="1:19" ht="15">
      <c r="A31" s="4" t="s">
        <v>99</v>
      </c>
      <c r="B31" s="16">
        <v>2870</v>
      </c>
      <c r="C31" s="16">
        <v>3065</v>
      </c>
      <c r="D31" s="16">
        <v>3160</v>
      </c>
      <c r="E31" s="16">
        <v>3260</v>
      </c>
      <c r="F31" s="16">
        <v>3360</v>
      </c>
      <c r="G31" s="16">
        <v>3460</v>
      </c>
      <c r="H31" s="16">
        <v>3670</v>
      </c>
      <c r="I31" s="16">
        <v>3880</v>
      </c>
      <c r="J31" s="16">
        <v>4100</v>
      </c>
      <c r="K31" s="16">
        <v>4545</v>
      </c>
      <c r="L31" s="16">
        <v>5015</v>
      </c>
      <c r="M31" s="16">
        <v>5505</v>
      </c>
      <c r="N31" s="16">
        <v>6270</v>
      </c>
      <c r="O31" s="16">
        <v>6540</v>
      </c>
      <c r="P31" s="16">
        <v>6810</v>
      </c>
      <c r="Q31" s="16">
        <v>7085</v>
      </c>
      <c r="R31" s="16">
        <v>7370</v>
      </c>
      <c r="S31" s="16">
        <v>7655</v>
      </c>
    </row>
    <row r="32" spans="1:19" ht="15">
      <c r="A32" s="4" t="s">
        <v>102</v>
      </c>
      <c r="B32" s="16">
        <v>2870</v>
      </c>
      <c r="C32" s="16">
        <v>3065</v>
      </c>
      <c r="D32" s="16">
        <v>3160</v>
      </c>
      <c r="E32" s="16">
        <v>3260</v>
      </c>
      <c r="F32" s="16">
        <v>3360</v>
      </c>
      <c r="G32" s="16">
        <v>3460</v>
      </c>
      <c r="H32" s="16">
        <v>3670</v>
      </c>
      <c r="I32" s="16">
        <v>3880</v>
      </c>
      <c r="J32" s="16">
        <v>4100</v>
      </c>
      <c r="K32" s="16">
        <v>4545</v>
      </c>
      <c r="L32" s="16">
        <v>5015</v>
      </c>
      <c r="M32" s="16">
        <v>5505</v>
      </c>
      <c r="N32" s="16">
        <v>6270</v>
      </c>
      <c r="O32" s="16">
        <v>6540</v>
      </c>
      <c r="P32" s="16">
        <v>6810</v>
      </c>
      <c r="Q32" s="16">
        <v>7085</v>
      </c>
      <c r="R32" s="16">
        <v>7370</v>
      </c>
      <c r="S32" s="16">
        <v>7655</v>
      </c>
    </row>
    <row r="33" spans="1:19" ht="15">
      <c r="A33" s="4" t="s">
        <v>9</v>
      </c>
      <c r="B33" s="9">
        <f>((((B22*0.00314)*((B22+545)/1000))*'Технический лист'!$K$3)+370+((B23*0.00314)*((B23+450)/1000))*'Технический лист'!$K$5)*1.5</f>
        <v>2096.655534</v>
      </c>
      <c r="C33" s="9">
        <f>((((C22*0.00314)*((C22+545)/1000))*'Технический лист'!$K$3)+370+((C23*0.00314)*((C23+450)/1000))*'Технический лист'!$K$5)*1.5</f>
        <v>2236.948065</v>
      </c>
      <c r="D33" s="9">
        <f>((((D22*0.00314)*((D22+545)/1000))*'Технический лист'!$K$3)+370+((D23*0.00314)*((D23+450)/1000))*'Технический лист'!$K$5)*1.5</f>
        <v>2308.4465714999997</v>
      </c>
      <c r="E33" s="9">
        <f>((((E22*0.00314)*((E22+545)/1000))*'Технический лист'!$K$3)+370+((E23*0.00314)*((E23+450)/1000))*'Технический лист'!$K$5)*1.5</f>
        <v>2380.8465720000004</v>
      </c>
      <c r="F33" s="9">
        <f>((((F22*0.00314)*((F22+545)/1000))*'Технический лист'!$K$3)+370+((F23*0.00314)*((F23+450)/1000))*'Технический лист'!$K$5)*1.5</f>
        <v>2454.1480665</v>
      </c>
      <c r="G33" s="9">
        <f>((((G22*0.00314)*((G22+545)/1000))*'Технический лист'!$K$3)+370+((G23*0.00314)*((G23+450)/1000))*'Технический лист'!$K$5)*1.5</f>
        <v>2528.351055</v>
      </c>
      <c r="H33" s="9">
        <f>((((H22*0.00314)*((H22+545)/1000))*'Технический лист'!$K$3)+370+((H23*0.00314)*((H23+450)/1000))*'Технический лист'!$K$5)*1.5</f>
        <v>2679.4615139999996</v>
      </c>
      <c r="I33" s="9">
        <f>((((I22*0.00314)*((I22+545)/1000))*'Технический лист'!$K$3)+370+((I23*0.00314)*((I23+450)/1000))*'Технический лист'!$K$5)*1.5</f>
        <v>2834.177949</v>
      </c>
      <c r="J33" s="9">
        <f>((((J22*0.00314)*((J22+545)/1000))*'Технический лист'!$K$3)+370+((J23*0.00314)*((J23+450)/1000))*'Технический лист'!$K$5)*1.5</f>
        <v>2992.50036</v>
      </c>
      <c r="K33" s="9">
        <f>((((K22*0.00314)*((K22+545)/1000))*'Технический лист'!$K$3)+370+((K23*0.00314)*((K23+450)/1000))*'Технический лист'!$K$5)*1.5</f>
        <v>3319.9631099999997</v>
      </c>
      <c r="L33" s="9">
        <f>((((L22*0.00314)*((L22+545)/1000))*'Технический лист'!$K$3)+370+((L23*0.00314)*((L23+450)/1000))*'Технический лист'!$K$5)*1.5</f>
        <v>3661.8497639999996</v>
      </c>
      <c r="M33" s="9">
        <f>((((M22*0.00314)*((M22+545)/1000))*'Технический лист'!$K$3)+370+((M23*0.00314)*((M23+450)/1000))*'Технический лист'!$K$5)*1.5</f>
        <v>4018.160322</v>
      </c>
      <c r="N33" s="9">
        <f>((((N22*0.00314)*((N22+545)/1000))*'Технический лист'!$K$3)+370+((N23*0.00314)*((N23+450)/1000))*'Технический лист'!$K$5)*1.5</f>
        <v>4579.6709789999995</v>
      </c>
      <c r="O33" s="9">
        <f>((((O22*0.00314)*((O22+545)/1000))*'Технический лист'!$K$3)+370+((O23*0.00314)*((O23+450)/1000))*'Технический лист'!$K$5)*1.5</f>
        <v>4774.053150000001</v>
      </c>
      <c r="P33" s="9">
        <f>((((P22*0.00314)*((P22+545)/1000))*'Технический лист'!$K$3)+370+((P23*0.00314)*((P23+450)/1000))*'Технический лист'!$K$5)*1.5</f>
        <v>4972.041297</v>
      </c>
      <c r="Q33" s="9">
        <f>((((Q22*0.00314)*((Q22+545)/1000))*'Технический лист'!$K$3)+370+((Q23*0.00314)*((Q23+450)/1000))*'Технический лист'!$K$5)*1.5</f>
        <v>5173.63542</v>
      </c>
      <c r="R33" s="9">
        <f>((((R22*0.00314)*((R22+545)/1000))*'Технический лист'!$K$3)+370+((R23*0.00314)*((R23+450)/1000))*'Технический лист'!$K$5)*1.5</f>
        <v>5378.835519</v>
      </c>
      <c r="S33" s="9">
        <f>((((S22*0.00314)*((S22+545)/1000))*'Технический лист'!$K$3)+370+((S23*0.00314)*((S23+450)/1000))*'Технический лист'!$K$5)*1.5</f>
        <v>5587.641593999999</v>
      </c>
    </row>
    <row r="34" spans="1:19" ht="3" customHeight="1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sheetProtection formatCells="0" formatColumns="0" formatRows="0" insertColumns="0" insertRows="0" insertHyperlinks="0" deleteColumns="0" deleteRows="0" sort="0" pivotTables="0"/>
  <mergeCells count="6">
    <mergeCell ref="D1:O1"/>
    <mergeCell ref="D2:O2"/>
    <mergeCell ref="D3:O3"/>
    <mergeCell ref="A5:O5"/>
    <mergeCell ref="A21:N21"/>
    <mergeCell ref="A1:C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3"/>
  <sheetViews>
    <sheetView zoomScale="80" zoomScaleNormal="80" workbookViewId="0" topLeftCell="A1">
      <selection activeCell="B33" sqref="B33:X33"/>
    </sheetView>
  </sheetViews>
  <sheetFormatPr defaultColWidth="9.140625" defaultRowHeight="15"/>
  <cols>
    <col min="1" max="1" width="20.28125" style="0" customWidth="1"/>
    <col min="2" max="2" width="6.28125" style="1" customWidth="1"/>
    <col min="3" max="24" width="6.28125" style="0" customWidth="1"/>
  </cols>
  <sheetData>
    <row r="1" spans="1:17" ht="45" customHeight="1">
      <c r="A1" s="35"/>
      <c r="B1" s="35"/>
      <c r="C1" s="35"/>
      <c r="D1" s="43" t="s">
        <v>94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30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1.25" customHeight="1"/>
    <row r="5" spans="1:30" ht="15">
      <c r="A5" s="41" t="s">
        <v>113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113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22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 hidden="1">
      <c r="A7" s="3" t="s">
        <v>1</v>
      </c>
      <c r="B7" s="22">
        <f>B6+70</f>
        <v>170</v>
      </c>
      <c r="C7" s="10">
        <f aca="true" t="shared" si="0" ref="C7:Q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t="shared" si="0"/>
        <v>330</v>
      </c>
      <c r="P7" s="10">
        <f t="shared" si="0"/>
        <v>340</v>
      </c>
      <c r="Q7" s="10">
        <f t="shared" si="0"/>
        <v>350</v>
      </c>
      <c r="R7" s="10">
        <v>290</v>
      </c>
      <c r="S7" s="10">
        <v>290</v>
      </c>
      <c r="T7" s="10">
        <v>290</v>
      </c>
      <c r="U7" s="10">
        <v>290</v>
      </c>
      <c r="V7" s="10">
        <v>290</v>
      </c>
      <c r="W7" s="10">
        <v>290</v>
      </c>
      <c r="X7" s="10">
        <v>290</v>
      </c>
    </row>
    <row r="8" spans="1:24" ht="15">
      <c r="A8" s="4" t="s">
        <v>69</v>
      </c>
      <c r="B8" s="23">
        <f>(((B6*0.00314)*'Технический лист'!$G$3))*3</f>
        <v>953.3040000000001</v>
      </c>
      <c r="C8" s="23">
        <f>(((C6*0.00314)*'Технический лист'!$G$3))*3</f>
        <v>1048.6344</v>
      </c>
      <c r="D8" s="23">
        <f>(((D6*0.00314)*'Технический лист'!$G$3))*3</f>
        <v>1096.2996</v>
      </c>
      <c r="E8" s="23">
        <f>(((E6*0.00314)*'Технический лист'!$G$3))*3</f>
        <v>1143.9648000000002</v>
      </c>
      <c r="F8" s="23">
        <f>(((F6*0.00314)*'Технический лист'!$G$3))*3</f>
        <v>1191.63</v>
      </c>
      <c r="G8" s="23">
        <f>(((G6*0.00314)*'Технический лист'!$G$3))*3</f>
        <v>1239.2952</v>
      </c>
      <c r="H8" s="23">
        <f>(((H6*0.00314)*'Технический лист'!$G$3))*3</f>
        <v>1334.6256</v>
      </c>
      <c r="I8" s="23">
        <f>(((I6*0.00314)*'Технический лист'!$G$3))*3</f>
        <v>1429.956</v>
      </c>
      <c r="J8" s="23">
        <f>(((J6*0.00314)*'Технический лист'!$G$3))*3</f>
        <v>1525.2864</v>
      </c>
      <c r="K8" s="23">
        <f>(((K6*0.00314)*'Технический лист'!$G$3))*3</f>
        <v>1715.9472</v>
      </c>
      <c r="L8" s="23">
        <f>(((L6*0.00314)*'Технический лист'!$G$3))*3</f>
        <v>1906.6080000000002</v>
      </c>
      <c r="M8" s="23">
        <f>(((M6*0.00314)*'Технический лист'!$G$3))*3</f>
        <v>2097.2688</v>
      </c>
      <c r="N8" s="23">
        <f>(((N6*0.00314)*'Технический лист'!$G$3))*3</f>
        <v>2383.26</v>
      </c>
      <c r="O8" s="23">
        <f>(((O6*0.00314)*'Технический лист'!$G$3))*3</f>
        <v>2478.5904</v>
      </c>
      <c r="P8" s="23">
        <f>(((P6*0.00314)*'Технический лист'!$G$3))*3</f>
        <v>2573.9208</v>
      </c>
      <c r="Q8" s="23">
        <f>(((Q6*0.00314)*'Технический лист'!$G$3))*3</f>
        <v>2669.2512</v>
      </c>
      <c r="R8" s="23">
        <f>(((R6*0.00314)*'Технический лист'!$G$3))*3</f>
        <v>2764.5816</v>
      </c>
      <c r="S8" s="23">
        <f>(((S6*0.00314)*'Технический лист'!$G$3))*3</f>
        <v>2859.912</v>
      </c>
      <c r="T8" s="23">
        <f>(((T6*0.00314)*'Технический лист'!$G$3))*3</f>
        <v>2955.2424</v>
      </c>
      <c r="U8" s="23">
        <f>(((U6*0.00314)*'Технический лист'!$G$3))*3</f>
        <v>3050.5728</v>
      </c>
      <c r="V8" s="23">
        <f>(((V6*0.00314)*'Технический лист'!$G$3))*3</f>
        <v>3145.9031999999997</v>
      </c>
      <c r="W8" s="23">
        <f>(((W6*0.00314)*'Технический лист'!$G$3))*3</f>
        <v>3241.2336</v>
      </c>
      <c r="X8" s="23">
        <f>(((X6*0.00314)*'Технический лист'!$G$3))*3</f>
        <v>3336.5639999999994</v>
      </c>
    </row>
    <row r="9" spans="1:24" ht="15">
      <c r="A9" s="4" t="s">
        <v>70</v>
      </c>
      <c r="B9" s="24">
        <f>((B8/2)*1.07)-10</f>
        <v>500.0176400000001</v>
      </c>
      <c r="C9" s="9">
        <f>((C8/2)*1.07)-10</f>
        <v>551.019404</v>
      </c>
      <c r="D9" s="9">
        <f aca="true" t="shared" si="1" ref="D9:X9">((D8/2)*1.07)-10</f>
        <v>576.520286</v>
      </c>
      <c r="E9" s="9">
        <f t="shared" si="1"/>
        <v>602.0211680000001</v>
      </c>
      <c r="F9" s="9">
        <f t="shared" si="1"/>
        <v>627.5220500000001</v>
      </c>
      <c r="G9" s="9">
        <f t="shared" si="1"/>
        <v>653.0229320000001</v>
      </c>
      <c r="H9" s="9">
        <f t="shared" si="1"/>
        <v>704.0246960000001</v>
      </c>
      <c r="I9" s="9">
        <f t="shared" si="1"/>
        <v>755.02646</v>
      </c>
      <c r="J9" s="9">
        <f t="shared" si="1"/>
        <v>806.028224</v>
      </c>
      <c r="K9" s="9">
        <f t="shared" si="1"/>
        <v>908.0317520000001</v>
      </c>
      <c r="L9" s="9">
        <f t="shared" si="1"/>
        <v>1010.0352800000002</v>
      </c>
      <c r="M9" s="9">
        <f t="shared" si="1"/>
        <v>1112.038808</v>
      </c>
      <c r="N9" s="9">
        <f t="shared" si="1"/>
        <v>1265.0441000000003</v>
      </c>
      <c r="O9" s="9">
        <f t="shared" si="1"/>
        <v>1316.0458640000002</v>
      </c>
      <c r="P9" s="9">
        <f t="shared" si="1"/>
        <v>1367.047628</v>
      </c>
      <c r="Q9" s="9">
        <f t="shared" si="1"/>
        <v>1418.0493920000001</v>
      </c>
      <c r="R9" s="9">
        <f t="shared" si="1"/>
        <v>1469.051156</v>
      </c>
      <c r="S9" s="9">
        <f t="shared" si="1"/>
        <v>1520.05292</v>
      </c>
      <c r="T9" s="9">
        <f t="shared" si="1"/>
        <v>1571.0546840000002</v>
      </c>
      <c r="U9" s="9">
        <f t="shared" si="1"/>
        <v>1622.056448</v>
      </c>
      <c r="V9" s="9">
        <f t="shared" si="1"/>
        <v>1673.058212</v>
      </c>
      <c r="W9" s="9">
        <f t="shared" si="1"/>
        <v>1724.059976</v>
      </c>
      <c r="X9" s="9">
        <f t="shared" si="1"/>
        <v>1775.0617399999999</v>
      </c>
    </row>
    <row r="10" spans="1:24" ht="15">
      <c r="A10" s="4" t="s">
        <v>71</v>
      </c>
      <c r="B10" s="23">
        <f>(((B6*0.00314)*0.55)*'Технический лист'!$I$3)*3.2</f>
        <v>929.5404800000001</v>
      </c>
      <c r="C10" s="23">
        <f>(((C6*0.00314)*0.55)*'Технический лист'!$I$3)*3.2</f>
        <v>1022.4945280000001</v>
      </c>
      <c r="D10" s="23">
        <f>(((D6*0.00314)*0.55)*'Технический лист'!$I$3)*3.2</f>
        <v>1068.971552</v>
      </c>
      <c r="E10" s="23">
        <f>(((E6*0.00314)*0.55)*'Технический лист'!$I$3)*3.2</f>
        <v>1115.4485760000002</v>
      </c>
      <c r="F10" s="23">
        <f>(((F6*0.00314)*0.55)*'Технический лист'!$I$3)*3.2</f>
        <v>1161.9256000000003</v>
      </c>
      <c r="G10" s="23">
        <f>(((G6*0.00314)*0.55)*'Технический лист'!$I$3)*3.2</f>
        <v>1208.402624</v>
      </c>
      <c r="H10" s="23">
        <f>(((H6*0.00314)*0.55)*'Технический лист'!$I$3)*3.2</f>
        <v>1301.3566720000001</v>
      </c>
      <c r="I10" s="23">
        <f>(((I6*0.00314)*0.55)*'Технический лист'!$I$3)*3.2</f>
        <v>1394.3107200000002</v>
      </c>
      <c r="J10" s="23">
        <f>(((J6*0.00314)*0.55)*'Технический лист'!$I$3)*3.2</f>
        <v>1487.264768</v>
      </c>
      <c r="K10" s="23">
        <f>(((K6*0.00314)*0.55)*'Технический лист'!$I$3)*3.2</f>
        <v>1673.1728640000001</v>
      </c>
      <c r="L10" s="23">
        <f>(((L6*0.00314)*0.55)*'Технический лист'!$I$3)*3.2</f>
        <v>1859.0809600000002</v>
      </c>
      <c r="M10" s="23">
        <f>(((M6*0.00314)*0.55)*'Технический лист'!$I$3)*3.2</f>
        <v>2044.9890560000001</v>
      </c>
      <c r="N10" s="23">
        <f>(((N6*0.00314)*0.55)*'Технический лист'!$I$3)*3.2</f>
        <v>2323.8512000000005</v>
      </c>
      <c r="O10" s="23">
        <f>(((O6*0.00314)*0.55)*'Технический лист'!$I$3)*3.2</f>
        <v>2416.805248</v>
      </c>
      <c r="P10" s="23">
        <f>(((P6*0.00314)*0.55)*'Технический лист'!$I$3)*3.2</f>
        <v>2509.759296</v>
      </c>
      <c r="Q10" s="23">
        <f>(((Q6*0.00314)*0.55)*'Технический лист'!$I$3)*3.2</f>
        <v>2602.7133440000002</v>
      </c>
      <c r="R10" s="23">
        <f>(((R6*0.00314)*0.55)*'Технический лист'!$I$3)*3.2</f>
        <v>2695.6673920000003</v>
      </c>
      <c r="S10" s="23">
        <f>(((S6*0.00314)*0.55)*'Технический лист'!$I$3)*3.2</f>
        <v>2788.6214400000003</v>
      </c>
      <c r="T10" s="23">
        <f>(((T6*0.00314)*0.55)*'Технический лист'!$I$3)*3.2</f>
        <v>2881.5754880000004</v>
      </c>
      <c r="U10" s="23">
        <f>(((U6*0.00314)*0.55)*'Технический лист'!$I$3)*3.2</f>
        <v>2974.529536</v>
      </c>
      <c r="V10" s="23">
        <f>(((V6*0.00314)*0.55)*'Технический лист'!$I$3)*3.2</f>
        <v>3067.483584</v>
      </c>
      <c r="W10" s="23">
        <f>(((W6*0.00314)*0.55)*'Технический лист'!$I$3)*3.2</f>
        <v>3160.437632000001</v>
      </c>
      <c r="X10" s="23">
        <f>(((X6*0.00314)*0.55)*'Технический лист'!$I$3)*3.2</f>
        <v>3253.3916800000006</v>
      </c>
    </row>
    <row r="11" spans="1:24" ht="15">
      <c r="A11" s="4" t="s">
        <v>72</v>
      </c>
      <c r="B11" s="24">
        <f>((B10*2)/3)-6</f>
        <v>613.6936533333334</v>
      </c>
      <c r="C11" s="9">
        <f aca="true" t="shared" si="2" ref="C11:X11">((C10*2)/3)-6</f>
        <v>675.6630186666667</v>
      </c>
      <c r="D11" s="9">
        <f t="shared" si="2"/>
        <v>706.6477013333333</v>
      </c>
      <c r="E11" s="9">
        <f t="shared" si="2"/>
        <v>737.6323840000001</v>
      </c>
      <c r="F11" s="9">
        <f t="shared" si="2"/>
        <v>768.6170666666668</v>
      </c>
      <c r="G11" s="9">
        <f t="shared" si="2"/>
        <v>799.6017493333334</v>
      </c>
      <c r="H11" s="9">
        <f t="shared" si="2"/>
        <v>861.5711146666667</v>
      </c>
      <c r="I11" s="9">
        <f t="shared" si="2"/>
        <v>923.5404800000001</v>
      </c>
      <c r="J11" s="9">
        <f t="shared" si="2"/>
        <v>985.5098453333334</v>
      </c>
      <c r="K11" s="9">
        <f t="shared" si="2"/>
        <v>1109.448576</v>
      </c>
      <c r="L11" s="9">
        <f t="shared" si="2"/>
        <v>1233.3873066666667</v>
      </c>
      <c r="M11" s="9">
        <f t="shared" si="2"/>
        <v>1357.3260373333335</v>
      </c>
      <c r="N11" s="9">
        <f t="shared" si="2"/>
        <v>1543.2341333333336</v>
      </c>
      <c r="O11" s="9">
        <f t="shared" si="2"/>
        <v>1605.2034986666667</v>
      </c>
      <c r="P11" s="9">
        <f t="shared" si="2"/>
        <v>1667.1728640000001</v>
      </c>
      <c r="Q11" s="9">
        <f t="shared" si="2"/>
        <v>1729.1422293333335</v>
      </c>
      <c r="R11" s="9">
        <f t="shared" si="2"/>
        <v>1791.1115946666669</v>
      </c>
      <c r="S11" s="9">
        <f t="shared" si="2"/>
        <v>1853.0809600000002</v>
      </c>
      <c r="T11" s="9">
        <f t="shared" si="2"/>
        <v>1915.0503253333336</v>
      </c>
      <c r="U11" s="9">
        <f t="shared" si="2"/>
        <v>1977.0196906666667</v>
      </c>
      <c r="V11" s="9">
        <f t="shared" si="2"/>
        <v>2038.9890560000001</v>
      </c>
      <c r="W11" s="9">
        <f t="shared" si="2"/>
        <v>2100.958421333334</v>
      </c>
      <c r="X11" s="9">
        <f t="shared" si="2"/>
        <v>2162.927786666667</v>
      </c>
    </row>
    <row r="12" spans="1:24" ht="15" hidden="1">
      <c r="A12" s="4" t="s">
        <v>8</v>
      </c>
      <c r="B12" s="2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4" t="s">
        <v>99</v>
      </c>
      <c r="B13" s="23">
        <v>968</v>
      </c>
      <c r="C13" s="16">
        <v>1086</v>
      </c>
      <c r="D13" s="16">
        <v>1152</v>
      </c>
      <c r="E13" s="16">
        <v>1211</v>
      </c>
      <c r="F13" s="16">
        <v>1275</v>
      </c>
      <c r="G13" s="16">
        <v>1340</v>
      </c>
      <c r="H13" s="16">
        <v>1431</v>
      </c>
      <c r="I13" s="16">
        <v>1557</v>
      </c>
      <c r="J13" s="16">
        <v>1691</v>
      </c>
      <c r="K13" s="16">
        <v>1970</v>
      </c>
      <c r="L13" s="16">
        <v>2263</v>
      </c>
      <c r="M13" s="16">
        <v>2488</v>
      </c>
      <c r="N13" s="16">
        <v>2735</v>
      </c>
      <c r="O13" s="16">
        <v>3283</v>
      </c>
      <c r="P13" s="16">
        <v>3181</v>
      </c>
      <c r="Q13" s="16">
        <v>3339</v>
      </c>
      <c r="R13" s="16">
        <v>3399</v>
      </c>
      <c r="S13" s="16">
        <v>3561</v>
      </c>
      <c r="T13" s="16">
        <v>3729</v>
      </c>
      <c r="U13" s="16">
        <v>3898</v>
      </c>
      <c r="V13" s="16">
        <v>4072</v>
      </c>
      <c r="W13" s="16">
        <v>4106</v>
      </c>
      <c r="X13" s="16">
        <v>4278</v>
      </c>
    </row>
    <row r="14" spans="1:24" ht="15">
      <c r="A14" s="4" t="s">
        <v>103</v>
      </c>
      <c r="B14" s="23">
        <v>805</v>
      </c>
      <c r="C14" s="16">
        <v>905</v>
      </c>
      <c r="D14" s="16">
        <v>959</v>
      </c>
      <c r="E14" s="16">
        <v>1010</v>
      </c>
      <c r="F14" s="16">
        <v>1062</v>
      </c>
      <c r="G14" s="16">
        <v>1115</v>
      </c>
      <c r="H14" s="16">
        <v>1227</v>
      </c>
      <c r="I14" s="16">
        <v>1298</v>
      </c>
      <c r="J14" s="16">
        <v>1408</v>
      </c>
      <c r="K14" s="16">
        <v>1643</v>
      </c>
      <c r="L14" s="16">
        <v>1829</v>
      </c>
      <c r="M14" s="16">
        <v>2072</v>
      </c>
      <c r="N14" s="16">
        <v>2462</v>
      </c>
      <c r="O14" s="16">
        <v>2486</v>
      </c>
      <c r="P14" s="16">
        <v>2565</v>
      </c>
      <c r="Q14" s="16">
        <v>2785</v>
      </c>
      <c r="R14" s="16">
        <v>2934</v>
      </c>
      <c r="S14" s="16">
        <v>3065</v>
      </c>
      <c r="T14" s="16">
        <v>3107</v>
      </c>
      <c r="U14" s="16">
        <v>3248</v>
      </c>
      <c r="V14" s="16">
        <v>3393</v>
      </c>
      <c r="W14" s="16">
        <v>3539</v>
      </c>
      <c r="X14" s="16">
        <v>3687</v>
      </c>
    </row>
    <row r="15" spans="1:24" ht="15">
      <c r="A15" s="4" t="s">
        <v>75</v>
      </c>
      <c r="B15" s="24">
        <f>(((B6*0.00314)*((B6+500)/1000)*'Технический лист'!$K$3))*3.63</f>
        <v>1273.406904</v>
      </c>
      <c r="C15" s="24">
        <f>(((C6*0.00314)*((C6+500)/1000)*'Технический лист'!$K$3))*3.63</f>
        <v>1424.09338764</v>
      </c>
      <c r="D15" s="24">
        <f>(((D6*0.00314)*((D6+500)/1000)*'Технический лист'!$K$3))*3.63</f>
        <v>1501.02838809</v>
      </c>
      <c r="E15" s="24">
        <f>(((E6*0.00314)*((E6+500)/1000)*'Технический лист'!$K$3))*3.63</f>
        <v>1579.02456096</v>
      </c>
      <c r="F15" s="24">
        <f>(((F6*0.00314)*((F6+500)/1000)*'Технический лист'!$K$3))*3.63</f>
        <v>1658.08190625</v>
      </c>
      <c r="G15" s="24">
        <f>(((G6*0.00314)*((G6+500)/1000)*'Технический лист'!$K$3))*3.63</f>
        <v>1738.20042396</v>
      </c>
      <c r="H15" s="24">
        <f>(((H6*0.00314)*((H6+500)/1000)*'Технический лист'!$K$3))*3.63</f>
        <v>1901.62097664</v>
      </c>
      <c r="I15" s="24">
        <f>(((I6*0.00314)*((I6+500)/1000)*'Технический лист'!$K$3))*3.63</f>
        <v>2069.2862189999996</v>
      </c>
      <c r="J15" s="24">
        <f>(((J6*0.00314)*((J6+500)/1000)*'Технический лист'!$K$3))*3.63</f>
        <v>2241.1961510399997</v>
      </c>
      <c r="K15" s="24">
        <f>(((K6*0.00314)*((K6+500)/1000)*'Технический лист'!$K$3))*3.63</f>
        <v>2597.7500841600004</v>
      </c>
      <c r="L15" s="24">
        <f>(((L6*0.00314)*((L6+500)/1000)*'Технический лист'!$K$3))*3.63</f>
        <v>2971.282776</v>
      </c>
      <c r="M15" s="24">
        <f>(((M6*0.00314)*((M6+500)/1000)*'Технический лист'!$K$3))*3.63</f>
        <v>3361.79422656</v>
      </c>
      <c r="N15" s="24">
        <f>(((N6*0.00314)*((N6+500)/1000)*'Технический лист'!$K$3))*3.63</f>
        <v>3979.396575</v>
      </c>
      <c r="O15" s="24">
        <f>(((O6*0.00314)*((O6+500)/1000)*'Технический лист'!$K$3))*3.63</f>
        <v>4193.75340384</v>
      </c>
      <c r="P15" s="24">
        <f>(((P6*0.00314)*((P6+500)/1000)*'Технический лист'!$K$3))*3.63</f>
        <v>4412.354922359999</v>
      </c>
      <c r="Q15" s="24">
        <f>(((Q6*0.00314)*((Q6+500)/1000)*'Технический лист'!$K$3))*3.63</f>
        <v>4635.201130560001</v>
      </c>
      <c r="R15" s="24">
        <f>(((R6*0.00314)*((R6+500)/1000)*'Технический лист'!$K$3))*3.63</f>
        <v>4862.29202844</v>
      </c>
      <c r="S15" s="24">
        <f>(((S6*0.00314)*((S6+500)/1000)*'Технический лист'!$K$3))*3.63</f>
        <v>5093.627616000001</v>
      </c>
      <c r="T15" s="24">
        <f>(((T6*0.00314)*((T6+500)/1000)*'Технический лист'!$K$3))*3.63</f>
        <v>5329.20789324</v>
      </c>
      <c r="U15" s="24">
        <f>(((U6*0.00314)*((U6+500)/1000)*'Технический лист'!$K$3))*3.63</f>
        <v>5569.0328601599995</v>
      </c>
      <c r="V15" s="24">
        <f>(((V6*0.00314)*((V6+500)/1000)*'Технический лист'!$K$3))*3.63</f>
        <v>5813.102516759999</v>
      </c>
      <c r="W15" s="24">
        <f>(((W6*0.00314)*((W6+500)/1000)*'Технический лист'!$K$3))*3.63</f>
        <v>6061.41686304</v>
      </c>
      <c r="X15" s="24">
        <f>(((X6*0.00314)*((X6+500)/1000)*'Технический лист'!$K$3))*3.63</f>
        <v>6313.975898999999</v>
      </c>
    </row>
    <row r="16" spans="1:24" ht="15">
      <c r="A16" s="4" t="s">
        <v>105</v>
      </c>
      <c r="B16" s="24">
        <v>932</v>
      </c>
      <c r="C16" s="24">
        <v>1026</v>
      </c>
      <c r="D16" s="24">
        <v>1075</v>
      </c>
      <c r="E16" s="24">
        <v>1124</v>
      </c>
      <c r="F16" s="24">
        <v>1174</v>
      </c>
      <c r="G16" s="24">
        <v>1224</v>
      </c>
      <c r="H16" s="24">
        <v>1328</v>
      </c>
      <c r="I16" s="24">
        <v>1434</v>
      </c>
      <c r="J16" s="24">
        <v>1543</v>
      </c>
      <c r="K16" s="24">
        <v>1770</v>
      </c>
      <c r="L16" s="24">
        <v>2009</v>
      </c>
      <c r="M16" s="24">
        <v>2260</v>
      </c>
      <c r="N16" s="24">
        <v>2658</v>
      </c>
      <c r="O16" s="24">
        <v>2797</v>
      </c>
      <c r="P16" s="24">
        <v>2938</v>
      </c>
      <c r="Q16" s="24">
        <v>3082</v>
      </c>
      <c r="R16" s="24">
        <v>3230</v>
      </c>
      <c r="S16" s="24">
        <v>3380</v>
      </c>
      <c r="T16" s="24">
        <v>3533</v>
      </c>
      <c r="U16" s="24">
        <v>3689</v>
      </c>
      <c r="V16" s="24">
        <v>3848</v>
      </c>
      <c r="W16" s="24">
        <v>4010</v>
      </c>
      <c r="X16" s="24">
        <v>4175</v>
      </c>
    </row>
    <row r="17" spans="1:24" ht="15">
      <c r="A17" s="4" t="s">
        <v>76</v>
      </c>
      <c r="B17" s="24">
        <f>((((B6*0.00314)*0.18)*'Технический лист'!$M$3)+((((B6+100)/1000)*((B6+100)/1000))*3)*'Технический лист'!$I$3)*2.9</f>
        <v>931.509696</v>
      </c>
      <c r="C17" s="24">
        <f>((((C6*0.00314)*0.18)*'Технический лист'!$M$3)+((((C6+100)/1000)*((C6+100)/1000))*3)*'Технический лист'!$I$3)*2.9</f>
        <v>1026.1240056</v>
      </c>
      <c r="D17" s="24">
        <f>((((D6*0.00314)*0.18)*'Технический лист'!$M$3)+((((D6+100)/1000)*((D6+100)/1000))*3)*'Технический лист'!$I$3)*2.9</f>
        <v>1074.5286654</v>
      </c>
      <c r="E17" s="24">
        <f>((((E6*0.00314)*0.18)*'Технический лист'!$M$3)+((((E6+100)/1000)*((E6+100)/1000))*3)*'Технический лист'!$I$3)*2.9</f>
        <v>1123.6649952</v>
      </c>
      <c r="F17" s="24">
        <f>((((F6*0.00314)*0.18)*'Технический лист'!$M$3)+((((F6+100)/1000)*((F6+100)/1000))*3)*'Технический лист'!$I$3)*2.9</f>
        <v>1173.532995</v>
      </c>
      <c r="G17" s="24">
        <f>((((G6*0.00314)*0.18)*'Технический лист'!$M$3)+((((G6+100)/1000)*((G6+100)/1000))*3)*'Технический лист'!$I$3)*2.9</f>
        <v>1224.1326648</v>
      </c>
      <c r="H17" s="24">
        <f>((((H6*0.00314)*0.18)*'Технический лист'!$M$3)+((((H6+100)/1000)*((H6+100)/1000))*3)*'Технический лист'!$I$3)*2.9</f>
        <v>1327.5270143999999</v>
      </c>
      <c r="I17" s="24">
        <f>((((I6*0.00314)*0.18)*'Технический лист'!$M$3)+((((I6+100)/1000)*((I6+100)/1000))*3)*'Технический лист'!$I$3)*2.9</f>
        <v>1433.8480439999998</v>
      </c>
      <c r="J17" s="24">
        <f>((((J6*0.00314)*0.18)*'Технический лист'!$M$3)+((((J6+100)/1000)*((J6+100)/1000))*3)*'Технический лист'!$I$3)*2.9</f>
        <v>1543.0957536</v>
      </c>
      <c r="K17" s="24">
        <f>((((K6*0.00314)*0.18)*'Технический лист'!$M$3)+((((K6+100)/1000)*((K6+100)/1000))*3)*'Технический лист'!$I$3)*2.9</f>
        <v>1770.3712128</v>
      </c>
      <c r="L17" s="24">
        <f>((((L6*0.00314)*0.18)*'Технический лист'!$M$3)+((((L6+100)/1000)*((L6+100)/1000))*3)*'Технический лист'!$I$3)*2.9</f>
        <v>2009.353392</v>
      </c>
      <c r="M17" s="24">
        <f>((((M6*0.00314)*0.18)*'Технический лист'!$M$3)+((((M6+100)/1000)*((M6+100)/1000))*3)*'Технический лист'!$I$3)*2.9</f>
        <v>2260.0422912</v>
      </c>
      <c r="N17" s="24">
        <f>((((N6*0.00314)*0.18)*'Технический лист'!$M$3)+((((N6+100)/1000)*((N6+100)/1000))*3)*'Технический лист'!$I$3)*2.9</f>
        <v>2658.0257399999996</v>
      </c>
      <c r="O17" s="24">
        <f>((((O6*0.00314)*0.18)*'Технический лист'!$M$3)+((((O6+100)/1000)*((O6+100)/1000))*3)*'Технический лист'!$I$3)*2.9</f>
        <v>2796.5402495999997</v>
      </c>
      <c r="P17" s="24">
        <f>((((P6*0.00314)*0.18)*'Технический лист'!$M$3)+((((P6+100)/1000)*((P6+100)/1000))*3)*'Технический лист'!$I$3)*2.9</f>
        <v>2937.9814391999994</v>
      </c>
      <c r="Q17" s="24">
        <f>((((Q6*0.00314)*0.18)*'Технический лист'!$M$3)+((((Q6+100)/1000)*((Q6+100)/1000))*3)*'Технический лист'!$I$3)*2.9</f>
        <v>3082.3493087999996</v>
      </c>
      <c r="R17" s="24">
        <f>((((R6*0.00314)*0.18)*'Технический лист'!$M$3)+((((R6+100)/1000)*((R6+100)/1000))*3)*'Технический лист'!$I$3)*2.9</f>
        <v>3229.6438583999998</v>
      </c>
      <c r="S17" s="24">
        <f>((((S6*0.00314)*0.18)*'Технический лист'!$M$3)+((((S6+100)/1000)*((S6+100)/1000))*3)*'Технический лист'!$I$3)*2.9</f>
        <v>3379.865088</v>
      </c>
      <c r="T17" s="24">
        <f>((((T6*0.00314)*0.18)*'Технический лист'!$M$3)+((((T6+100)/1000)*((T6+100)/1000))*3)*'Технический лист'!$I$3)*2.9</f>
        <v>3533.0129976</v>
      </c>
      <c r="U17" s="24">
        <f>((((U6*0.00314)*0.18)*'Технический лист'!$M$3)+((((U6+100)/1000)*((U6+100)/1000))*3)*'Технический лист'!$I$3)*2.9</f>
        <v>3689.0875871999992</v>
      </c>
      <c r="V17" s="24">
        <f>((((V6*0.00314)*0.18)*'Технический лист'!$M$3)+((((V6+100)/1000)*((V6+100)/1000))*3)*'Технический лист'!$I$3)*2.9</f>
        <v>3848.0888567999996</v>
      </c>
      <c r="W17" s="24">
        <f>((((W6*0.00314)*0.18)*'Технический лист'!$M$3)+((((W6+100)/1000)*((W6+100)/1000))*3)*'Технический лист'!$I$3)*2.9</f>
        <v>4010.0168064</v>
      </c>
      <c r="X17" s="24">
        <f>((((X6*0.00314)*0.18)*'Технический лист'!$M$3)+((((X6+100)/1000)*((X6+100)/1000))*3)*'Технический лист'!$I$3)*2.9</f>
        <v>4174.871436</v>
      </c>
    </row>
    <row r="18" spans="1:24" ht="15">
      <c r="A18" s="4" t="s">
        <v>101</v>
      </c>
      <c r="B18" s="24">
        <v>750</v>
      </c>
      <c r="C18" s="24">
        <v>750</v>
      </c>
      <c r="D18" s="24">
        <v>750</v>
      </c>
      <c r="E18" s="24">
        <v>750</v>
      </c>
      <c r="F18" s="24">
        <v>750</v>
      </c>
      <c r="G18" s="24">
        <v>750</v>
      </c>
      <c r="H18" s="24">
        <v>750</v>
      </c>
      <c r="I18" s="24">
        <v>750</v>
      </c>
      <c r="J18" s="24">
        <v>750</v>
      </c>
      <c r="K18" s="24">
        <v>750</v>
      </c>
      <c r="L18" s="24">
        <v>750</v>
      </c>
      <c r="M18" s="24">
        <v>750</v>
      </c>
      <c r="N18" s="24">
        <v>750</v>
      </c>
      <c r="O18" s="24">
        <v>750</v>
      </c>
      <c r="P18" s="24">
        <v>750</v>
      </c>
      <c r="Q18" s="24">
        <v>750</v>
      </c>
      <c r="R18" s="24">
        <v>750</v>
      </c>
      <c r="S18" s="24">
        <v>750</v>
      </c>
      <c r="T18" s="24">
        <v>750</v>
      </c>
      <c r="U18" s="24">
        <v>750</v>
      </c>
      <c r="V18" s="24">
        <v>750</v>
      </c>
      <c r="W18" s="24">
        <v>750</v>
      </c>
      <c r="X18" s="24">
        <v>750</v>
      </c>
    </row>
    <row r="20" spans="1:28" ht="15">
      <c r="A20" s="41" t="s">
        <v>114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1" t="s">
        <v>114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4" ht="15">
      <c r="A21" s="3" t="s">
        <v>79</v>
      </c>
      <c r="B21" s="22">
        <v>100</v>
      </c>
      <c r="C21" s="10">
        <v>110</v>
      </c>
      <c r="D21" s="10">
        <v>115</v>
      </c>
      <c r="E21" s="10">
        <v>120</v>
      </c>
      <c r="F21" s="10">
        <v>125</v>
      </c>
      <c r="G21" s="10">
        <v>130</v>
      </c>
      <c r="H21" s="10">
        <v>140</v>
      </c>
      <c r="I21" s="10">
        <v>150</v>
      </c>
      <c r="J21" s="10">
        <v>160</v>
      </c>
      <c r="K21" s="10">
        <v>180</v>
      </c>
      <c r="L21" s="10">
        <v>200</v>
      </c>
      <c r="M21" s="10">
        <v>220</v>
      </c>
      <c r="N21" s="10">
        <v>250</v>
      </c>
      <c r="O21" s="10">
        <v>260</v>
      </c>
      <c r="P21" s="10">
        <v>270</v>
      </c>
      <c r="Q21" s="10">
        <v>280</v>
      </c>
      <c r="R21" s="10">
        <v>290</v>
      </c>
      <c r="S21" s="10">
        <v>300</v>
      </c>
      <c r="T21" s="10">
        <v>310</v>
      </c>
      <c r="U21" s="10">
        <v>320</v>
      </c>
      <c r="V21" s="10">
        <v>330</v>
      </c>
      <c r="W21" s="10">
        <v>340</v>
      </c>
      <c r="X21" s="10">
        <v>350</v>
      </c>
    </row>
    <row r="22" spans="1:24" ht="15">
      <c r="A22" s="4" t="s">
        <v>69</v>
      </c>
      <c r="B22" s="23">
        <f>((B21*0.00314)*'Технический лист'!$G$4)*2.82</f>
        <v>1298.3206753246752</v>
      </c>
      <c r="C22" s="23">
        <f>((C21*0.00314)*'Технический лист'!$G$4)*2.82</f>
        <v>1428.1527428571428</v>
      </c>
      <c r="D22" s="23">
        <f>((D21*0.00314)*'Технический лист'!$G$4)*2.82</f>
        <v>1493.0687766233764</v>
      </c>
      <c r="E22" s="23">
        <f>((E21*0.00314)*'Технический лист'!$G$4)*2.82</f>
        <v>1557.9848103896104</v>
      </c>
      <c r="F22" s="23">
        <f>((F21*0.00314)*'Технический лист'!$G$4)*2.82</f>
        <v>1622.9008441558442</v>
      </c>
      <c r="G22" s="23">
        <f>((G21*0.00314)*'Технический лист'!$G$4)*2.82</f>
        <v>1687.816877922078</v>
      </c>
      <c r="H22" s="23">
        <f>((H21*0.00314)*'Технический лист'!$G$4)*2.82</f>
        <v>1817.6489454545456</v>
      </c>
      <c r="I22" s="23">
        <f>((I21*0.00314)*'Технический лист'!$G$4)*2.82</f>
        <v>1947.481012987013</v>
      </c>
      <c r="J22" s="23">
        <f>((J21*0.00314)*'Технический лист'!$G$4)*2.82</f>
        <v>2077.31308051948</v>
      </c>
      <c r="K22" s="23">
        <f>((K21*0.00314)*'Технический лист'!$G$4)*2.82</f>
        <v>2336.9772155844157</v>
      </c>
      <c r="L22" s="23">
        <f>((L21*0.00314)*'Технический лист'!$G$4)*2.82</f>
        <v>2596.6413506493504</v>
      </c>
      <c r="M22" s="23">
        <f>((M21*0.00314)*'Технический лист'!$G$4)*2.82</f>
        <v>2856.3054857142856</v>
      </c>
      <c r="N22" s="23">
        <f>((N21*0.00314)*'Технический лист'!$G$4)*2.82</f>
        <v>3245.8016883116884</v>
      </c>
      <c r="O22" s="23">
        <f>((O21*0.00314)*'Технический лист'!$G$4)*2.82</f>
        <v>3375.633755844156</v>
      </c>
      <c r="P22" s="23">
        <f>((P21*0.00314)*'Технический лист'!$G$4)*2.82</f>
        <v>3505.4658233766236</v>
      </c>
      <c r="Q22" s="23">
        <f>((Q21*0.00314)*'Технический лист'!$G$4)*2.82</f>
        <v>3635.297890909091</v>
      </c>
      <c r="R22" s="23">
        <f>((R21*0.00314)*'Технический лист'!$G$4)*2.82</f>
        <v>3765.1299584415588</v>
      </c>
      <c r="S22" s="23">
        <f>((S21*0.00314)*'Технический лист'!$G$4)*2.82</f>
        <v>3894.962025974026</v>
      </c>
      <c r="T22" s="23">
        <f>((T21*0.00314)*'Технический лист'!$G$4)*2.82</f>
        <v>4024.7940935064935</v>
      </c>
      <c r="U22" s="23">
        <f>((U21*0.00314)*'Технический лист'!$G$4)*2.82</f>
        <v>4154.62616103896</v>
      </c>
      <c r="V22" s="23">
        <f>((V21*0.00314)*'Технический лист'!$G$4)*2.82</f>
        <v>4284.458228571429</v>
      </c>
      <c r="W22" s="23">
        <f>((W21*0.00314)*'Технический лист'!$G$4)*2.82</f>
        <v>4414.290296103897</v>
      </c>
      <c r="X22" s="23">
        <f>((X21*0.00314)*'Технический лист'!$G$4)*2.82</f>
        <v>4544.122363636364</v>
      </c>
    </row>
    <row r="23" spans="1:24" ht="15">
      <c r="A23" s="4" t="s">
        <v>70</v>
      </c>
      <c r="B23" s="24">
        <f>((B22/2)*1.07)-10</f>
        <v>684.6015612987013</v>
      </c>
      <c r="C23" s="9">
        <f aca="true" t="shared" si="3" ref="C23:X23">((C22/2)*1.07)-10</f>
        <v>754.0617174285715</v>
      </c>
      <c r="D23" s="9">
        <f t="shared" si="3"/>
        <v>788.7917954935064</v>
      </c>
      <c r="E23" s="9">
        <f t="shared" si="3"/>
        <v>823.5218735584416</v>
      </c>
      <c r="F23" s="9">
        <f t="shared" si="3"/>
        <v>858.2519516233767</v>
      </c>
      <c r="G23" s="9">
        <f t="shared" si="3"/>
        <v>892.9820296883117</v>
      </c>
      <c r="H23" s="9">
        <f t="shared" si="3"/>
        <v>962.442185818182</v>
      </c>
      <c r="I23" s="9">
        <f t="shared" si="3"/>
        <v>1031.902341948052</v>
      </c>
      <c r="J23" s="9">
        <f t="shared" si="3"/>
        <v>1101.3624980779218</v>
      </c>
      <c r="K23" s="9">
        <f t="shared" si="3"/>
        <v>1240.2828103376626</v>
      </c>
      <c r="L23" s="9">
        <f t="shared" si="3"/>
        <v>1379.2031225974026</v>
      </c>
      <c r="M23" s="9">
        <f t="shared" si="3"/>
        <v>1518.123434857143</v>
      </c>
      <c r="N23" s="9">
        <f t="shared" si="3"/>
        <v>1726.5039032467535</v>
      </c>
      <c r="O23" s="9">
        <f t="shared" si="3"/>
        <v>1795.9640593766235</v>
      </c>
      <c r="P23" s="9">
        <f t="shared" si="3"/>
        <v>1865.4242155064937</v>
      </c>
      <c r="Q23" s="9">
        <f t="shared" si="3"/>
        <v>1934.884371636364</v>
      </c>
      <c r="R23" s="9">
        <f t="shared" si="3"/>
        <v>2004.344527766234</v>
      </c>
      <c r="S23" s="9">
        <f t="shared" si="3"/>
        <v>2073.804683896104</v>
      </c>
      <c r="T23" s="9">
        <f t="shared" si="3"/>
        <v>2143.264840025974</v>
      </c>
      <c r="U23" s="9">
        <f t="shared" si="3"/>
        <v>2212.7249961558437</v>
      </c>
      <c r="V23" s="9">
        <f t="shared" si="3"/>
        <v>2282.1851522857146</v>
      </c>
      <c r="W23" s="9">
        <f t="shared" si="3"/>
        <v>2351.645308415585</v>
      </c>
      <c r="X23" s="9">
        <f t="shared" si="3"/>
        <v>2421.1054645454547</v>
      </c>
    </row>
    <row r="24" spans="1:24" ht="15">
      <c r="A24" s="4" t="s">
        <v>71</v>
      </c>
      <c r="B24" s="23">
        <f>(((B21*0.00314)*0.55)*'Технический лист'!$I$4)*3.2</f>
        <v>1235.832228571429</v>
      </c>
      <c r="C24" s="23">
        <f>(((C21*0.00314)*0.55)*'Технический лист'!$I$4)*3.2</f>
        <v>1359.4154514285717</v>
      </c>
      <c r="D24" s="23">
        <f>(((D21*0.00314)*0.55)*'Технический лист'!$I$4)*3.2</f>
        <v>1421.207062857143</v>
      </c>
      <c r="E24" s="23">
        <f>(((E21*0.00314)*0.55)*'Технический лист'!$I$4)*3.2</f>
        <v>1482.9986742857147</v>
      </c>
      <c r="F24" s="23">
        <f>(((F21*0.00314)*0.55)*'Технический лист'!$I$4)*3.2</f>
        <v>1544.7902857142863</v>
      </c>
      <c r="G24" s="23">
        <f>(((G21*0.00314)*0.55)*'Технический лист'!$I$4)*3.2</f>
        <v>1606.5818971428573</v>
      </c>
      <c r="H24" s="23">
        <f>(((H21*0.00314)*0.55)*'Технический лист'!$I$4)*3.2</f>
        <v>1730.1651200000006</v>
      </c>
      <c r="I24" s="23">
        <f>(((I21*0.00314)*0.55)*'Технический лист'!$I$4)*3.2</f>
        <v>1853.7483428571431</v>
      </c>
      <c r="J24" s="23">
        <f>(((J21*0.00314)*0.55)*'Технический лист'!$I$4)*3.2</f>
        <v>1977.331565714286</v>
      </c>
      <c r="K24" s="23">
        <f>(((K21*0.00314)*0.55)*'Технический лист'!$I$4)*3.2</f>
        <v>2224.4980114285718</v>
      </c>
      <c r="L24" s="23">
        <f>(((L21*0.00314)*0.55)*'Технический лист'!$I$4)*3.2</f>
        <v>2471.664457142858</v>
      </c>
      <c r="M24" s="23">
        <f>(((M21*0.00314)*0.55)*'Технический лист'!$I$4)*3.2</f>
        <v>2718.8309028571434</v>
      </c>
      <c r="N24" s="23">
        <f>(((N21*0.00314)*0.55)*'Технический лист'!$I$4)*3.2</f>
        <v>3089.5805714285725</v>
      </c>
      <c r="O24" s="23">
        <f>(((O21*0.00314)*0.55)*'Технический лист'!$I$4)*3.2</f>
        <v>3213.1637942857146</v>
      </c>
      <c r="P24" s="23">
        <f>(((P21*0.00314)*0.55)*'Технический лист'!$I$4)*3.2</f>
        <v>3336.7470171428577</v>
      </c>
      <c r="Q24" s="23">
        <f>(((Q21*0.00314)*0.55)*'Технический лист'!$I$4)*3.2</f>
        <v>3460.330240000001</v>
      </c>
      <c r="R24" s="23">
        <f>(((R21*0.00314)*0.55)*'Технический лист'!$I$4)*3.2</f>
        <v>3583.9134628571433</v>
      </c>
      <c r="S24" s="23">
        <f>(((S21*0.00314)*0.55)*'Технический лист'!$I$4)*3.2</f>
        <v>3707.4966857142863</v>
      </c>
      <c r="T24" s="23">
        <f>(((T21*0.00314)*0.55)*'Технический лист'!$I$4)*3.2</f>
        <v>3831.079908571429</v>
      </c>
      <c r="U24" s="23">
        <f>(((U21*0.00314)*0.55)*'Технический лист'!$I$4)*3.2</f>
        <v>3954.663131428572</v>
      </c>
      <c r="V24" s="23">
        <f>(((V21*0.00314)*0.55)*'Технический лист'!$I$4)*3.2</f>
        <v>4078.246354285715</v>
      </c>
      <c r="W24" s="23">
        <f>(((W21*0.00314)*0.55)*'Технический лист'!$I$4)*3.2</f>
        <v>4201.829577142859</v>
      </c>
      <c r="X24" s="23">
        <f>(((X21*0.00314)*0.55)*'Технический лист'!$I$4)*3.2</f>
        <v>4325.412800000001</v>
      </c>
    </row>
    <row r="25" spans="1:24" ht="15">
      <c r="A25" s="4" t="s">
        <v>72</v>
      </c>
      <c r="B25" s="24">
        <f>((B24*2)/3)-6</f>
        <v>817.8881523809526</v>
      </c>
      <c r="C25" s="9">
        <f aca="true" t="shared" si="4" ref="C25:X25">((C24*2)/3)-6</f>
        <v>900.2769676190478</v>
      </c>
      <c r="D25" s="9">
        <f t="shared" si="4"/>
        <v>941.4713752380953</v>
      </c>
      <c r="E25" s="9">
        <f t="shared" si="4"/>
        <v>982.6657828571432</v>
      </c>
      <c r="F25" s="9">
        <f t="shared" si="4"/>
        <v>1023.8601904761908</v>
      </c>
      <c r="G25" s="9">
        <f t="shared" si="4"/>
        <v>1065.0545980952381</v>
      </c>
      <c r="H25" s="9">
        <f t="shared" si="4"/>
        <v>1147.4434133333336</v>
      </c>
      <c r="I25" s="9">
        <f t="shared" si="4"/>
        <v>1229.8322285714287</v>
      </c>
      <c r="J25" s="9">
        <f t="shared" si="4"/>
        <v>1312.221043809524</v>
      </c>
      <c r="K25" s="9">
        <f t="shared" si="4"/>
        <v>1476.9986742857145</v>
      </c>
      <c r="L25" s="9">
        <f t="shared" si="4"/>
        <v>1641.7763047619053</v>
      </c>
      <c r="M25" s="9">
        <f t="shared" si="4"/>
        <v>1806.5539352380956</v>
      </c>
      <c r="N25" s="9">
        <f t="shared" si="4"/>
        <v>2053.7203809523817</v>
      </c>
      <c r="O25" s="9">
        <f t="shared" si="4"/>
        <v>2136.1091961904763</v>
      </c>
      <c r="P25" s="9">
        <f t="shared" si="4"/>
        <v>2218.4980114285718</v>
      </c>
      <c r="Q25" s="9">
        <f t="shared" si="4"/>
        <v>2300.8868266666673</v>
      </c>
      <c r="R25" s="9">
        <f t="shared" si="4"/>
        <v>2383.2756419047623</v>
      </c>
      <c r="S25" s="9">
        <f t="shared" si="4"/>
        <v>2465.6644571428574</v>
      </c>
      <c r="T25" s="9">
        <f t="shared" si="4"/>
        <v>2548.0532723809524</v>
      </c>
      <c r="U25" s="9">
        <f t="shared" si="4"/>
        <v>2630.442087619048</v>
      </c>
      <c r="V25" s="9">
        <f t="shared" si="4"/>
        <v>2712.8309028571434</v>
      </c>
      <c r="W25" s="9">
        <f t="shared" si="4"/>
        <v>2795.2197180952394</v>
      </c>
      <c r="X25" s="9">
        <f t="shared" si="4"/>
        <v>2877.608533333334</v>
      </c>
    </row>
    <row r="26" spans="1:24" ht="15" hidden="1">
      <c r="A26" s="4"/>
      <c r="B26" s="2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>
      <c r="A27" s="4" t="s">
        <v>99</v>
      </c>
      <c r="B27" s="23">
        <v>720</v>
      </c>
      <c r="C27" s="16">
        <v>811</v>
      </c>
      <c r="D27" s="16">
        <v>857</v>
      </c>
      <c r="E27" s="16">
        <v>903</v>
      </c>
      <c r="F27" s="16">
        <v>949</v>
      </c>
      <c r="G27" s="16">
        <v>998</v>
      </c>
      <c r="H27" s="16">
        <v>1094</v>
      </c>
      <c r="I27" s="16">
        <v>1194</v>
      </c>
      <c r="J27" s="16">
        <v>1297</v>
      </c>
      <c r="K27" s="16">
        <v>1508</v>
      </c>
      <c r="L27" s="16">
        <v>1728</v>
      </c>
      <c r="M27" s="16">
        <v>1960</v>
      </c>
      <c r="N27" s="16">
        <v>2527</v>
      </c>
      <c r="O27" s="16">
        <v>2454</v>
      </c>
      <c r="P27" s="16">
        <v>2584</v>
      </c>
      <c r="Q27" s="16">
        <v>2716</v>
      </c>
      <c r="R27" s="16">
        <v>2851</v>
      </c>
      <c r="S27" s="16">
        <v>2989</v>
      </c>
      <c r="T27" s="16">
        <v>3127</v>
      </c>
      <c r="U27" s="16">
        <v>3270</v>
      </c>
      <c r="V27" s="16">
        <v>3414</v>
      </c>
      <c r="W27" s="16">
        <v>3562</v>
      </c>
      <c r="X27" s="16">
        <v>3711</v>
      </c>
    </row>
    <row r="28" spans="1:24" ht="15">
      <c r="A28" s="4" t="s">
        <v>103</v>
      </c>
      <c r="B28" s="23">
        <v>1194</v>
      </c>
      <c r="C28" s="16">
        <v>1337</v>
      </c>
      <c r="D28" s="16">
        <v>1409</v>
      </c>
      <c r="E28" s="16">
        <v>1483</v>
      </c>
      <c r="F28" s="16">
        <v>1557</v>
      </c>
      <c r="G28" s="16">
        <v>1633</v>
      </c>
      <c r="H28" s="16">
        <v>1785</v>
      </c>
      <c r="I28" s="16">
        <v>1943</v>
      </c>
      <c r="J28" s="16">
        <v>2104</v>
      </c>
      <c r="K28" s="16">
        <v>2439</v>
      </c>
      <c r="L28" s="16">
        <v>2790</v>
      </c>
      <c r="M28" s="16">
        <v>3157</v>
      </c>
      <c r="N28" s="16">
        <v>3736</v>
      </c>
      <c r="O28" s="16">
        <v>3938</v>
      </c>
      <c r="P28" s="16">
        <v>4144</v>
      </c>
      <c r="Q28" s="16">
        <v>4197</v>
      </c>
      <c r="R28" s="16">
        <v>4390</v>
      </c>
      <c r="S28" s="16">
        <v>4599</v>
      </c>
      <c r="T28" s="16">
        <v>4813</v>
      </c>
      <c r="U28" s="16">
        <v>5028</v>
      </c>
      <c r="V28" s="16">
        <v>5250</v>
      </c>
      <c r="W28" s="16">
        <v>5255</v>
      </c>
      <c r="X28" s="16">
        <v>5474</v>
      </c>
    </row>
    <row r="29" spans="1:24" ht="15">
      <c r="A29" s="4" t="s">
        <v>75</v>
      </c>
      <c r="B29" s="24">
        <f>(((B21*0.00314)*((B21+500)/1000)*'Технический лист'!$K$4))*4.05</f>
        <v>1782.5930883116882</v>
      </c>
      <c r="C29" s="24">
        <f>(((C21*0.00314)*((C21+500)/1000)*'Технический лист'!$K$4))*4.05</f>
        <v>1993.5332704285715</v>
      </c>
      <c r="D29" s="24">
        <f>(((D21*0.00314)*((D21+500)/1000)*'Технический лист'!$K$4))*4.05</f>
        <v>2101.2316028474024</v>
      </c>
      <c r="E29" s="24">
        <f>(((E21*0.00314)*((E21+500)/1000)*'Технический лист'!$K$4))*4.05</f>
        <v>2210.4154295064936</v>
      </c>
      <c r="F29" s="24">
        <f>(((F21*0.00314)*((F21+500)/1000)*'Технический лист'!$K$4))*4.05</f>
        <v>2321.0847504058443</v>
      </c>
      <c r="G29" s="24">
        <f>(((G21*0.00314)*((G21+500)/1000)*'Технический лист'!$K$4))*4.05</f>
        <v>2433.2395655454548</v>
      </c>
      <c r="H29" s="24">
        <f>(((H21*0.00314)*((H21+500)/1000)*'Технический лист'!$K$4))*4.05</f>
        <v>2662.0056785454544</v>
      </c>
      <c r="I29" s="24">
        <f>(((I21*0.00314)*((I21+500)/1000)*'Технический лист'!$K$4))*4.05</f>
        <v>2896.7137685064936</v>
      </c>
      <c r="J29" s="24">
        <f>(((J21*0.00314)*((J21+500)/1000)*'Технический лист'!$K$4))*4.05</f>
        <v>3137.3638354285713</v>
      </c>
      <c r="K29" s="24">
        <f>(((K21*0.00314)*((K21+500)/1000)*'Технический лист'!$K$4))*4.05</f>
        <v>3636.4899001558447</v>
      </c>
      <c r="L29" s="24">
        <f>(((L21*0.00314)*((L21+500)/1000)*'Технический лист'!$K$4))*4.05</f>
        <v>4159.383872727272</v>
      </c>
      <c r="M29" s="24">
        <f>(((M21*0.00314)*((M21+500)/1000)*'Технический лист'!$K$4))*4.05</f>
        <v>4706.045753142857</v>
      </c>
      <c r="N29" s="24">
        <f>(((N21*0.00314)*((N21+500)/1000)*'Технический лист'!$K$4))*4.05</f>
        <v>5570.603400974026</v>
      </c>
      <c r="O29" s="24">
        <f>(((O21*0.00314)*((O21+500)/1000)*'Технический лист'!$K$4))*4.05</f>
        <v>5870.673237506493</v>
      </c>
      <c r="P29" s="24">
        <f>(((P21*0.00314)*((P21+500)/1000)*'Технический лист'!$K$4))*4.05</f>
        <v>6176.6850509999995</v>
      </c>
      <c r="Q29" s="24">
        <f>(((Q21*0.00314)*((Q21+500)/1000)*'Технический лист'!$K$4))*4.05</f>
        <v>6488.638841454546</v>
      </c>
      <c r="R29" s="24">
        <f>(((R21*0.00314)*((R21+500)/1000)*'Технический лист'!$K$4))*4.05</f>
        <v>6806.53460887013</v>
      </c>
      <c r="S29" s="24">
        <f>(((S21*0.00314)*((S21+500)/1000)*'Технический лист'!$K$4))*4.05</f>
        <v>7130.372353246754</v>
      </c>
      <c r="T29" s="24">
        <f>(((T21*0.00314)*((T21+500)/1000)*'Технический лист'!$K$4))*4.05</f>
        <v>7460.152074584416</v>
      </c>
      <c r="U29" s="24">
        <f>(((U21*0.00314)*((U21+500)/1000)*'Технический лист'!$K$4))*4.05</f>
        <v>7795.873772883116</v>
      </c>
      <c r="V29" s="24">
        <f>(((V21*0.00314)*((V21+500)/1000)*'Технический лист'!$K$4))*4.05</f>
        <v>8137.537448142857</v>
      </c>
      <c r="W29" s="24">
        <f>(((W21*0.00314)*((W21+500)/1000)*'Технический лист'!$K$4))*4.05</f>
        <v>8485.143100363635</v>
      </c>
      <c r="X29" s="24">
        <f>(((X21*0.00314)*((X21+500)/1000)*'Технический лист'!$K$4))*4.05</f>
        <v>8838.690729545453</v>
      </c>
    </row>
    <row r="30" spans="1:24" ht="15" hidden="1">
      <c r="A30" s="4"/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4" t="s">
        <v>105</v>
      </c>
      <c r="B31" s="24">
        <v>1121</v>
      </c>
      <c r="C31" s="9">
        <v>1235</v>
      </c>
      <c r="D31" s="9">
        <v>1293</v>
      </c>
      <c r="E31" s="9">
        <v>1353</v>
      </c>
      <c r="F31" s="9">
        <v>1413</v>
      </c>
      <c r="G31" s="9">
        <v>1474</v>
      </c>
      <c r="H31" s="9">
        <v>1599</v>
      </c>
      <c r="I31" s="9">
        <v>1728</v>
      </c>
      <c r="J31" s="9">
        <v>1860</v>
      </c>
      <c r="K31" s="9">
        <v>2136</v>
      </c>
      <c r="L31" s="9">
        <v>2426</v>
      </c>
      <c r="M31" s="9">
        <v>2732</v>
      </c>
      <c r="N31" s="9">
        <v>3217</v>
      </c>
      <c r="O31" s="9">
        <v>3387</v>
      </c>
      <c r="P31" s="9">
        <v>3560</v>
      </c>
      <c r="Q31" s="9">
        <v>3736</v>
      </c>
      <c r="R31" s="9">
        <v>3917</v>
      </c>
      <c r="S31" s="9">
        <v>4101</v>
      </c>
      <c r="T31" s="9">
        <v>4289</v>
      </c>
      <c r="U31" s="9">
        <v>4480</v>
      </c>
      <c r="V31" s="9">
        <v>4675</v>
      </c>
      <c r="W31" s="9">
        <v>4874</v>
      </c>
      <c r="X31" s="9">
        <v>5076</v>
      </c>
    </row>
    <row r="32" spans="1:24" ht="15">
      <c r="A32" s="4" t="s">
        <v>76</v>
      </c>
      <c r="B32" s="24">
        <f>((((B21*0.00314)*0.21)*'Технический лист'!$M$3)+((((B21+100)/1000)*((B21+100)/1000))*3)*'Технический лист'!$I$4)*2.75</f>
        <v>1120.936662857143</v>
      </c>
      <c r="C32" s="24">
        <f>((((C21*0.00314)*0.21)*'Технический лист'!$M$3)+((((C21+100)/1000)*((C21+100)/1000))*3)*'Технический лист'!$I$4)*2.75</f>
        <v>1234.8752219999997</v>
      </c>
      <c r="D32" s="24">
        <f>((((D21*0.00314)*0.21)*'Технический лист'!$M$3)+((((D21+100)/1000)*((D21+100)/1000))*3)*'Технический лист'!$I$4)*2.75</f>
        <v>1293.2281712142856</v>
      </c>
      <c r="E32" s="24">
        <f>((((E21*0.00314)*0.21)*'Технический лист'!$M$3)+((((E21+100)/1000)*((E21+100)/1000))*3)*'Технический лист'!$I$4)*2.75</f>
        <v>1352.503566857143</v>
      </c>
      <c r="F32" s="24">
        <f>((((F21*0.00314)*0.21)*'Технический лист'!$M$3)+((((F21+100)/1000)*((F21+100)/1000))*3)*'Технический лист'!$I$4)*2.75</f>
        <v>1412.7014089285717</v>
      </c>
      <c r="G32" s="24">
        <f>((((G21*0.00314)*0.21)*'Технический лист'!$M$3)+((((G21+100)/1000)*((G21+100)/1000))*3)*'Технический лист'!$I$4)*2.75</f>
        <v>1473.8216974285715</v>
      </c>
      <c r="H32" s="24">
        <f>((((H21*0.00314)*0.21)*'Технический лист'!$M$3)+((((H21+100)/1000)*((H21+100)/1000))*3)*'Технический лист'!$I$4)*2.75</f>
        <v>1598.8296137142856</v>
      </c>
      <c r="I32" s="24">
        <f>((((I21*0.00314)*0.21)*'Технический лист'!$M$3)+((((I21+100)/1000)*((I21+100)/1000))*3)*'Технический лист'!$I$4)*2.75</f>
        <v>1727.5273157142856</v>
      </c>
      <c r="J32" s="24">
        <f>((((J21*0.00314)*0.21)*'Технический лист'!$M$3)+((((J21+100)/1000)*((J21+100)/1000))*3)*'Технический лист'!$I$4)*2.75</f>
        <v>1859.9148034285713</v>
      </c>
      <c r="K32" s="24">
        <f>((((K21*0.00314)*0.21)*'Технический лист'!$M$3)+((((K21+100)/1000)*((K21+100)/1000))*3)*'Технический лист'!$I$4)*2.75</f>
        <v>2135.759136</v>
      </c>
      <c r="L32" s="24">
        <f>((((L21*0.00314)*0.21)*'Технический лист'!$M$3)+((((L21+100)/1000)*((L21+100)/1000))*3)*'Технический лист'!$I$4)*2.75</f>
        <v>2426.362611428571</v>
      </c>
      <c r="M32" s="24">
        <f>((((M21*0.00314)*0.21)*'Технический лист'!$M$3)+((((M21+100)/1000)*((M21+100)/1000))*3)*'Технический лист'!$I$4)*2.75</f>
        <v>2731.725229714286</v>
      </c>
      <c r="N32" s="24">
        <f>((((N21*0.00314)*0.21)*'Технический лист'!$M$3)+((((N21+100)/1000)*((N21+100)/1000))*3)*'Технический лист'!$I$4)*2.75</f>
        <v>3217.44255</v>
      </c>
      <c r="O32" s="24">
        <f>((((O21*0.00314)*0.21)*'Технический лист'!$M$3)+((((O21+100)/1000)*((O21+100)/1000))*3)*'Технический лист'!$I$4)*2.75</f>
        <v>3386.727894857143</v>
      </c>
      <c r="P32" s="24">
        <f>((((P21*0.00314)*0.21)*'Технический лист'!$M$3)+((((P21+100)/1000)*((P21+100)/1000))*3)*'Технический лист'!$I$4)*2.75</f>
        <v>3559.7030254285714</v>
      </c>
      <c r="Q32" s="24">
        <f>((((Q21*0.00314)*0.21)*'Технический лист'!$M$3)+((((Q21+100)/1000)*((Q21+100)/1000))*3)*'Технический лист'!$I$4)*2.75</f>
        <v>3736.3679417142857</v>
      </c>
      <c r="R32" s="24">
        <f>((((R21*0.00314)*0.21)*'Технический лист'!$M$3)+((((R21+100)/1000)*((R21+100)/1000))*3)*'Технический лист'!$I$4)*2.75</f>
        <v>3916.7226437142863</v>
      </c>
      <c r="S32" s="24">
        <f>((((S21*0.00314)*0.21)*'Технический лист'!$M$3)+((((S21+100)/1000)*((S21+100)/1000))*3)*'Технический лист'!$I$4)*2.75</f>
        <v>4100.767131428572</v>
      </c>
      <c r="T32" s="24">
        <f>((((T21*0.00314)*0.21)*'Технический лист'!$M$3)+((((T21+100)/1000)*((T21+100)/1000))*3)*'Технический лист'!$I$4)*2.75</f>
        <v>4288.501404857143</v>
      </c>
      <c r="U32" s="24">
        <f>((((U21*0.00314)*0.21)*'Технический лист'!$M$3)+((((U21+100)/1000)*((U21+100)/1000))*3)*'Технический лист'!$I$4)*2.75</f>
        <v>4479.925463999999</v>
      </c>
      <c r="V32" s="24">
        <f>((((V21*0.00314)*0.21)*'Технический лист'!$M$3)+((((V21+100)/1000)*((V21+100)/1000))*3)*'Технический лист'!$I$4)*2.75</f>
        <v>4675.039308857143</v>
      </c>
      <c r="W32" s="24">
        <f>((((W21*0.00314)*0.21)*'Технический лист'!$M$3)+((((W21+100)/1000)*((W21+100)/1000))*3)*'Технический лист'!$I$4)*2.75</f>
        <v>4873.842939428572</v>
      </c>
      <c r="X32" s="24">
        <f>((((X21*0.00314)*0.21)*'Технический лист'!$M$3)+((((X21+100)/1000)*((X21+100)/1000))*3)*'Технический лист'!$I$4)*2.75</f>
        <v>5076.336355714287</v>
      </c>
    </row>
    <row r="33" spans="1:24" ht="15">
      <c r="A33" s="4" t="s">
        <v>101</v>
      </c>
      <c r="B33" s="24">
        <v>1035</v>
      </c>
      <c r="C33" s="24">
        <v>1035</v>
      </c>
      <c r="D33" s="24">
        <v>1035</v>
      </c>
      <c r="E33" s="24">
        <v>1035</v>
      </c>
      <c r="F33" s="24">
        <v>1035</v>
      </c>
      <c r="G33" s="24">
        <v>1035</v>
      </c>
      <c r="H33" s="24">
        <v>1035</v>
      </c>
      <c r="I33" s="24">
        <v>1035</v>
      </c>
      <c r="J33" s="24">
        <v>1035</v>
      </c>
      <c r="K33" s="24">
        <v>1035</v>
      </c>
      <c r="L33" s="24">
        <v>1035</v>
      </c>
      <c r="M33" s="24">
        <v>1035</v>
      </c>
      <c r="N33" s="24">
        <v>1035</v>
      </c>
      <c r="O33" s="24">
        <v>1035</v>
      </c>
      <c r="P33" s="24">
        <v>1035</v>
      </c>
      <c r="Q33" s="24">
        <v>1035</v>
      </c>
      <c r="R33" s="24">
        <v>1035</v>
      </c>
      <c r="S33" s="24">
        <v>1035</v>
      </c>
      <c r="T33" s="24">
        <v>1035</v>
      </c>
      <c r="U33" s="24">
        <v>1035</v>
      </c>
      <c r="V33" s="24">
        <v>1035</v>
      </c>
      <c r="W33" s="24">
        <v>1035</v>
      </c>
      <c r="X33" s="24">
        <v>1035</v>
      </c>
    </row>
  </sheetData>
  <mergeCells count="8">
    <mergeCell ref="A20:N20"/>
    <mergeCell ref="O20:AB20"/>
    <mergeCell ref="A1:C1"/>
    <mergeCell ref="D1:O1"/>
    <mergeCell ref="D2:O2"/>
    <mergeCell ref="D3:O3"/>
    <mergeCell ref="A5:O5"/>
    <mergeCell ref="P5:A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0.7109375" style="0" customWidth="1"/>
    <col min="2" max="24" width="6.28125" style="0" customWidth="1"/>
  </cols>
  <sheetData>
    <row r="1" spans="1:17" ht="37.5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8.75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8.75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34.5" customHeight="1"/>
    <row r="5" spans="1:30" ht="15">
      <c r="A5" s="41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117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>
      <c r="A7" s="4" t="s">
        <v>69</v>
      </c>
      <c r="B7" s="16">
        <f>(((B6*0.00314)*'Технический лист'!$G$7))*2.85</f>
        <v>1239.6154800000002</v>
      </c>
      <c r="C7" s="16">
        <f>(((C6*0.00314)*'Технический лист'!$G$7))*2.85</f>
        <v>1363.5770280000002</v>
      </c>
      <c r="D7" s="16">
        <f>(((D6*0.00314)*'Технический лист'!$G$7))*2.85</f>
        <v>1425.557802</v>
      </c>
      <c r="E7" s="16">
        <f>(((E6*0.00314)*'Технический лист'!$G$7))*2.85</f>
        <v>1487.5385760000004</v>
      </c>
      <c r="F7" s="16">
        <f>(((F6*0.00314)*'Технический лист'!$G$7))*2.85</f>
        <v>1549.51935</v>
      </c>
      <c r="G7" s="16">
        <f>(((G6*0.00314)*'Технический лист'!$G$7))*2.85</f>
        <v>1611.5001240000004</v>
      </c>
      <c r="H7" s="16">
        <f>(((H6*0.00314)*'Технический лист'!$G$7))*2.85</f>
        <v>1735.4616720000001</v>
      </c>
      <c r="I7" s="16">
        <f>(((I6*0.00314)*'Технический лист'!$G$7))*2.85</f>
        <v>1859.4232200000001</v>
      </c>
      <c r="J7" s="16">
        <f>(((J6*0.00314)*'Технический лист'!$G$7))*2.85</f>
        <v>1983.3847680000001</v>
      </c>
      <c r="K7" s="16">
        <f>(((K6*0.00314)*'Технический лист'!$G$7))*2.85</f>
        <v>2231.3078640000003</v>
      </c>
      <c r="L7" s="16">
        <f>(((L6*0.00314)*'Технический лист'!$G$7))*2.85</f>
        <v>2479.2309600000003</v>
      </c>
      <c r="M7" s="16">
        <f>(((M6*0.00314)*'Технический лист'!$G$7))*2.85</f>
        <v>2727.1540560000003</v>
      </c>
      <c r="N7" s="16">
        <f>(((N6*0.00314)*'Технический лист'!$G$7))*2.85</f>
        <v>3099.0387</v>
      </c>
      <c r="O7" s="16">
        <f>(((O6*0.00314)*'Технический лист'!$G$7))*2.85</f>
        <v>3223.0002480000007</v>
      </c>
      <c r="P7" s="16">
        <f>(((P6*0.00314)*'Технический лист'!$G$7))*2.85</f>
        <v>3346.961796</v>
      </c>
      <c r="Q7" s="16">
        <f>(((Q6*0.00314)*'Технический лист'!$G$7))*2.85</f>
        <v>3470.9233440000003</v>
      </c>
      <c r="R7" s="16">
        <f>(((R6*0.00314)*'Технический лист'!$G$7))*2.85</f>
        <v>3594.884892</v>
      </c>
      <c r="S7" s="16">
        <f>(((S6*0.00314)*'Технический лист'!$G$7))*2.85</f>
        <v>3718.8464400000003</v>
      </c>
      <c r="T7" s="16">
        <f>(((T6*0.00314)*'Технический лист'!$G$7))*2.85</f>
        <v>3842.8079880000005</v>
      </c>
      <c r="U7" s="16">
        <f>(((U6*0.00314)*'Технический лист'!$G$7))*2.85</f>
        <v>3966.7695360000002</v>
      </c>
      <c r="V7" s="16">
        <f>(((V6*0.00314)*'Технический лист'!$G$7))*2.85</f>
        <v>4090.7310840000005</v>
      </c>
      <c r="W7" s="16">
        <f>(((W6*0.00314)*'Технический лист'!$G$7))*2.85</f>
        <v>4214.692632000001</v>
      </c>
      <c r="X7" s="16">
        <f>(((X6*0.00314)*'Технический лист'!$G$7))*2.85</f>
        <v>4338.65418</v>
      </c>
    </row>
    <row r="8" spans="1:24" ht="15">
      <c r="A8" s="4" t="s">
        <v>70</v>
      </c>
      <c r="B8" s="9">
        <f>((B7/2)*1.07)-10</f>
        <v>653.1942818000001</v>
      </c>
      <c r="C8" s="9">
        <f aca="true" t="shared" si="0" ref="C8:X8">((C7/2)*1.07)-10</f>
        <v>719.5137099800002</v>
      </c>
      <c r="D8" s="9">
        <f t="shared" si="0"/>
        <v>752.67342407</v>
      </c>
      <c r="E8" s="9">
        <f t="shared" si="0"/>
        <v>785.8331381600002</v>
      </c>
      <c r="F8" s="9">
        <f t="shared" si="0"/>
        <v>818.99285225</v>
      </c>
      <c r="G8" s="9">
        <f t="shared" si="0"/>
        <v>852.1525663400002</v>
      </c>
      <c r="H8" s="9">
        <f t="shared" si="0"/>
        <v>918.4719945200002</v>
      </c>
      <c r="I8" s="9">
        <f t="shared" si="0"/>
        <v>984.7914227000001</v>
      </c>
      <c r="J8" s="9">
        <f t="shared" si="0"/>
        <v>1051.11085088</v>
      </c>
      <c r="K8" s="9">
        <f t="shared" si="0"/>
        <v>1183.7497072400004</v>
      </c>
      <c r="L8" s="9">
        <f t="shared" si="0"/>
        <v>1316.3885636000002</v>
      </c>
      <c r="M8" s="9">
        <f t="shared" si="0"/>
        <v>1449.0274199600003</v>
      </c>
      <c r="N8" s="9">
        <f t="shared" si="0"/>
        <v>1647.9857045</v>
      </c>
      <c r="O8" s="9">
        <f t="shared" si="0"/>
        <v>1714.3051326800005</v>
      </c>
      <c r="P8" s="9">
        <f t="shared" si="0"/>
        <v>1780.6245608600002</v>
      </c>
      <c r="Q8" s="9">
        <f t="shared" si="0"/>
        <v>1846.9439890400004</v>
      </c>
      <c r="R8" s="9">
        <f t="shared" si="0"/>
        <v>1913.26341722</v>
      </c>
      <c r="S8" s="9">
        <f t="shared" si="0"/>
        <v>1979.5828454000002</v>
      </c>
      <c r="T8" s="9">
        <f t="shared" si="0"/>
        <v>2045.9022735800004</v>
      </c>
      <c r="U8" s="9">
        <f t="shared" si="0"/>
        <v>2112.22170176</v>
      </c>
      <c r="V8" s="9">
        <f t="shared" si="0"/>
        <v>2178.5411299400002</v>
      </c>
      <c r="W8" s="9">
        <f t="shared" si="0"/>
        <v>2244.860558120001</v>
      </c>
      <c r="X8" s="9">
        <f t="shared" si="0"/>
        <v>2311.1799863000006</v>
      </c>
    </row>
    <row r="9" spans="1:24" ht="15">
      <c r="A9" s="4" t="s">
        <v>71</v>
      </c>
      <c r="B9" s="16">
        <f>(((B6*0.00314)*0.55)*'Технический лист'!$I$7)*3.25</f>
        <v>1153.53238</v>
      </c>
      <c r="C9" s="16">
        <f>(((C6*0.00314)*0.55)*'Технический лист'!$I$7)*3.25</f>
        <v>1268.8856179999998</v>
      </c>
      <c r="D9" s="16">
        <f>(((D6*0.00314)*0.55)*'Технический лист'!$I$7)*3.25</f>
        <v>1326.5622369999999</v>
      </c>
      <c r="E9" s="16">
        <f>(((E6*0.00314)*0.55)*'Технический лист'!$I$7)*3.25</f>
        <v>1384.2388560000002</v>
      </c>
      <c r="F9" s="16">
        <f>(((F6*0.00314)*0.55)*'Технический лист'!$I$7)*3.25</f>
        <v>1441.915475</v>
      </c>
      <c r="G9" s="16">
        <f>(((G6*0.00314)*0.55)*'Технический лист'!$I$7)*3.25</f>
        <v>1499.592094</v>
      </c>
      <c r="H9" s="16">
        <f>(((H6*0.00314)*0.55)*'Технический лист'!$I$7)*3.25</f>
        <v>1614.945332</v>
      </c>
      <c r="I9" s="16">
        <f>(((I6*0.00314)*0.55)*'Технический лист'!$I$7)*3.25</f>
        <v>1730.29857</v>
      </c>
      <c r="J9" s="16">
        <f>(((J6*0.00314)*0.55)*'Технический лист'!$I$7)*3.25</f>
        <v>1845.6518079999996</v>
      </c>
      <c r="K9" s="16">
        <f>(((K6*0.00314)*0.55)*'Технический лист'!$I$7)*3.25</f>
        <v>2076.358284</v>
      </c>
      <c r="L9" s="16">
        <f>(((L6*0.00314)*0.55)*'Технический лист'!$I$7)*3.25</f>
        <v>2307.06476</v>
      </c>
      <c r="M9" s="16">
        <f>(((M6*0.00314)*0.55)*'Технический лист'!$I$7)*3.25</f>
        <v>2537.7712359999996</v>
      </c>
      <c r="N9" s="16">
        <f>(((N6*0.00314)*0.55)*'Технический лист'!$I$7)*3.25</f>
        <v>2883.83095</v>
      </c>
      <c r="O9" s="16">
        <f>(((O6*0.00314)*0.55)*'Технический лист'!$I$7)*3.25</f>
        <v>2999.184188</v>
      </c>
      <c r="P9" s="16">
        <f>(((P6*0.00314)*0.55)*'Технический лист'!$I$7)*3.25</f>
        <v>3114.537426</v>
      </c>
      <c r="Q9" s="16">
        <f>(((Q6*0.00314)*0.55)*'Технический лист'!$I$7)*3.25</f>
        <v>3229.890664</v>
      </c>
      <c r="R9" s="16">
        <f>(((R6*0.00314)*0.55)*'Технический лист'!$I$7)*3.25</f>
        <v>3345.2439019999993</v>
      </c>
      <c r="S9" s="16">
        <f>(((S6*0.00314)*0.55)*'Технический лист'!$I$7)*3.25</f>
        <v>3460.59714</v>
      </c>
      <c r="T9" s="16">
        <f>(((T6*0.00314)*0.55)*'Технический лист'!$I$7)*3.25</f>
        <v>3575.950378</v>
      </c>
      <c r="U9" s="16">
        <f>(((U6*0.00314)*0.55)*'Технический лист'!$I$7)*3.25</f>
        <v>3691.3036159999992</v>
      </c>
      <c r="V9" s="16">
        <f>(((V6*0.00314)*0.55)*'Технический лист'!$I$7)*3.25</f>
        <v>3806.656854</v>
      </c>
      <c r="W9" s="16">
        <f>(((W6*0.00314)*0.55)*'Технический лист'!$I$7)*3.25</f>
        <v>3922.010092000001</v>
      </c>
      <c r="X9" s="16">
        <f>(((X6*0.00314)*0.55)*'Технический лист'!$I$7)*3.25</f>
        <v>4037.36333</v>
      </c>
    </row>
    <row r="10" spans="1:24" ht="15">
      <c r="A10" s="4" t="s">
        <v>72</v>
      </c>
      <c r="B10" s="9">
        <f>((B9*2)/3)-6</f>
        <v>763.0215866666667</v>
      </c>
      <c r="C10" s="9">
        <f aca="true" t="shared" si="1" ref="C10:X10">((C9*2)/3)-6</f>
        <v>839.9237453333332</v>
      </c>
      <c r="D10" s="9">
        <f t="shared" si="1"/>
        <v>878.3748246666665</v>
      </c>
      <c r="E10" s="9">
        <f t="shared" si="1"/>
        <v>916.8259040000002</v>
      </c>
      <c r="F10" s="9">
        <f t="shared" si="1"/>
        <v>955.2769833333333</v>
      </c>
      <c r="G10" s="9">
        <f t="shared" si="1"/>
        <v>993.7280626666667</v>
      </c>
      <c r="H10" s="9">
        <f t="shared" si="1"/>
        <v>1070.6302213333333</v>
      </c>
      <c r="I10" s="9">
        <f t="shared" si="1"/>
        <v>1147.5323799999999</v>
      </c>
      <c r="J10" s="9">
        <f t="shared" si="1"/>
        <v>1224.4345386666664</v>
      </c>
      <c r="K10" s="9">
        <f t="shared" si="1"/>
        <v>1378.238856</v>
      </c>
      <c r="L10" s="9">
        <f t="shared" si="1"/>
        <v>1532.0431733333335</v>
      </c>
      <c r="M10" s="9">
        <f t="shared" si="1"/>
        <v>1685.8474906666663</v>
      </c>
      <c r="N10" s="9">
        <f t="shared" si="1"/>
        <v>1916.5539666666666</v>
      </c>
      <c r="O10" s="9">
        <f t="shared" si="1"/>
        <v>1993.4561253333334</v>
      </c>
      <c r="P10" s="9">
        <f t="shared" si="1"/>
        <v>2070.358284</v>
      </c>
      <c r="Q10" s="9">
        <f t="shared" si="1"/>
        <v>2147.2604426666667</v>
      </c>
      <c r="R10" s="9">
        <f t="shared" si="1"/>
        <v>2224.162601333333</v>
      </c>
      <c r="S10" s="9">
        <f t="shared" si="1"/>
        <v>2301.0647599999998</v>
      </c>
      <c r="T10" s="9">
        <f t="shared" si="1"/>
        <v>2377.9669186666665</v>
      </c>
      <c r="U10" s="9">
        <f t="shared" si="1"/>
        <v>2454.869077333333</v>
      </c>
      <c r="V10" s="9">
        <f t="shared" si="1"/>
        <v>2531.771236</v>
      </c>
      <c r="W10" s="9">
        <f t="shared" si="1"/>
        <v>2608.6733946666673</v>
      </c>
      <c r="X10" s="9">
        <f t="shared" si="1"/>
        <v>2685.5755533333336</v>
      </c>
    </row>
    <row r="11" spans="1:24" ht="15">
      <c r="A11" s="4" t="s">
        <v>99</v>
      </c>
      <c r="B11" s="16">
        <v>1172</v>
      </c>
      <c r="C11" s="16">
        <v>1320</v>
      </c>
      <c r="D11" s="16">
        <v>1389</v>
      </c>
      <c r="E11" s="16">
        <v>1465</v>
      </c>
      <c r="F11" s="16">
        <v>1542</v>
      </c>
      <c r="G11" s="16">
        <v>1621</v>
      </c>
      <c r="H11" s="16">
        <v>1778</v>
      </c>
      <c r="I11" s="16">
        <v>1883</v>
      </c>
      <c r="J11" s="16">
        <v>2044</v>
      </c>
      <c r="K11" s="16">
        <v>2306</v>
      </c>
      <c r="L11" s="16">
        <v>2644</v>
      </c>
      <c r="M11" s="16">
        <v>2812</v>
      </c>
      <c r="N11" s="16">
        <v>3336</v>
      </c>
      <c r="O11" s="16">
        <v>3522</v>
      </c>
      <c r="P11" s="16">
        <v>3706</v>
      </c>
      <c r="Q11" s="16">
        <v>3895</v>
      </c>
      <c r="R11" s="16">
        <v>4089</v>
      </c>
      <c r="S11" s="16">
        <v>4279</v>
      </c>
      <c r="T11" s="16">
        <v>4534</v>
      </c>
      <c r="U11" s="16">
        <v>4697</v>
      </c>
      <c r="V11" s="16">
        <v>4730</v>
      </c>
      <c r="W11" s="16">
        <v>4938</v>
      </c>
      <c r="X11" s="16">
        <v>4972</v>
      </c>
    </row>
    <row r="12" spans="1:24" ht="15">
      <c r="A12" s="4" t="s">
        <v>103</v>
      </c>
      <c r="B12" s="16">
        <v>1102</v>
      </c>
      <c r="C12" s="16">
        <v>1233</v>
      </c>
      <c r="D12" s="16">
        <v>1300</v>
      </c>
      <c r="E12" s="16">
        <v>1367</v>
      </c>
      <c r="F12" s="16">
        <v>1434</v>
      </c>
      <c r="G12" s="16">
        <v>1505</v>
      </c>
      <c r="H12" s="16">
        <v>1646</v>
      </c>
      <c r="I12" s="16">
        <v>1791</v>
      </c>
      <c r="J12" s="16">
        <v>1940</v>
      </c>
      <c r="K12" s="16">
        <v>2248</v>
      </c>
      <c r="L12" s="16">
        <v>2572</v>
      </c>
      <c r="M12" s="16">
        <v>2911</v>
      </c>
      <c r="N12" s="16">
        <v>3445</v>
      </c>
      <c r="O12" s="16">
        <v>3631</v>
      </c>
      <c r="P12" s="16">
        <v>3820</v>
      </c>
      <c r="Q12" s="16">
        <v>4013</v>
      </c>
      <c r="R12" s="16">
        <v>4210</v>
      </c>
      <c r="S12" s="16">
        <v>4410</v>
      </c>
      <c r="T12" s="16">
        <v>4613</v>
      </c>
      <c r="U12" s="16">
        <v>4823</v>
      </c>
      <c r="V12" s="16">
        <v>5032</v>
      </c>
      <c r="W12" s="16">
        <v>5248</v>
      </c>
      <c r="X12" s="16">
        <v>5467</v>
      </c>
    </row>
    <row r="13" spans="1:24" ht="15">
      <c r="A13" s="4" t="s">
        <v>75</v>
      </c>
      <c r="B13" s="9">
        <f>(((B6*0.00314)*((B6+500)/1000)*'Технический лист'!$K$7))*3.65</f>
        <v>1537.0576319999998</v>
      </c>
      <c r="C13" s="9">
        <f>(((C6*0.00314)*((C6+500)/1000)*'Технический лист'!$K$7))*3.65</f>
        <v>1718.9427851199996</v>
      </c>
      <c r="D13" s="9">
        <f>(((D6*0.00314)*((D6+500)/1000)*'Технический лист'!$K$7))*3.65</f>
        <v>1811.8066837199997</v>
      </c>
      <c r="E13" s="9">
        <f>(((E6*0.00314)*((E6+500)/1000)*'Технический лист'!$K$7))*3.65</f>
        <v>1905.9514636799997</v>
      </c>
      <c r="F13" s="9">
        <f>(((F6*0.00314)*((F6+500)/1000)*'Технический лист'!$K$7))*3.65</f>
        <v>2001.377125</v>
      </c>
      <c r="G13" s="9">
        <f>(((G6*0.00314)*((G6+500)/1000)*'Технический лист'!$K$7))*3.65</f>
        <v>2098.08366768</v>
      </c>
      <c r="H13" s="9">
        <f>(((H6*0.00314)*((H6+500)/1000)*'Технический лист'!$K$7))*3.65</f>
        <v>2295.33939712</v>
      </c>
      <c r="I13" s="9">
        <f>(((I6*0.00314)*((I6+500)/1000)*'Технический лист'!$K$7))*3.65</f>
        <v>2497.7186519999996</v>
      </c>
      <c r="J13" s="9">
        <f>(((J6*0.00314)*((J6+500)/1000)*'Технический лист'!$K$7))*3.65</f>
        <v>2705.2214323199996</v>
      </c>
      <c r="K13" s="9">
        <f>(((K6*0.00314)*((K6+500)/1000)*'Технический лист'!$K$7))*3.65</f>
        <v>3135.5975692800002</v>
      </c>
      <c r="L13" s="9">
        <f>(((L6*0.00314)*((L6+500)/1000)*'Технический лист'!$K$7))*3.65</f>
        <v>3586.4678079999994</v>
      </c>
      <c r="M13" s="9">
        <f>(((M6*0.00314)*((M6+500)/1000)*'Технический лист'!$K$7))*3.65</f>
        <v>4057.8321484799994</v>
      </c>
      <c r="N13" s="9">
        <f>(((N6*0.00314)*((N6+500)/1000)*'Технический лист'!$K$7))*3.65</f>
        <v>4803.3051</v>
      </c>
      <c r="O13" s="9">
        <f>(((O6*0.00314)*((O6+500)/1000)*'Технический лист'!$K$7))*3.65</f>
        <v>5062.04313472</v>
      </c>
      <c r="P13" s="9">
        <f>(((P6*0.00314)*((P6+500)/1000)*'Технический лист'!$K$7))*3.65</f>
        <v>5325.90469488</v>
      </c>
      <c r="Q13" s="9">
        <f>(((Q6*0.00314)*((Q6+500)/1000)*'Технический лист'!$K$7))*3.65</f>
        <v>5594.88978048</v>
      </c>
      <c r="R13" s="9">
        <f>(((R6*0.00314)*((R6+500)/1000)*'Технический лист'!$K$7))*3.65</f>
        <v>5868.998391519999</v>
      </c>
      <c r="S13" s="9">
        <f>(((S6*0.00314)*((S6+500)/1000)*'Технический лист'!$K$7))*3.65</f>
        <v>6148.230527999999</v>
      </c>
      <c r="T13" s="9">
        <f>(((T6*0.00314)*((T6+500)/1000)*'Технический лист'!$K$7))*3.65</f>
        <v>6432.58618992</v>
      </c>
      <c r="U13" s="9">
        <f>(((U6*0.00314)*((U6+500)/1000)*'Технический лист'!$K$7))*3.65</f>
        <v>6722.065377279999</v>
      </c>
      <c r="V13" s="9">
        <f>(((V6*0.00314)*((V6+500)/1000)*'Технический лист'!$K$7))*3.65</f>
        <v>7016.668090079999</v>
      </c>
      <c r="W13" s="9">
        <f>(((W6*0.00314)*((W6+500)/1000)*'Технический лист'!$K$7))*3.65</f>
        <v>7316.394328319999</v>
      </c>
      <c r="X13" s="9">
        <f>(((X6*0.00314)*((X6+500)/1000)*'Технический лист'!$K$7))*3.65</f>
        <v>7621.244091999998</v>
      </c>
    </row>
    <row r="14" spans="1:24" ht="15">
      <c r="A14" s="4" t="s">
        <v>105</v>
      </c>
      <c r="B14" s="9">
        <v>1380</v>
      </c>
      <c r="C14" s="9">
        <v>1520</v>
      </c>
      <c r="D14" s="9">
        <v>1592</v>
      </c>
      <c r="E14" s="9">
        <v>1664</v>
      </c>
      <c r="F14" s="9">
        <v>1738</v>
      </c>
      <c r="G14" s="9">
        <v>1813</v>
      </c>
      <c r="H14" s="9">
        <v>1967</v>
      </c>
      <c r="I14" s="9">
        <v>2125</v>
      </c>
      <c r="J14" s="9">
        <v>2287</v>
      </c>
      <c r="K14" s="9">
        <v>2625</v>
      </c>
      <c r="L14" s="9">
        <v>2980</v>
      </c>
      <c r="M14" s="9">
        <v>3353</v>
      </c>
      <c r="N14" s="9">
        <v>3946</v>
      </c>
      <c r="O14" s="9">
        <v>4152</v>
      </c>
      <c r="P14" s="9">
        <v>4363</v>
      </c>
      <c r="Q14" s="9">
        <v>4578</v>
      </c>
      <c r="R14" s="9">
        <v>4798</v>
      </c>
      <c r="S14" s="9">
        <v>5022</v>
      </c>
      <c r="T14" s="9">
        <v>5250</v>
      </c>
      <c r="U14" s="9">
        <v>5483</v>
      </c>
      <c r="V14" s="9">
        <v>5721</v>
      </c>
      <c r="W14" s="9">
        <v>5962</v>
      </c>
      <c r="X14" s="9">
        <v>6209</v>
      </c>
    </row>
    <row r="15" spans="1:24" ht="15">
      <c r="A15" s="4" t="s">
        <v>76</v>
      </c>
      <c r="B15" s="9">
        <f>((((B6*0.00314)*0.18)*'Технический лист'!$O$9)+((((B6+100)/1000)*((B6+100)/1000))*3)*'Технический лист'!$I$7)*3.58</f>
        <v>1379.70301632</v>
      </c>
      <c r="C15" s="9">
        <f>((((C6*0.00314)*0.18)*'Технический лист'!$O$9)+((((C6+100)/1000)*((C6+100)/1000))*3)*'Технический лист'!$I$7)*3.58</f>
        <v>1519.8806027519997</v>
      </c>
      <c r="D15" s="9">
        <f>((((D6*0.00314)*0.18)*'Технический лист'!$O$9)+((((D6+100)/1000)*((D6+100)/1000))*3)*'Технический лист'!$I$7)*3.58</f>
        <v>1591.624859568</v>
      </c>
      <c r="E15" s="9">
        <f>((((E6*0.00314)*0.18)*'Технический лист'!$O$9)+((((E6+100)/1000)*((E6+100)/1000))*3)*'Технический лист'!$I$7)*3.58</f>
        <v>1664.4727587839998</v>
      </c>
      <c r="F15" s="9">
        <f>((((F6*0.00314)*0.18)*'Технический лист'!$O$9)+((((F6+100)/1000)*((F6+100)/1000))*3)*'Технический лист'!$I$7)*3.58</f>
        <v>1738.4243004</v>
      </c>
      <c r="G15" s="9">
        <f>((((G6*0.00314)*0.18)*'Технический лист'!$O$9)+((((G6+100)/1000)*((G6+100)/1000))*3)*'Технический лист'!$I$7)*3.58</f>
        <v>1813.479484416</v>
      </c>
      <c r="H15" s="9">
        <f>((((H6*0.00314)*0.18)*'Технический лист'!$O$9)+((((H6+100)/1000)*((H6+100)/1000))*3)*'Технический лист'!$I$7)*3.58</f>
        <v>1966.9007796479998</v>
      </c>
      <c r="I15" s="9">
        <f>((((I6*0.00314)*0.18)*'Технический лист'!$O$9)+((((I6+100)/1000)*((I6+100)/1000))*3)*'Технический лист'!$I$7)*3.58</f>
        <v>2124.73664448</v>
      </c>
      <c r="J15" s="9">
        <f>((((J6*0.00314)*0.18)*'Технический лист'!$O$9)+((((J6+100)/1000)*((J6+100)/1000))*3)*'Технический лист'!$I$7)*3.58</f>
        <v>2286.987078912</v>
      </c>
      <c r="K15" s="9">
        <f>((((K6*0.00314)*0.18)*'Технический лист'!$O$9)+((((K6+100)/1000)*((K6+100)/1000))*3)*'Технический лист'!$I$7)*3.58</f>
        <v>2624.731656576</v>
      </c>
      <c r="L15" s="9">
        <f>((((L6*0.00314)*0.18)*'Технический лист'!$O$9)+((((L6+100)/1000)*((L6+100)/1000))*3)*'Технический лист'!$I$7)*3.58</f>
        <v>2980.13451264</v>
      </c>
      <c r="M15" s="9">
        <f>((((M6*0.00314)*0.18)*'Технический лист'!$O$9)+((((M6+100)/1000)*((M6+100)/1000))*3)*'Технический лист'!$I$7)*3.58</f>
        <v>3353.195647104</v>
      </c>
      <c r="N15" s="9">
        <f>((((N6*0.00314)*0.18)*'Технический лист'!$O$9)+((((N6+100)/1000)*((N6+100)/1000))*3)*'Технический лист'!$I$7)*3.58</f>
        <v>3945.8966207999993</v>
      </c>
      <c r="O15" s="9">
        <f>((((O6*0.00314)*0.18)*'Технический лист'!$O$9)+((((O6+100)/1000)*((O6+100)/1000))*3)*'Технический лист'!$I$7)*3.58</f>
        <v>4152.292751232</v>
      </c>
      <c r="P15" s="9">
        <f>((((P6*0.00314)*0.18)*'Технический лист'!$O$9)+((((P6+100)/1000)*((P6+100)/1000))*3)*'Технический лист'!$I$7)*3.58</f>
        <v>4363.103451263999</v>
      </c>
      <c r="Q15" s="9">
        <f>((((Q6*0.00314)*0.18)*'Технический лист'!$O$9)+((((Q6+100)/1000)*((Q6+100)/1000))*3)*'Технический лист'!$I$7)*3.58</f>
        <v>4578.328720895999</v>
      </c>
      <c r="R15" s="9">
        <f>((((R6*0.00314)*0.18)*'Технический лист'!$O$9)+((((R6+100)/1000)*((R6+100)/1000))*3)*'Технический лист'!$I$7)*3.58</f>
        <v>4797.968560128</v>
      </c>
      <c r="S15" s="9">
        <f>((((S6*0.00314)*0.18)*'Технический лист'!$O$9)+((((S6+100)/1000)*((S6+100)/1000))*3)*'Технический лист'!$I$7)*3.58</f>
        <v>5022.02296896</v>
      </c>
      <c r="T15" s="9">
        <f>((((T6*0.00314)*0.18)*'Технический лист'!$O$9)+((((T6+100)/1000)*((T6+100)/1000))*3)*'Технический лист'!$I$7)*3.58</f>
        <v>5250.491947392</v>
      </c>
      <c r="U15" s="9">
        <f>((((U6*0.00314)*0.18)*'Технический лист'!$O$9)+((((U6+100)/1000)*((U6+100)/1000))*3)*'Технический лист'!$I$7)*3.58</f>
        <v>5483.3754954239985</v>
      </c>
      <c r="V15" s="9">
        <f>((((V6*0.00314)*0.18)*'Технический лист'!$O$9)+((((V6+100)/1000)*((V6+100)/1000))*3)*'Технический лист'!$I$7)*3.58</f>
        <v>5720.673613055999</v>
      </c>
      <c r="W15" s="9">
        <f>((((W6*0.00314)*0.18)*'Технический лист'!$O$9)+((((W6+100)/1000)*((W6+100)/1000))*3)*'Технический лист'!$I$7)*3.58</f>
        <v>5962.386300288</v>
      </c>
      <c r="X15" s="9">
        <f>((((X6*0.00314)*0.18)*'Технический лист'!$O$9)+((((X6+100)/1000)*((X6+100)/1000))*3)*'Технический лист'!$I$7)*3.58</f>
        <v>6208.513557119999</v>
      </c>
    </row>
    <row r="16" spans="1:24" ht="15">
      <c r="A16" s="4" t="s">
        <v>101</v>
      </c>
      <c r="B16" s="9">
        <v>1100</v>
      </c>
      <c r="C16" s="9">
        <v>1100</v>
      </c>
      <c r="D16" s="9">
        <v>1100</v>
      </c>
      <c r="E16" s="9">
        <v>1100</v>
      </c>
      <c r="F16" s="9">
        <v>1100</v>
      </c>
      <c r="G16" s="9">
        <v>1100</v>
      </c>
      <c r="H16" s="9">
        <v>1100</v>
      </c>
      <c r="I16" s="9">
        <v>1100</v>
      </c>
      <c r="J16" s="9">
        <v>1100</v>
      </c>
      <c r="K16" s="9">
        <v>1100</v>
      </c>
      <c r="L16" s="9">
        <v>1100</v>
      </c>
      <c r="M16" s="9">
        <v>1100</v>
      </c>
      <c r="N16" s="9">
        <v>1100</v>
      </c>
      <c r="O16" s="9">
        <v>1100</v>
      </c>
      <c r="P16" s="9">
        <v>1100</v>
      </c>
      <c r="Q16" s="9">
        <v>1100</v>
      </c>
      <c r="R16" s="9">
        <v>1100</v>
      </c>
      <c r="S16" s="9">
        <v>1100</v>
      </c>
      <c r="T16" s="9">
        <v>1100</v>
      </c>
      <c r="U16" s="9">
        <v>1100</v>
      </c>
      <c r="V16" s="9">
        <v>1100</v>
      </c>
      <c r="W16" s="9">
        <v>1100</v>
      </c>
      <c r="X16" s="9">
        <v>1100</v>
      </c>
    </row>
    <row r="18" spans="1:28" ht="15">
      <c r="A18" s="41" t="s">
        <v>118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1" t="s">
        <v>118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4" ht="15">
      <c r="A19" s="3" t="s">
        <v>79</v>
      </c>
      <c r="B19" s="10">
        <v>100</v>
      </c>
      <c r="C19" s="10">
        <v>110</v>
      </c>
      <c r="D19" s="10">
        <v>115</v>
      </c>
      <c r="E19" s="10">
        <v>120</v>
      </c>
      <c r="F19" s="10">
        <v>125</v>
      </c>
      <c r="G19" s="10">
        <v>130</v>
      </c>
      <c r="H19" s="10">
        <v>140</v>
      </c>
      <c r="I19" s="10">
        <v>150</v>
      </c>
      <c r="J19" s="10">
        <v>160</v>
      </c>
      <c r="K19" s="10">
        <v>180</v>
      </c>
      <c r="L19" s="10">
        <v>200</v>
      </c>
      <c r="M19" s="10">
        <v>220</v>
      </c>
      <c r="N19" s="10">
        <v>250</v>
      </c>
      <c r="O19" s="10">
        <v>260</v>
      </c>
      <c r="P19" s="10">
        <v>270</v>
      </c>
      <c r="Q19" s="10">
        <v>280</v>
      </c>
      <c r="R19" s="10">
        <v>290</v>
      </c>
      <c r="S19" s="10">
        <v>300</v>
      </c>
      <c r="T19" s="10">
        <v>310</v>
      </c>
      <c r="U19" s="10">
        <v>320</v>
      </c>
      <c r="V19" s="10">
        <v>330</v>
      </c>
      <c r="W19" s="10">
        <v>340</v>
      </c>
      <c r="X19" s="10">
        <v>350</v>
      </c>
    </row>
    <row r="20" spans="1:24" ht="15">
      <c r="A20" s="4" t="s">
        <v>69</v>
      </c>
      <c r="B20" s="16">
        <f>((B19*0.00314)*'Технический лист'!$G$8)*2.85</f>
        <v>1842.0993506493505</v>
      </c>
      <c r="C20" s="16">
        <f>((C19*0.00314)*'Технический лист'!$G$8)*2.85</f>
        <v>2026.3092857142854</v>
      </c>
      <c r="D20" s="16">
        <f>((D19*0.00314)*'Технический лист'!$G$8)*2.85</f>
        <v>2118.414253246753</v>
      </c>
      <c r="E20" s="16">
        <f>((E19*0.00314)*'Технический лист'!$G$8)*2.85</f>
        <v>2210.519220779221</v>
      </c>
      <c r="F20" s="16">
        <f>((F19*0.00314)*'Технический лист'!$G$8)*2.85</f>
        <v>2302.624188311688</v>
      </c>
      <c r="G20" s="16">
        <f>((G19*0.00314)*'Технический лист'!$G$8)*2.85</f>
        <v>2394.7291558441557</v>
      </c>
      <c r="H20" s="16">
        <f>((H19*0.00314)*'Технический лист'!$G$8)*2.85</f>
        <v>2578.9390909090907</v>
      </c>
      <c r="I20" s="16">
        <f>((I19*0.00314)*'Технический лист'!$G$8)*2.85</f>
        <v>2763.149025974026</v>
      </c>
      <c r="J20" s="16">
        <f>((J19*0.00314)*'Технический лист'!$G$8)*2.85</f>
        <v>2947.358961038961</v>
      </c>
      <c r="K20" s="16">
        <f>((K19*0.00314)*'Технический лист'!$G$8)*2.85</f>
        <v>3315.7788311688314</v>
      </c>
      <c r="L20" s="16">
        <f>((L19*0.00314)*'Технический лист'!$G$8)*2.85</f>
        <v>3684.198701298701</v>
      </c>
      <c r="M20" s="16">
        <f>((M19*0.00314)*'Технический лист'!$G$8)*2.85</f>
        <v>4052.6185714285707</v>
      </c>
      <c r="N20" s="16">
        <f>((N19*0.00314)*'Технический лист'!$G$8)*2.85</f>
        <v>4605.248376623376</v>
      </c>
      <c r="O20" s="16">
        <f>((O19*0.00314)*'Технический лист'!$G$8)*2.85</f>
        <v>4789.458311688311</v>
      </c>
      <c r="P20" s="16">
        <f>((P19*0.00314)*'Технический лист'!$G$8)*2.85</f>
        <v>4973.668246753246</v>
      </c>
      <c r="Q20" s="16">
        <f>((Q19*0.00314)*'Технический лист'!$G$8)*2.85</f>
        <v>5157.8781818181815</v>
      </c>
      <c r="R20" s="16">
        <f>((R19*0.00314)*'Технический лист'!$G$8)*2.85</f>
        <v>5342.0881168831165</v>
      </c>
      <c r="S20" s="16">
        <f>((S19*0.00314)*'Технический лист'!$G$8)*2.85</f>
        <v>5526.298051948052</v>
      </c>
      <c r="T20" s="16">
        <f>((T19*0.00314)*'Технический лист'!$G$8)*2.85</f>
        <v>5710.507987012987</v>
      </c>
      <c r="U20" s="16">
        <f>((U19*0.00314)*'Технический лист'!$G$8)*2.85</f>
        <v>5894.717922077922</v>
      </c>
      <c r="V20" s="16">
        <f>((V19*0.00314)*'Технический лист'!$G$8)*2.85</f>
        <v>6078.927857142857</v>
      </c>
      <c r="W20" s="16">
        <f>((W19*0.00314)*'Технический лист'!$G$8)*2.85</f>
        <v>6263.137792207793</v>
      </c>
      <c r="X20" s="16">
        <f>((X19*0.00314)*'Технический лист'!$G$8)*2.85</f>
        <v>6447.347727272727</v>
      </c>
    </row>
    <row r="21" spans="1:24" ht="15">
      <c r="A21" s="4" t="s">
        <v>70</v>
      </c>
      <c r="B21" s="9">
        <f>((B20/2)*1.07)-10</f>
        <v>975.5231525974026</v>
      </c>
      <c r="C21" s="9">
        <f aca="true" t="shared" si="2" ref="C21:X21">((C20/2)*1.07)-10</f>
        <v>1074.0754678571427</v>
      </c>
      <c r="D21" s="9">
        <f t="shared" si="2"/>
        <v>1123.351625487013</v>
      </c>
      <c r="E21" s="9">
        <f t="shared" si="2"/>
        <v>1172.6277831168834</v>
      </c>
      <c r="F21" s="9">
        <f t="shared" si="2"/>
        <v>1221.9039407467533</v>
      </c>
      <c r="G21" s="9">
        <f t="shared" si="2"/>
        <v>1271.1800983766234</v>
      </c>
      <c r="H21" s="9">
        <f t="shared" si="2"/>
        <v>1369.7324136363636</v>
      </c>
      <c r="I21" s="9">
        <f t="shared" si="2"/>
        <v>1468.2847288961038</v>
      </c>
      <c r="J21" s="9">
        <f t="shared" si="2"/>
        <v>1566.837044155844</v>
      </c>
      <c r="K21" s="9">
        <f t="shared" si="2"/>
        <v>1763.941674675325</v>
      </c>
      <c r="L21" s="9">
        <f t="shared" si="2"/>
        <v>1961.0463051948052</v>
      </c>
      <c r="M21" s="9">
        <f t="shared" si="2"/>
        <v>2158.1509357142854</v>
      </c>
      <c r="N21" s="9">
        <f t="shared" si="2"/>
        <v>2453.8078814935066</v>
      </c>
      <c r="O21" s="9">
        <f t="shared" si="2"/>
        <v>2552.360196753247</v>
      </c>
      <c r="P21" s="9">
        <f t="shared" si="2"/>
        <v>2650.912512012987</v>
      </c>
      <c r="Q21" s="9">
        <f t="shared" si="2"/>
        <v>2749.4648272727272</v>
      </c>
      <c r="R21" s="9">
        <f t="shared" si="2"/>
        <v>2848.0171425324675</v>
      </c>
      <c r="S21" s="9">
        <f t="shared" si="2"/>
        <v>2946.5694577922077</v>
      </c>
      <c r="T21" s="9">
        <f t="shared" si="2"/>
        <v>3045.121773051948</v>
      </c>
      <c r="U21" s="9">
        <f t="shared" si="2"/>
        <v>3143.674088311688</v>
      </c>
      <c r="V21" s="9">
        <f t="shared" si="2"/>
        <v>3242.2264035714284</v>
      </c>
      <c r="W21" s="9">
        <f t="shared" si="2"/>
        <v>3340.7787188311695</v>
      </c>
      <c r="X21" s="9">
        <f t="shared" si="2"/>
        <v>3439.3310340909093</v>
      </c>
    </row>
    <row r="22" spans="1:24" ht="15">
      <c r="A22" s="4" t="s">
        <v>71</v>
      </c>
      <c r="B22" s="16">
        <f>(((B19*0.00314)*0.55)*'Технический лист'!$I$8)*3.3</f>
        <v>1668.9481285714285</v>
      </c>
      <c r="C22" s="16">
        <f>(((C19*0.00314)*0.55)*'Технический лист'!$I$8)*3.3</f>
        <v>1835.8429414285713</v>
      </c>
      <c r="D22" s="16">
        <f>(((D19*0.00314)*0.55)*'Технический лист'!$I$8)*3.3</f>
        <v>1919.2903478571427</v>
      </c>
      <c r="E22" s="16">
        <f>(((E19*0.00314)*0.55)*'Технический лист'!$I$8)*3.3</f>
        <v>2002.7377542857146</v>
      </c>
      <c r="F22" s="16">
        <f>(((F19*0.00314)*0.55)*'Технический лист'!$I$8)*3.3</f>
        <v>2086.1851607142858</v>
      </c>
      <c r="G22" s="16">
        <f>(((G19*0.00314)*0.55)*'Технический лист'!$I$8)*3.3</f>
        <v>2169.632567142857</v>
      </c>
      <c r="H22" s="16">
        <f>(((H19*0.00314)*0.55)*'Технический лист'!$I$8)*3.3</f>
        <v>2336.52738</v>
      </c>
      <c r="I22" s="16">
        <f>(((I19*0.00314)*0.55)*'Технический лист'!$I$8)*3.3</f>
        <v>2503.422192857143</v>
      </c>
      <c r="J22" s="16">
        <f>(((J19*0.00314)*0.55)*'Технический лист'!$I$8)*3.3</f>
        <v>2670.3170057142856</v>
      </c>
      <c r="K22" s="16">
        <f>(((K19*0.00314)*0.55)*'Технический лист'!$I$8)*3.3</f>
        <v>3004.1066314285713</v>
      </c>
      <c r="L22" s="16">
        <f>(((L19*0.00314)*0.55)*'Технический лист'!$I$8)*3.3</f>
        <v>3337.896257142857</v>
      </c>
      <c r="M22" s="16">
        <f>(((M19*0.00314)*0.55)*'Технический лист'!$I$8)*3.3</f>
        <v>3671.6858828571426</v>
      </c>
      <c r="N22" s="16">
        <f>(((N19*0.00314)*0.55)*'Технический лист'!$I$8)*3.3</f>
        <v>4172.3703214285715</v>
      </c>
      <c r="O22" s="16">
        <f>(((O19*0.00314)*0.55)*'Технический лист'!$I$8)*3.3</f>
        <v>4339.265134285714</v>
      </c>
      <c r="P22" s="16">
        <f>(((P19*0.00314)*0.55)*'Технический лист'!$I$8)*3.3</f>
        <v>4506.159947142857</v>
      </c>
      <c r="Q22" s="16">
        <f>(((Q19*0.00314)*0.55)*'Технический лист'!$I$8)*3.3</f>
        <v>4673.05476</v>
      </c>
      <c r="R22" s="16">
        <f>(((R19*0.00314)*0.55)*'Технический лист'!$I$8)*3.3</f>
        <v>4839.949572857143</v>
      </c>
      <c r="S22" s="16">
        <f>(((S19*0.00314)*0.55)*'Технический лист'!$I$8)*3.3</f>
        <v>5006.844385714286</v>
      </c>
      <c r="T22" s="16">
        <f>(((T19*0.00314)*0.55)*'Технический лист'!$I$8)*3.3</f>
        <v>5173.7391985714285</v>
      </c>
      <c r="U22" s="16">
        <f>(((U19*0.00314)*0.55)*'Технический лист'!$I$8)*3.3</f>
        <v>5340.634011428571</v>
      </c>
      <c r="V22" s="16">
        <f>(((V19*0.00314)*0.55)*'Технический лист'!$I$8)*3.3</f>
        <v>5507.528824285713</v>
      </c>
      <c r="W22" s="16">
        <f>(((W19*0.00314)*0.55)*'Технический лист'!$I$8)*3.3</f>
        <v>5674.423637142858</v>
      </c>
      <c r="X22" s="16">
        <f>(((X19*0.00314)*0.55)*'Технический лист'!$I$8)*3.3</f>
        <v>5841.31845</v>
      </c>
    </row>
    <row r="23" spans="1:24" ht="15">
      <c r="A23" s="4" t="s">
        <v>72</v>
      </c>
      <c r="B23" s="9">
        <f>((B22*2)/3)-6</f>
        <v>1106.6320857142857</v>
      </c>
      <c r="C23" s="9">
        <f aca="true" t="shared" si="3" ref="C23:X23">((C22*2)/3)-6</f>
        <v>1217.8952942857143</v>
      </c>
      <c r="D23" s="9">
        <f t="shared" si="3"/>
        <v>1273.5268985714285</v>
      </c>
      <c r="E23" s="9">
        <f t="shared" si="3"/>
        <v>1329.158502857143</v>
      </c>
      <c r="F23" s="9">
        <f t="shared" si="3"/>
        <v>1384.790107142857</v>
      </c>
      <c r="G23" s="9">
        <f t="shared" si="3"/>
        <v>1440.4217114285714</v>
      </c>
      <c r="H23" s="9">
        <f t="shared" si="3"/>
        <v>1551.68492</v>
      </c>
      <c r="I23" s="9">
        <f t="shared" si="3"/>
        <v>1662.9481285714285</v>
      </c>
      <c r="J23" s="9">
        <f t="shared" si="3"/>
        <v>1774.211337142857</v>
      </c>
      <c r="K23" s="9">
        <f t="shared" si="3"/>
        <v>1996.7377542857141</v>
      </c>
      <c r="L23" s="9">
        <f t="shared" si="3"/>
        <v>2219.2641714285714</v>
      </c>
      <c r="M23" s="9">
        <f t="shared" si="3"/>
        <v>2441.7905885714285</v>
      </c>
      <c r="N23" s="9">
        <f t="shared" si="3"/>
        <v>2775.580214285714</v>
      </c>
      <c r="O23" s="9">
        <f t="shared" si="3"/>
        <v>2886.8434228571427</v>
      </c>
      <c r="P23" s="9">
        <f t="shared" si="3"/>
        <v>2998.1066314285713</v>
      </c>
      <c r="Q23" s="9">
        <f t="shared" si="3"/>
        <v>3109.36984</v>
      </c>
      <c r="R23" s="9">
        <f t="shared" si="3"/>
        <v>3220.6330485714284</v>
      </c>
      <c r="S23" s="9">
        <f t="shared" si="3"/>
        <v>3331.896257142857</v>
      </c>
      <c r="T23" s="9">
        <f t="shared" si="3"/>
        <v>3443.1594657142855</v>
      </c>
      <c r="U23" s="9">
        <f t="shared" si="3"/>
        <v>3554.422674285714</v>
      </c>
      <c r="V23" s="9">
        <f t="shared" si="3"/>
        <v>3665.685882857142</v>
      </c>
      <c r="W23" s="9">
        <f t="shared" si="3"/>
        <v>3776.949091428572</v>
      </c>
      <c r="X23" s="9">
        <f t="shared" si="3"/>
        <v>3888.2122999999997</v>
      </c>
    </row>
    <row r="24" spans="1:24" ht="15">
      <c r="A24" s="4" t="s">
        <v>99</v>
      </c>
      <c r="B24" s="16">
        <v>1460</v>
      </c>
      <c r="C24" s="16">
        <v>1632</v>
      </c>
      <c r="D24" s="16">
        <v>1719</v>
      </c>
      <c r="E24" s="16">
        <v>1809</v>
      </c>
      <c r="F24" s="16">
        <v>1900</v>
      </c>
      <c r="G24" s="16">
        <v>1991</v>
      </c>
      <c r="H24" s="16">
        <v>2179</v>
      </c>
      <c r="I24" s="16">
        <v>2337</v>
      </c>
      <c r="J24" s="16">
        <v>2531</v>
      </c>
      <c r="K24" s="16">
        <v>2934</v>
      </c>
      <c r="L24" s="16">
        <v>3306</v>
      </c>
      <c r="M24" s="16">
        <v>3714</v>
      </c>
      <c r="N24" s="16">
        <v>4398</v>
      </c>
      <c r="O24" s="16">
        <v>4468</v>
      </c>
      <c r="P24" s="16">
        <v>4695</v>
      </c>
      <c r="Q24" s="16">
        <v>4932</v>
      </c>
      <c r="R24" s="16">
        <v>5174</v>
      </c>
      <c r="S24" s="16">
        <v>5420</v>
      </c>
      <c r="T24" s="16">
        <v>5669</v>
      </c>
      <c r="U24" s="16">
        <v>5926</v>
      </c>
      <c r="V24" s="16">
        <v>6184</v>
      </c>
      <c r="W24" s="16">
        <v>6449</v>
      </c>
      <c r="X24" s="16">
        <v>6718</v>
      </c>
    </row>
    <row r="25" spans="1:24" ht="15">
      <c r="A25" s="4" t="s">
        <v>103</v>
      </c>
      <c r="B25" s="16">
        <v>1460</v>
      </c>
      <c r="C25" s="16">
        <v>1632</v>
      </c>
      <c r="D25" s="16">
        <v>1719</v>
      </c>
      <c r="E25" s="16">
        <v>1809</v>
      </c>
      <c r="F25" s="16">
        <v>1900</v>
      </c>
      <c r="G25" s="16">
        <v>1991</v>
      </c>
      <c r="H25" s="16">
        <v>2179</v>
      </c>
      <c r="I25" s="16">
        <v>2337</v>
      </c>
      <c r="J25" s="16">
        <v>2531</v>
      </c>
      <c r="K25" s="16">
        <v>2933</v>
      </c>
      <c r="L25" s="16">
        <v>3306</v>
      </c>
      <c r="M25" s="16">
        <v>3713</v>
      </c>
      <c r="N25" s="16">
        <v>4396</v>
      </c>
      <c r="O25" s="16">
        <v>4468</v>
      </c>
      <c r="P25" s="16">
        <v>4694</v>
      </c>
      <c r="Q25" s="16">
        <v>4932</v>
      </c>
      <c r="R25" s="16">
        <v>5174</v>
      </c>
      <c r="S25" s="16">
        <v>5420</v>
      </c>
      <c r="T25" s="16">
        <v>5670</v>
      </c>
      <c r="U25" s="16">
        <v>5925</v>
      </c>
      <c r="V25" s="16">
        <v>6184</v>
      </c>
      <c r="W25" s="16">
        <v>6449</v>
      </c>
      <c r="X25" s="16">
        <v>6718</v>
      </c>
    </row>
    <row r="26" spans="1:24" ht="15">
      <c r="A26" s="4" t="s">
        <v>75</v>
      </c>
      <c r="B26" s="9">
        <f>(((B19*0.00314)*((B19+500)/1000)*'Технический лист'!$K$8))*3.65</f>
        <v>2034.4019220779219</v>
      </c>
      <c r="C26" s="9">
        <f>(((C19*0.00314)*((C19+500)/1000)*'Технический лист'!$K$8))*3.65</f>
        <v>2275.1394828571424</v>
      </c>
      <c r="D26" s="9">
        <f>(((D19*0.00314)*((D19+500)/1000)*'Технический лист'!$K$8))*3.65</f>
        <v>2398.05126564935</v>
      </c>
      <c r="E26" s="9">
        <f>(((E19*0.00314)*((E19+500)/1000)*'Технический лист'!$K$8))*3.65</f>
        <v>2522.6583833766235</v>
      </c>
      <c r="F26" s="9">
        <f>(((F19*0.00314)*((F19+500)/1000)*'Технический лист'!$K$8))*3.65</f>
        <v>2648.960836038961</v>
      </c>
      <c r="G26" s="9">
        <f>(((G19*0.00314)*((G19+500)/1000)*'Технический лист'!$K$8))*3.65</f>
        <v>2776.958623636364</v>
      </c>
      <c r="H26" s="9">
        <f>(((H19*0.00314)*((H19+500)/1000)*'Технический лист'!$K$8))*3.65</f>
        <v>3038.040203636363</v>
      </c>
      <c r="I26" s="9">
        <f>(((I19*0.00314)*((I19+500)/1000)*'Технический лист'!$K$8))*3.65</f>
        <v>3305.9031233766227</v>
      </c>
      <c r="J26" s="9">
        <f>(((J19*0.00314)*((J19+500)/1000)*'Технический лист'!$K$8))*3.65</f>
        <v>3580.5473828571426</v>
      </c>
      <c r="K26" s="9">
        <f>(((K19*0.00314)*((K19+500)/1000)*'Технический лист'!$K$8))*3.65</f>
        <v>4150.179921038962</v>
      </c>
      <c r="L26" s="9">
        <f>(((L19*0.00314)*((L19+500)/1000)*'Технический лист'!$K$8))*3.65</f>
        <v>4746.937818181818</v>
      </c>
      <c r="M26" s="9">
        <f>(((M19*0.00314)*((M19+500)/1000)*'Технический лист'!$K$8))*3.65</f>
        <v>5370.821074285714</v>
      </c>
      <c r="N26" s="9">
        <f>(((N19*0.00314)*((N19+500)/1000)*'Технический лист'!$K$8))*3.65</f>
        <v>6357.506006493506</v>
      </c>
      <c r="O26" s="9">
        <f>(((O19*0.00314)*((O19+500)/1000)*'Технический лист'!$K$8))*3.65</f>
        <v>6699.963663376623</v>
      </c>
      <c r="P26" s="9">
        <f>(((P19*0.00314)*((P19+500)/1000)*'Технический лист'!$K$8))*3.65</f>
        <v>7049.20266</v>
      </c>
      <c r="Q26" s="9">
        <f>(((Q19*0.00314)*((Q19+500)/1000)*'Технический лист'!$K$8))*3.65</f>
        <v>7405.222996363636</v>
      </c>
      <c r="R26" s="9">
        <f>(((R19*0.00314)*((R19+500)/1000)*'Технический лист'!$K$8))*3.65</f>
        <v>7768.024672467532</v>
      </c>
      <c r="S26" s="9">
        <f>(((S19*0.00314)*((S19+500)/1000)*'Технический лист'!$K$8))*3.65</f>
        <v>8137.6076883116875</v>
      </c>
      <c r="T26" s="9">
        <f>(((T19*0.00314)*((T19+500)/1000)*'Технический лист'!$K$8))*3.65</f>
        <v>8513.972043896105</v>
      </c>
      <c r="U26" s="9">
        <f>(((U19*0.00314)*((U19+500)/1000)*'Технический лист'!$K$8))*3.65</f>
        <v>8897.117739220777</v>
      </c>
      <c r="V26" s="9">
        <f>(((V19*0.00314)*((V19+500)/1000)*'Технический лист'!$K$8))*3.65</f>
        <v>9287.044774285714</v>
      </c>
      <c r="W26" s="9">
        <f>(((W19*0.00314)*((W19+500)/1000)*'Технический лист'!$K$8))*3.65</f>
        <v>9683.75314909091</v>
      </c>
      <c r="X26" s="9">
        <f>(((X19*0.00314)*((X19+500)/1000)*'Технический лист'!$K$8))*3.65</f>
        <v>10087.242863636362</v>
      </c>
    </row>
    <row r="27" spans="1:24" ht="15">
      <c r="A27" s="4" t="s">
        <v>105</v>
      </c>
      <c r="B27" s="9">
        <v>1780</v>
      </c>
      <c r="C27" s="9">
        <v>1961</v>
      </c>
      <c r="D27" s="9">
        <v>2054</v>
      </c>
      <c r="E27" s="9">
        <v>2149</v>
      </c>
      <c r="F27" s="9">
        <v>2245</v>
      </c>
      <c r="G27" s="9">
        <v>2342</v>
      </c>
      <c r="H27" s="9">
        <v>2542</v>
      </c>
      <c r="I27" s="9">
        <v>2748</v>
      </c>
      <c r="J27" s="9">
        <v>2961</v>
      </c>
      <c r="K27" s="9">
        <v>3404</v>
      </c>
      <c r="L27" s="9">
        <v>3873</v>
      </c>
      <c r="M27" s="9">
        <v>4367</v>
      </c>
      <c r="N27" s="9">
        <v>5154</v>
      </c>
      <c r="O27" s="9">
        <v>5429</v>
      </c>
      <c r="P27" s="9">
        <v>5710</v>
      </c>
      <c r="Q27" s="9">
        <v>5998</v>
      </c>
      <c r="R27" s="9">
        <v>6292</v>
      </c>
      <c r="S27" s="9">
        <v>6592</v>
      </c>
      <c r="T27" s="9">
        <v>6898</v>
      </c>
      <c r="U27" s="9">
        <v>7210</v>
      </c>
      <c r="V27" s="9">
        <v>7529</v>
      </c>
      <c r="W27" s="9">
        <v>7854</v>
      </c>
      <c r="X27" s="9">
        <v>8185</v>
      </c>
    </row>
    <row r="28" spans="1:24" ht="15">
      <c r="A28" s="4" t="s">
        <v>76</v>
      </c>
      <c r="B28" s="9">
        <f>((((B19*0.00314)*0.16)*'Технический лист'!$O$8)+((((B19+100)/1000)*((B19+100)/1000))*3)*'Технический лист'!$I$8)*3.56</f>
        <v>1780.160523636364</v>
      </c>
      <c r="C28" s="9">
        <f>((((C19*0.00314)*0.16)*'Технический лист'!$O$8)+((((C19+100)/1000)*((C19+100)/1000))*3)*'Технический лист'!$I$8)*3.56</f>
        <v>1961.3041515844152</v>
      </c>
      <c r="D28" s="9">
        <f>((((D19*0.00314)*0.16)*'Технический лист'!$O$8)+((((D19+100)/1000)*((D19+100)/1000))*3)*'Технический лист'!$I$8)*3.56</f>
        <v>2054.221647246753</v>
      </c>
      <c r="E28" s="9">
        <f>((((E19*0.00314)*0.16)*'Технический лист'!$O$8)+((((E19+100)/1000)*((E19+100)/1000))*3)*'Технический лист'!$I$8)*3.56</f>
        <v>2148.702930701299</v>
      </c>
      <c r="F28" s="9">
        <f>((((F19*0.00314)*0.16)*'Технический лист'!$O$8)+((((F19+100)/1000)*((F19+100)/1000))*3)*'Технический лист'!$I$8)*3.56</f>
        <v>2244.748001948052</v>
      </c>
      <c r="G28" s="9">
        <f>((((G19*0.00314)*0.16)*'Технический лист'!$O$8)+((((G19+100)/1000)*((G19+100)/1000))*3)*'Технический лист'!$I$8)*3.56</f>
        <v>2342.356860987013</v>
      </c>
      <c r="H28" s="9">
        <f>((((H19*0.00314)*0.16)*'Технический лист'!$O$8)+((((H19+100)/1000)*((H19+100)/1000))*3)*'Технический лист'!$I$8)*3.56</f>
        <v>2542.2659424415583</v>
      </c>
      <c r="I28" s="9">
        <f>((((I19*0.00314)*0.16)*'Технический лист'!$O$8)+((((I19+100)/1000)*((I19+100)/1000))*3)*'Технический лист'!$I$8)*3.56</f>
        <v>2748.430175064935</v>
      </c>
      <c r="J28" s="9">
        <f>((((J19*0.00314)*0.16)*'Технический лист'!$O$8)+((((J19+100)/1000)*((J19+100)/1000))*3)*'Технический лист'!$I$8)*3.56</f>
        <v>2960.849558857143</v>
      </c>
      <c r="K28" s="9">
        <f>((((K19*0.00314)*0.16)*'Технический лист'!$O$8)+((((K19+100)/1000)*((K19+100)/1000))*3)*'Технический лист'!$I$8)*3.56</f>
        <v>3404.4537799480518</v>
      </c>
      <c r="L28" s="9">
        <f>((((L19*0.00314)*0.16)*'Технический лист'!$O$8)+((((L19+100)/1000)*((L19+100)/1000))*3)*'Технический лист'!$I$8)*3.56</f>
        <v>3873.0786057142864</v>
      </c>
      <c r="M28" s="9">
        <f>((((M19*0.00314)*0.16)*'Технический лист'!$O$8)+((((M19+100)/1000)*((M19+100)/1000))*3)*'Технический лист'!$I$8)*3.56</f>
        <v>4366.724036155844</v>
      </c>
      <c r="N28" s="9">
        <f>((((N19*0.00314)*0.16)*'Технический лист'!$O$8)+((((N19+100)/1000)*((N19+100)/1000))*3)*'Технический лист'!$I$8)*3.56</f>
        <v>5154.105815584415</v>
      </c>
      <c r="O28" s="9">
        <f>((((O19*0.00314)*0.16)*'Технический лист'!$O$8)+((((O19+100)/1000)*((O19+100)/1000))*3)*'Технический лист'!$I$8)*3.56</f>
        <v>5429.076711064935</v>
      </c>
      <c r="P28" s="9">
        <f>((((P19*0.00314)*0.16)*'Технический лист'!$O$8)+((((P19+100)/1000)*((P19+100)/1000))*3)*'Технический лист'!$I$8)*3.56</f>
        <v>5710.302757714285</v>
      </c>
      <c r="Q28" s="9">
        <f>((((Q19*0.00314)*0.16)*'Технический лист'!$O$8)+((((Q19+100)/1000)*((Q19+100)/1000))*3)*'Технический лист'!$I$8)*3.56</f>
        <v>5997.783955532467</v>
      </c>
      <c r="R28" s="9">
        <f>((((R19*0.00314)*0.16)*'Технический лист'!$O$8)+((((R19+100)/1000)*((R19+100)/1000))*3)*'Технический лист'!$I$8)*3.56</f>
        <v>6291.520304519481</v>
      </c>
      <c r="S28" s="9">
        <f>((((S19*0.00314)*0.16)*'Технический лист'!$O$8)+((((S19+100)/1000)*((S19+100)/1000))*3)*'Технический лист'!$I$8)*3.56</f>
        <v>6591.511804675325</v>
      </c>
      <c r="T28" s="9">
        <f>((((T19*0.00314)*0.16)*'Технический лист'!$O$8)+((((T19+100)/1000)*((T19+100)/1000))*3)*'Технический лист'!$I$8)*3.56</f>
        <v>6897.758456</v>
      </c>
      <c r="U28" s="9">
        <f>((((U19*0.00314)*0.16)*'Технический лист'!$O$8)+((((U19+100)/1000)*((U19+100)/1000))*3)*'Технический лист'!$I$8)*3.56</f>
        <v>7210.260258493505</v>
      </c>
      <c r="V28" s="9">
        <f>((((V19*0.00314)*0.16)*'Технический лист'!$O$8)+((((V19+100)/1000)*((V19+100)/1000))*3)*'Технический лист'!$I$8)*3.56</f>
        <v>7529.0172121558435</v>
      </c>
      <c r="W28" s="9">
        <f>((((W19*0.00314)*0.16)*'Технический лист'!$O$8)+((((W19+100)/1000)*((W19+100)/1000))*3)*'Технический лист'!$I$8)*3.56</f>
        <v>7854.029316987012</v>
      </c>
      <c r="X28" s="9">
        <f>((((X19*0.00314)*0.16)*'Технический лист'!$O$8)+((((X19+100)/1000)*((X19+100)/1000))*3)*'Технический лист'!$I$8)*3.56</f>
        <v>8185.296572987014</v>
      </c>
    </row>
    <row r="29" spans="1:24" ht="15">
      <c r="A29" s="4" t="s">
        <v>101</v>
      </c>
      <c r="B29" s="9">
        <v>1555</v>
      </c>
      <c r="C29" s="9">
        <v>1555</v>
      </c>
      <c r="D29" s="9">
        <v>1555</v>
      </c>
      <c r="E29" s="9">
        <v>1555</v>
      </c>
      <c r="F29" s="9">
        <v>1555</v>
      </c>
      <c r="G29" s="9">
        <v>1555</v>
      </c>
      <c r="H29" s="9">
        <v>1555</v>
      </c>
      <c r="I29" s="9">
        <v>1555</v>
      </c>
      <c r="J29" s="9">
        <v>1555</v>
      </c>
      <c r="K29" s="9">
        <v>1555</v>
      </c>
      <c r="L29" s="9">
        <v>1555</v>
      </c>
      <c r="M29" s="9">
        <v>1555</v>
      </c>
      <c r="N29" s="9">
        <v>1555</v>
      </c>
      <c r="O29" s="9">
        <v>1555</v>
      </c>
      <c r="P29" s="9">
        <v>1555</v>
      </c>
      <c r="Q29" s="9">
        <v>1555</v>
      </c>
      <c r="R29" s="9">
        <v>1555</v>
      </c>
      <c r="S29" s="9">
        <v>1555</v>
      </c>
      <c r="T29" s="9">
        <v>1555</v>
      </c>
      <c r="U29" s="9">
        <v>1555</v>
      </c>
      <c r="V29" s="9">
        <v>1555</v>
      </c>
      <c r="W29" s="9">
        <v>1555</v>
      </c>
      <c r="X29" s="9">
        <v>1555</v>
      </c>
    </row>
  </sheetData>
  <mergeCells count="8">
    <mergeCell ref="A18:N18"/>
    <mergeCell ref="O18:AB18"/>
    <mergeCell ref="A1:C1"/>
    <mergeCell ref="D1:O1"/>
    <mergeCell ref="D2:O2"/>
    <mergeCell ref="D3:O3"/>
    <mergeCell ref="A5:O5"/>
    <mergeCell ref="P5:AD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9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0.7109375" style="0" customWidth="1"/>
    <col min="2" max="24" width="6.28125" style="0" customWidth="1"/>
  </cols>
  <sheetData>
    <row r="1" spans="1:17" ht="37.5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8.75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8.75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38.25" customHeight="1"/>
    <row r="5" spans="1:30" ht="15">
      <c r="A5" s="41" t="s">
        <v>125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84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24" ht="15">
      <c r="A6" s="3" t="s">
        <v>78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  <c r="T6" s="10">
        <v>310</v>
      </c>
      <c r="U6" s="10">
        <v>320</v>
      </c>
      <c r="V6" s="10">
        <v>330</v>
      </c>
      <c r="W6" s="10">
        <v>340</v>
      </c>
      <c r="X6" s="10">
        <v>350</v>
      </c>
    </row>
    <row r="7" spans="1:24" ht="15">
      <c r="A7" s="4" t="s">
        <v>69</v>
      </c>
      <c r="B7" s="16">
        <f>(((B6*0.00314)*'Технический лист'!$G$9))*2.85</f>
        <v>1391.7484800000002</v>
      </c>
      <c r="C7" s="16">
        <f>(((C6*0.00314)*'Технический лист'!$G$9))*2.85</f>
        <v>1530.9233279999999</v>
      </c>
      <c r="D7" s="16">
        <f>(((D6*0.00314)*'Технический лист'!$G$9))*2.85</f>
        <v>1600.5107520000001</v>
      </c>
      <c r="E7" s="16">
        <f>(((E6*0.00314)*'Технический лист'!$G$9))*2.85</f>
        <v>1670.0981760000002</v>
      </c>
      <c r="F7" s="16">
        <f>(((F6*0.00314)*'Технический лист'!$G$9))*2.85</f>
        <v>1739.6856000000002</v>
      </c>
      <c r="G7" s="16">
        <f>(((G6*0.00314)*'Технический лист'!$G$9))*2.85</f>
        <v>1809.2730240000003</v>
      </c>
      <c r="H7" s="16">
        <f>(((H6*0.00314)*'Технический лист'!$G$9))*2.85</f>
        <v>1948.4478720000002</v>
      </c>
      <c r="I7" s="16">
        <f>(((I6*0.00314)*'Технический лист'!$G$9))*2.85</f>
        <v>2087.62272</v>
      </c>
      <c r="J7" s="16">
        <f>(((J6*0.00314)*'Технический лист'!$G$9))*2.85</f>
        <v>2226.797568</v>
      </c>
      <c r="K7" s="16">
        <f>(((K6*0.00314)*'Технический лист'!$G$9))*2.85</f>
        <v>2505.147264</v>
      </c>
      <c r="L7" s="16">
        <f>(((L6*0.00314)*'Технический лист'!$G$9))*2.85</f>
        <v>2783.4969600000004</v>
      </c>
      <c r="M7" s="16">
        <f>(((M6*0.00314)*'Технический лист'!$G$9))*2.85</f>
        <v>3061.8466559999997</v>
      </c>
      <c r="N7" s="16">
        <f>(((N6*0.00314)*'Технический лист'!$G$9))*2.85</f>
        <v>3479.3712000000005</v>
      </c>
      <c r="O7" s="16">
        <f>(((O6*0.00314)*'Технический лист'!$G$9))*2.85</f>
        <v>3618.5460480000006</v>
      </c>
      <c r="P7" s="16">
        <f>(((P6*0.00314)*'Технический лист'!$G$9))*2.85</f>
        <v>3757.7208960000003</v>
      </c>
      <c r="Q7" s="16">
        <f>(((Q6*0.00314)*'Технический лист'!$G$9))*2.85</f>
        <v>3896.8957440000004</v>
      </c>
      <c r="R7" s="16">
        <f>(((R6*0.00314)*'Технический лист'!$G$9))*2.85</f>
        <v>4036.070592</v>
      </c>
      <c r="S7" s="16">
        <f>(((S6*0.00314)*'Технический лист'!$G$9))*2.85</f>
        <v>4175.24544</v>
      </c>
      <c r="T7" s="16">
        <f>(((T6*0.00314)*'Технический лист'!$G$9))*2.85</f>
        <v>4314.420288</v>
      </c>
      <c r="U7" s="16">
        <f>(((U6*0.00314)*'Технический лист'!$G$9))*2.85</f>
        <v>4453.595136</v>
      </c>
      <c r="V7" s="16">
        <f>(((V6*0.00314)*'Технический лист'!$G$9))*2.85</f>
        <v>4592.7699840000005</v>
      </c>
      <c r="W7" s="16">
        <f>(((W6*0.00314)*'Технический лист'!$G$9))*2.85</f>
        <v>4731.944832000001</v>
      </c>
      <c r="X7" s="16">
        <f>(((X6*0.00314)*'Технический лист'!$G$9))*2.85</f>
        <v>4871.11968</v>
      </c>
    </row>
    <row r="8" spans="1:24" ht="15">
      <c r="A8" s="4" t="s">
        <v>70</v>
      </c>
      <c r="B8" s="9">
        <f>((B7/2)*1.07)-10</f>
        <v>734.5854368000001</v>
      </c>
      <c r="C8" s="9">
        <f aca="true" t="shared" si="0" ref="C8:X8">((C7/2)*1.07)-10</f>
        <v>809.04398048</v>
      </c>
      <c r="D8" s="9">
        <f t="shared" si="0"/>
        <v>846.2732523200001</v>
      </c>
      <c r="E8" s="9">
        <f t="shared" si="0"/>
        <v>883.5025241600001</v>
      </c>
      <c r="F8" s="9">
        <f t="shared" si="0"/>
        <v>920.7317960000001</v>
      </c>
      <c r="G8" s="9">
        <f t="shared" si="0"/>
        <v>957.9610678400002</v>
      </c>
      <c r="H8" s="9">
        <f t="shared" si="0"/>
        <v>1032.4196115200002</v>
      </c>
      <c r="I8" s="9">
        <f t="shared" si="0"/>
        <v>1106.8781552</v>
      </c>
      <c r="J8" s="9">
        <f t="shared" si="0"/>
        <v>1181.33669888</v>
      </c>
      <c r="K8" s="9">
        <f t="shared" si="0"/>
        <v>1330.2537862400002</v>
      </c>
      <c r="L8" s="9">
        <f t="shared" si="0"/>
        <v>1479.1708736000003</v>
      </c>
      <c r="M8" s="9">
        <f t="shared" si="0"/>
        <v>1628.08796096</v>
      </c>
      <c r="N8" s="9">
        <f t="shared" si="0"/>
        <v>1851.4635920000003</v>
      </c>
      <c r="O8" s="9">
        <f t="shared" si="0"/>
        <v>1925.9221356800003</v>
      </c>
      <c r="P8" s="9">
        <f t="shared" si="0"/>
        <v>2000.3806793600002</v>
      </c>
      <c r="Q8" s="9">
        <f t="shared" si="0"/>
        <v>2074.8392230400004</v>
      </c>
      <c r="R8" s="9">
        <f t="shared" si="0"/>
        <v>2149.2977667200003</v>
      </c>
      <c r="S8" s="9">
        <f t="shared" si="0"/>
        <v>2223.7563104</v>
      </c>
      <c r="T8" s="9">
        <f t="shared" si="0"/>
        <v>2298.2148540800004</v>
      </c>
      <c r="U8" s="9">
        <f t="shared" si="0"/>
        <v>2372.67339776</v>
      </c>
      <c r="V8" s="9">
        <f t="shared" si="0"/>
        <v>2447.1319414400004</v>
      </c>
      <c r="W8" s="9">
        <f t="shared" si="0"/>
        <v>2521.5904851200007</v>
      </c>
      <c r="X8" s="9">
        <f t="shared" si="0"/>
        <v>2596.0490288</v>
      </c>
    </row>
    <row r="9" spans="1:24" ht="15">
      <c r="A9" s="4" t="s">
        <v>71</v>
      </c>
      <c r="B9" s="16">
        <f>(((B6*0.00314)*0.55)*'Технический лист'!$I$9)*3.25</f>
        <v>1305.07663</v>
      </c>
      <c r="C9" s="16">
        <f>(((C6*0.00314)*0.55)*'Технический лист'!$I$9)*3.25</f>
        <v>1435.584293</v>
      </c>
      <c r="D9" s="16">
        <f>(((D6*0.00314)*0.55)*'Технический лист'!$I$9)*3.25</f>
        <v>1500.8381244999998</v>
      </c>
      <c r="E9" s="16">
        <f>(((E6*0.00314)*0.55)*'Технический лист'!$I$9)*3.25</f>
        <v>1566.0919560000002</v>
      </c>
      <c r="F9" s="16">
        <f>(((F6*0.00314)*0.55)*'Технический лист'!$I$9)*3.25</f>
        <v>1631.3457875000001</v>
      </c>
      <c r="G9" s="16">
        <f>(((G6*0.00314)*0.55)*'Технический лист'!$I$9)*3.25</f>
        <v>1696.599619</v>
      </c>
      <c r="H9" s="16">
        <f>(((H6*0.00314)*0.55)*'Технический лист'!$I$9)*3.25</f>
        <v>1827.1072820000002</v>
      </c>
      <c r="I9" s="16">
        <f>(((I6*0.00314)*0.55)*'Технический лист'!$I$9)*3.25</f>
        <v>1957.6149449999998</v>
      </c>
      <c r="J9" s="16">
        <f>(((J6*0.00314)*0.55)*'Технический лист'!$I$9)*3.25</f>
        <v>2088.1226079999997</v>
      </c>
      <c r="K9" s="16">
        <f>(((K6*0.00314)*0.55)*'Технический лист'!$I$9)*3.25</f>
        <v>2349.1379340000003</v>
      </c>
      <c r="L9" s="16">
        <f>(((L6*0.00314)*0.55)*'Технический лист'!$I$9)*3.25</f>
        <v>2610.15326</v>
      </c>
      <c r="M9" s="16">
        <f>(((M6*0.00314)*0.55)*'Технический лист'!$I$9)*3.25</f>
        <v>2871.168586</v>
      </c>
      <c r="N9" s="16">
        <f>(((N6*0.00314)*0.55)*'Технический лист'!$I$9)*3.25</f>
        <v>3262.6915750000003</v>
      </c>
      <c r="O9" s="16">
        <f>(((O6*0.00314)*0.55)*'Технический лист'!$I$9)*3.25</f>
        <v>3393.199238</v>
      </c>
      <c r="P9" s="16">
        <f>(((P6*0.00314)*0.55)*'Технический лист'!$I$9)*3.25</f>
        <v>3523.706901</v>
      </c>
      <c r="Q9" s="16">
        <f>(((Q6*0.00314)*0.55)*'Технический лист'!$I$9)*3.25</f>
        <v>3654.2145640000003</v>
      </c>
      <c r="R9" s="16">
        <f>(((R6*0.00314)*0.55)*'Технический лист'!$I$9)*3.25</f>
        <v>3784.7222269999997</v>
      </c>
      <c r="S9" s="16">
        <f>(((S6*0.00314)*0.55)*'Технический лист'!$I$9)*3.25</f>
        <v>3915.2298899999996</v>
      </c>
      <c r="T9" s="16">
        <f>(((T6*0.00314)*0.55)*'Технический лист'!$I$9)*3.25</f>
        <v>4045.737553</v>
      </c>
      <c r="U9" s="16">
        <f>(((U6*0.00314)*0.55)*'Технический лист'!$I$9)*3.25</f>
        <v>4176.245215999999</v>
      </c>
      <c r="V9" s="16">
        <f>(((V6*0.00314)*0.55)*'Технический лист'!$I$9)*3.25</f>
        <v>4306.752879</v>
      </c>
      <c r="W9" s="16">
        <f>(((W6*0.00314)*0.55)*'Технический лист'!$I$9)*3.25</f>
        <v>4437.260542000001</v>
      </c>
      <c r="X9" s="16">
        <f>(((X6*0.00314)*0.55)*'Технический лист'!$I$9)*3.25</f>
        <v>4567.768205</v>
      </c>
    </row>
    <row r="10" spans="1:24" ht="15">
      <c r="A10" s="4" t="s">
        <v>72</v>
      </c>
      <c r="B10" s="9">
        <f>((B9*2)/3)-6</f>
        <v>864.0510866666667</v>
      </c>
      <c r="C10" s="9">
        <f aca="true" t="shared" si="1" ref="C10:X10">((C9*2)/3)-6</f>
        <v>951.0561953333332</v>
      </c>
      <c r="D10" s="9">
        <f t="shared" si="1"/>
        <v>994.5587496666666</v>
      </c>
      <c r="E10" s="9">
        <f t="shared" si="1"/>
        <v>1038.061304</v>
      </c>
      <c r="F10" s="9">
        <f t="shared" si="1"/>
        <v>1081.5638583333334</v>
      </c>
      <c r="G10" s="9">
        <f t="shared" si="1"/>
        <v>1125.0664126666668</v>
      </c>
      <c r="H10" s="9">
        <f t="shared" si="1"/>
        <v>1212.0715213333335</v>
      </c>
      <c r="I10" s="9">
        <f t="shared" si="1"/>
        <v>1299.0766299999998</v>
      </c>
      <c r="J10" s="9">
        <f t="shared" si="1"/>
        <v>1386.0817386666665</v>
      </c>
      <c r="K10" s="9">
        <f t="shared" si="1"/>
        <v>1560.0919560000002</v>
      </c>
      <c r="L10" s="9">
        <f t="shared" si="1"/>
        <v>1734.1021733333334</v>
      </c>
      <c r="M10" s="9">
        <f t="shared" si="1"/>
        <v>1908.1123906666664</v>
      </c>
      <c r="N10" s="9">
        <f t="shared" si="1"/>
        <v>2169.127716666667</v>
      </c>
      <c r="O10" s="9">
        <f t="shared" si="1"/>
        <v>2256.1328253333336</v>
      </c>
      <c r="P10" s="9">
        <f t="shared" si="1"/>
        <v>2343.137934</v>
      </c>
      <c r="Q10" s="9">
        <f t="shared" si="1"/>
        <v>2430.143042666667</v>
      </c>
      <c r="R10" s="9">
        <f t="shared" si="1"/>
        <v>2517.1481513333333</v>
      </c>
      <c r="S10" s="9">
        <f t="shared" si="1"/>
        <v>2604.1532599999996</v>
      </c>
      <c r="T10" s="9">
        <f t="shared" si="1"/>
        <v>2691.158368666667</v>
      </c>
      <c r="U10" s="9">
        <f t="shared" si="1"/>
        <v>2778.163477333333</v>
      </c>
      <c r="V10" s="9">
        <f t="shared" si="1"/>
        <v>2865.168586</v>
      </c>
      <c r="W10" s="9">
        <f t="shared" si="1"/>
        <v>2952.1736946666674</v>
      </c>
      <c r="X10" s="9">
        <f t="shared" si="1"/>
        <v>3039.1788033333337</v>
      </c>
    </row>
    <row r="11" spans="1:24" ht="15">
      <c r="A11" s="4" t="s">
        <v>99</v>
      </c>
      <c r="B11" s="16">
        <v>1186</v>
      </c>
      <c r="C11" s="16">
        <v>1325</v>
      </c>
      <c r="D11" s="16">
        <v>1398</v>
      </c>
      <c r="E11" s="16">
        <v>1471</v>
      </c>
      <c r="F11" s="16">
        <v>1544</v>
      </c>
      <c r="G11" s="16">
        <v>1619</v>
      </c>
      <c r="H11" s="16">
        <v>1771</v>
      </c>
      <c r="I11" s="16">
        <v>1927</v>
      </c>
      <c r="J11" s="16">
        <v>2088</v>
      </c>
      <c r="K11" s="16">
        <v>2419</v>
      </c>
      <c r="L11" s="16">
        <v>2767</v>
      </c>
      <c r="M11" s="16">
        <v>3132</v>
      </c>
      <c r="N11" s="16">
        <v>3625</v>
      </c>
      <c r="O11" s="16">
        <v>3768</v>
      </c>
      <c r="P11" s="16">
        <v>3963</v>
      </c>
      <c r="Q11" s="16">
        <v>4163</v>
      </c>
      <c r="R11" s="16">
        <v>4367</v>
      </c>
      <c r="S11" s="16">
        <v>4575</v>
      </c>
      <c r="T11" s="16">
        <v>4787</v>
      </c>
      <c r="U11" s="16">
        <v>5003</v>
      </c>
      <c r="V11" s="16">
        <v>5222</v>
      </c>
      <c r="W11" s="16">
        <v>5445</v>
      </c>
      <c r="X11" s="16">
        <v>5673</v>
      </c>
    </row>
    <row r="12" spans="1:24" ht="15">
      <c r="A12" s="4" t="s">
        <v>103</v>
      </c>
      <c r="B12" s="16">
        <v>1186</v>
      </c>
      <c r="C12" s="16">
        <v>1325</v>
      </c>
      <c r="D12" s="16">
        <v>1398</v>
      </c>
      <c r="E12" s="16">
        <v>1471</v>
      </c>
      <c r="F12" s="16">
        <v>1544</v>
      </c>
      <c r="G12" s="16">
        <v>1619</v>
      </c>
      <c r="H12" s="16">
        <v>1771</v>
      </c>
      <c r="I12" s="16">
        <v>1927</v>
      </c>
      <c r="J12" s="16">
        <v>2088</v>
      </c>
      <c r="K12" s="16">
        <v>2419</v>
      </c>
      <c r="L12" s="16">
        <v>2767</v>
      </c>
      <c r="M12" s="16">
        <v>3132</v>
      </c>
      <c r="N12" s="16">
        <v>3625</v>
      </c>
      <c r="O12" s="16">
        <v>3768</v>
      </c>
      <c r="P12" s="16">
        <v>3963</v>
      </c>
      <c r="Q12" s="16">
        <v>4163</v>
      </c>
      <c r="R12" s="16">
        <v>4367</v>
      </c>
      <c r="S12" s="16">
        <v>4575</v>
      </c>
      <c r="T12" s="16">
        <v>4787</v>
      </c>
      <c r="U12" s="16">
        <v>5003</v>
      </c>
      <c r="V12" s="16">
        <v>5222</v>
      </c>
      <c r="W12" s="16">
        <v>5445</v>
      </c>
      <c r="X12" s="16">
        <v>5673</v>
      </c>
    </row>
    <row r="13" spans="1:24" ht="15">
      <c r="A13" s="4" t="s">
        <v>75</v>
      </c>
      <c r="B13" s="9">
        <f>(((B6*0.00314)*((B6+500)/1000)*'Технический лист'!$K$9))*3.65</f>
        <v>1653.9598319999998</v>
      </c>
      <c r="C13" s="9">
        <f>(((C6*0.00314)*((C6+500)/1000)*'Технический лист'!$K$9))*3.65</f>
        <v>1849.6784121199998</v>
      </c>
      <c r="D13" s="9">
        <f>(((D6*0.00314)*((D6+500)/1000)*'Технический лист'!$K$9))*3.65</f>
        <v>1949.6051519699995</v>
      </c>
      <c r="E13" s="9">
        <f>(((E6*0.00314)*((E6+500)/1000)*'Технический лист'!$K$9))*3.65</f>
        <v>2050.91019168</v>
      </c>
      <c r="F13" s="9">
        <f>(((F6*0.00314)*((F6+500)/1000)*'Технический лист'!$K$9))*3.65</f>
        <v>2153.59353125</v>
      </c>
      <c r="G13" s="9">
        <f>(((G6*0.00314)*((G6+500)/1000)*'Технический лист'!$K$9))*3.65</f>
        <v>2257.6551706799996</v>
      </c>
      <c r="H13" s="9">
        <f>(((H6*0.00314)*((H6+500)/1000)*'Технический лист'!$K$9))*3.65</f>
        <v>2469.9133491199996</v>
      </c>
      <c r="I13" s="9">
        <f>(((I6*0.00314)*((I6+500)/1000)*'Технический лист'!$K$9))*3.65</f>
        <v>2687.684727</v>
      </c>
      <c r="J13" s="9">
        <f>(((J6*0.00314)*((J6+500)/1000)*'Технический лист'!$K$9))*3.65</f>
        <v>2910.9693043199995</v>
      </c>
      <c r="K13" s="9">
        <f>(((K6*0.00314)*((K6+500)/1000)*'Технический лист'!$K$9))*3.65</f>
        <v>3374.07805728</v>
      </c>
      <c r="L13" s="9">
        <f>(((L6*0.00314)*((L6+500)/1000)*'Технический лист'!$K$9))*3.65</f>
        <v>3859.239608</v>
      </c>
      <c r="M13" s="9">
        <f>(((M6*0.00314)*((M6+500)/1000)*'Технический лист'!$K$9))*3.65</f>
        <v>4366.45395648</v>
      </c>
      <c r="N13" s="9">
        <f>(((N6*0.00314)*((N6+500)/1000)*'Технический лист'!$K$9))*3.65</f>
        <v>5168.624474999999</v>
      </c>
      <c r="O13" s="9">
        <f>(((O6*0.00314)*((O6+500)/1000)*'Технический лист'!$K$9))*3.65</f>
        <v>5447.041046719999</v>
      </c>
      <c r="P13" s="9">
        <f>(((P6*0.00314)*((P6+500)/1000)*'Технический лист'!$K$9))*3.65</f>
        <v>5730.97081788</v>
      </c>
      <c r="Q13" s="9">
        <f>(((Q6*0.00314)*((Q6+500)/1000)*'Технический лист'!$K$9))*3.65</f>
        <v>6020.413788479999</v>
      </c>
      <c r="R13" s="9">
        <f>(((R6*0.00314)*((R6+500)/1000)*'Технический лист'!$K$9))*3.65</f>
        <v>6315.369958519999</v>
      </c>
      <c r="S13" s="9">
        <f>(((S6*0.00314)*((S6+500)/1000)*'Технический лист'!$K$9))*3.65</f>
        <v>6615.839328</v>
      </c>
      <c r="T13" s="9">
        <f>(((T6*0.00314)*((T6+500)/1000)*'Технический лист'!$K$9))*3.65</f>
        <v>6921.82189692</v>
      </c>
      <c r="U13" s="9">
        <f>(((U6*0.00314)*((U6+500)/1000)*'Технический лист'!$K$9))*3.65</f>
        <v>7233.317665279998</v>
      </c>
      <c r="V13" s="9">
        <f>(((V6*0.00314)*((V6+500)/1000)*'Технический лист'!$K$9))*3.65</f>
        <v>7550.32663308</v>
      </c>
      <c r="W13" s="9">
        <f>(((W6*0.00314)*((W6+500)/1000)*'Технический лист'!$K$9))*3.65</f>
        <v>7872.848800319999</v>
      </c>
      <c r="X13" s="9">
        <f>(((X6*0.00314)*((X6+500)/1000)*'Технический лист'!$K$9))*3.65</f>
        <v>8200.884166999998</v>
      </c>
    </row>
    <row r="14" spans="1:24" ht="15">
      <c r="A14" s="4" t="s">
        <v>105</v>
      </c>
      <c r="B14" s="9">
        <v>1869</v>
      </c>
      <c r="C14" s="9">
        <v>2059</v>
      </c>
      <c r="D14" s="9">
        <v>2156</v>
      </c>
      <c r="E14" s="9">
        <v>2255</v>
      </c>
      <c r="F14" s="9">
        <v>2355</v>
      </c>
      <c r="G14" s="9">
        <v>2457</v>
      </c>
      <c r="H14" s="9">
        <v>2665</v>
      </c>
      <c r="I14" s="9">
        <v>2878</v>
      </c>
      <c r="J14" s="9">
        <v>3098</v>
      </c>
      <c r="K14" s="9">
        <v>3556</v>
      </c>
      <c r="L14" s="9">
        <v>4037</v>
      </c>
      <c r="M14" s="9">
        <v>4543</v>
      </c>
      <c r="N14" s="9">
        <v>5346</v>
      </c>
      <c r="O14" s="9">
        <v>5625</v>
      </c>
      <c r="P14" s="9">
        <v>5911</v>
      </c>
      <c r="Q14" s="9">
        <v>6202</v>
      </c>
      <c r="R14" s="9">
        <v>6500</v>
      </c>
      <c r="S14" s="9">
        <v>6804</v>
      </c>
      <c r="T14" s="9">
        <v>7113</v>
      </c>
      <c r="U14" s="9">
        <v>7429</v>
      </c>
      <c r="V14" s="9">
        <v>7750</v>
      </c>
      <c r="W14" s="9">
        <v>8078</v>
      </c>
      <c r="X14" s="9">
        <v>8411</v>
      </c>
    </row>
    <row r="15" spans="1:24" ht="15">
      <c r="A15" s="4" t="s">
        <v>76</v>
      </c>
      <c r="B15" s="9">
        <f>((((B6*0.00314)*0.18)*'Технический лист'!$O$9)+((((B6+100)/1000)*((B6+100)/1000))*3)*'Технический лист'!$I$7)*4.85</f>
        <v>1869.1507344</v>
      </c>
      <c r="C15" s="9">
        <f>((((C6*0.00314)*0.18)*'Технический лист'!$O$9)+((((C6+100)/1000)*((C6+100)/1000))*3)*'Технический лист'!$I$7)*4.85</f>
        <v>2059.056123839999</v>
      </c>
      <c r="D15" s="9">
        <f>((((D6*0.00314)*0.18)*'Технический лист'!$O$9)+((((D6+100)/1000)*((D6+100)/1000))*3)*'Технический лист'!$I$7)*4.85</f>
        <v>2156.2515555599994</v>
      </c>
      <c r="E15" s="9">
        <f>((((E6*0.00314)*0.18)*'Технический лист'!$O$9)+((((E6+100)/1000)*((E6+100)/1000))*3)*'Технический лист'!$I$7)*4.85</f>
        <v>2254.9421452799993</v>
      </c>
      <c r="F15" s="9">
        <f>((((F6*0.00314)*0.18)*'Технический лист'!$O$9)+((((F6+100)/1000)*((F6+100)/1000))*3)*'Технический лист'!$I$7)*4.85</f>
        <v>2355.127893</v>
      </c>
      <c r="G15" s="9">
        <f>((((G6*0.00314)*0.18)*'Технический лист'!$O$9)+((((G6+100)/1000)*((G6+100)/1000))*3)*'Технический лист'!$I$7)*4.85</f>
        <v>2456.8087987199997</v>
      </c>
      <c r="H15" s="9">
        <f>((((H6*0.00314)*0.18)*'Технический лист'!$O$9)+((((H6+100)/1000)*((H6+100)/1000))*3)*'Технический лист'!$I$7)*4.85</f>
        <v>2664.6560841599994</v>
      </c>
      <c r="I15" s="9">
        <f>((((I6*0.00314)*0.18)*'Технический лист'!$O$9)+((((I6+100)/1000)*((I6+100)/1000))*3)*'Технический лист'!$I$7)*4.85</f>
        <v>2878.4840016</v>
      </c>
      <c r="J15" s="9">
        <f>((((J6*0.00314)*0.18)*'Технический лист'!$O$9)+((((J6+100)/1000)*((J6+100)/1000))*3)*'Технический лист'!$I$7)*4.85</f>
        <v>3098.2925510399996</v>
      </c>
      <c r="K15" s="9">
        <f>((((K6*0.00314)*0.18)*'Технический лист'!$O$9)+((((K6+100)/1000)*((K6+100)/1000))*3)*'Технический лист'!$I$7)*4.85</f>
        <v>3555.85154592</v>
      </c>
      <c r="L15" s="9">
        <f>((((L6*0.00314)*0.18)*'Технический лист'!$O$9)+((((L6+100)/1000)*((L6+100)/1000))*3)*'Технический лист'!$I$7)*4.85</f>
        <v>4037.3330687999996</v>
      </c>
      <c r="M15" s="9">
        <f>((((M6*0.00314)*0.18)*'Технический лист'!$O$9)+((((M6+100)/1000)*((M6+100)/1000))*3)*'Технический лист'!$I$7)*4.85</f>
        <v>4542.7371196799995</v>
      </c>
      <c r="N15" s="9">
        <f>((((N6*0.00314)*0.18)*'Технический лист'!$O$9)+((((N6+100)/1000)*((N6+100)/1000))*3)*'Технический лист'!$I$7)*4.85</f>
        <v>5345.697935999999</v>
      </c>
      <c r="O15" s="9">
        <f>((((O6*0.00314)*0.18)*'Технический лист'!$O$9)+((((O6+100)/1000)*((O6+100)/1000))*3)*'Технический лист'!$I$7)*4.85</f>
        <v>5625.3128054399995</v>
      </c>
      <c r="P15" s="9">
        <f>((((P6*0.00314)*0.18)*'Технический лист'!$O$9)+((((P6+100)/1000)*((P6+100)/1000))*3)*'Технический лист'!$I$7)*4.85</f>
        <v>5910.908306879998</v>
      </c>
      <c r="Q15" s="9">
        <f>((((Q6*0.00314)*0.18)*'Технический лист'!$O$9)+((((Q6+100)/1000)*((Q6+100)/1000))*3)*'Технический лист'!$I$7)*4.85</f>
        <v>6202.484440319999</v>
      </c>
      <c r="R15" s="9">
        <f>((((R6*0.00314)*0.18)*'Технический лист'!$O$9)+((((R6+100)/1000)*((R6+100)/1000))*3)*'Технический лист'!$I$7)*4.85</f>
        <v>6500.04120576</v>
      </c>
      <c r="S15" s="9">
        <f>((((S6*0.00314)*0.18)*'Технический лист'!$O$9)+((((S6+100)/1000)*((S6+100)/1000))*3)*'Технический лист'!$I$7)*4.85</f>
        <v>6803.5786032</v>
      </c>
      <c r="T15" s="9">
        <f>((((T6*0.00314)*0.18)*'Технический лист'!$O$9)+((((T6+100)/1000)*((T6+100)/1000))*3)*'Технический лист'!$I$7)*4.85</f>
        <v>7113.096632639999</v>
      </c>
      <c r="U15" s="9">
        <f>((((U6*0.00314)*0.18)*'Технический лист'!$O$9)+((((U6+100)/1000)*((U6+100)/1000))*3)*'Технический лист'!$I$7)*4.85</f>
        <v>7428.595294079997</v>
      </c>
      <c r="V15" s="9">
        <f>((((V6*0.00314)*0.18)*'Технический лист'!$O$9)+((((V6+100)/1000)*((V6+100)/1000))*3)*'Технический лист'!$I$7)*4.85</f>
        <v>7750.074587519998</v>
      </c>
      <c r="W15" s="9">
        <f>((((W6*0.00314)*0.18)*'Технический лист'!$O$9)+((((W6+100)/1000)*((W6+100)/1000))*3)*'Технический лист'!$I$7)*4.85</f>
        <v>8077.534512959998</v>
      </c>
      <c r="X15" s="9">
        <f>((((X6*0.00314)*0.18)*'Технический лист'!$O$9)+((((X6+100)/1000)*((X6+100)/1000))*3)*'Технический лист'!$I$7)*4.85</f>
        <v>8410.975070399998</v>
      </c>
    </row>
    <row r="16" spans="1:24" ht="15">
      <c r="A16" s="4" t="s">
        <v>101</v>
      </c>
      <c r="B16" s="9">
        <v>1230</v>
      </c>
      <c r="C16" s="9">
        <v>1230</v>
      </c>
      <c r="D16" s="9">
        <v>1230</v>
      </c>
      <c r="E16" s="9">
        <v>1230</v>
      </c>
      <c r="F16" s="9">
        <v>1230</v>
      </c>
      <c r="G16" s="9">
        <v>1230</v>
      </c>
      <c r="H16" s="9">
        <v>1230</v>
      </c>
      <c r="I16" s="9">
        <v>1230</v>
      </c>
      <c r="J16" s="9">
        <v>1230</v>
      </c>
      <c r="K16" s="9">
        <v>1230</v>
      </c>
      <c r="L16" s="9">
        <v>1230</v>
      </c>
      <c r="M16" s="9">
        <v>1230</v>
      </c>
      <c r="N16" s="9">
        <v>1230</v>
      </c>
      <c r="O16" s="9">
        <v>1230</v>
      </c>
      <c r="P16" s="9">
        <v>1230</v>
      </c>
      <c r="Q16" s="9">
        <v>1230</v>
      </c>
      <c r="R16" s="9">
        <v>1230</v>
      </c>
      <c r="S16" s="9">
        <v>1230</v>
      </c>
      <c r="T16" s="9">
        <v>1230</v>
      </c>
      <c r="U16" s="9">
        <v>1230</v>
      </c>
      <c r="V16" s="9">
        <v>1230</v>
      </c>
      <c r="W16" s="9">
        <v>1230</v>
      </c>
      <c r="X16" s="9">
        <v>1230</v>
      </c>
    </row>
    <row r="18" spans="1:28" ht="15">
      <c r="A18" s="41" t="s">
        <v>126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1" t="s">
        <v>85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4" ht="15">
      <c r="A19" s="3" t="s">
        <v>79</v>
      </c>
      <c r="B19" s="10">
        <v>100</v>
      </c>
      <c r="C19" s="10">
        <v>110</v>
      </c>
      <c r="D19" s="10">
        <v>115</v>
      </c>
      <c r="E19" s="10">
        <v>120</v>
      </c>
      <c r="F19" s="10">
        <v>125</v>
      </c>
      <c r="G19" s="10">
        <v>130</v>
      </c>
      <c r="H19" s="10">
        <v>140</v>
      </c>
      <c r="I19" s="10">
        <v>150</v>
      </c>
      <c r="J19" s="10">
        <v>160</v>
      </c>
      <c r="K19" s="10">
        <v>180</v>
      </c>
      <c r="L19" s="10">
        <v>200</v>
      </c>
      <c r="M19" s="10">
        <v>220</v>
      </c>
      <c r="N19" s="10">
        <v>250</v>
      </c>
      <c r="O19" s="10">
        <v>260</v>
      </c>
      <c r="P19" s="10">
        <v>270</v>
      </c>
      <c r="Q19" s="10">
        <v>280</v>
      </c>
      <c r="R19" s="10">
        <v>290</v>
      </c>
      <c r="S19" s="10">
        <v>300</v>
      </c>
      <c r="T19" s="10">
        <v>310</v>
      </c>
      <c r="U19" s="10">
        <v>320</v>
      </c>
      <c r="V19" s="10">
        <v>330</v>
      </c>
      <c r="W19" s="10">
        <v>340</v>
      </c>
      <c r="X19" s="10">
        <v>350</v>
      </c>
    </row>
    <row r="20" spans="1:24" ht="15">
      <c r="A20" s="4" t="s">
        <v>69</v>
      </c>
      <c r="B20" s="16">
        <f>((B19*0.00314)*'Технический лист'!$G$10)*2.85</f>
        <v>2047.229025974026</v>
      </c>
      <c r="C20" s="16">
        <f>((C19*0.00314)*'Технический лист'!$G$10)*2.85</f>
        <v>2251.951928571428</v>
      </c>
      <c r="D20" s="16">
        <f>((D19*0.00314)*'Технический лист'!$G$10)*2.85</f>
        <v>2354.3133798701297</v>
      </c>
      <c r="E20" s="16">
        <f>((E19*0.00314)*'Технический лист'!$G$10)*2.85</f>
        <v>2456.674831168831</v>
      </c>
      <c r="F20" s="16">
        <f>((F19*0.00314)*'Технический лист'!$G$10)*2.85</f>
        <v>2559.0362824675326</v>
      </c>
      <c r="G20" s="16">
        <f>((G19*0.00314)*'Технический лист'!$G$10)*2.85</f>
        <v>2661.3977337662336</v>
      </c>
      <c r="H20" s="16">
        <f>((H19*0.00314)*'Технический лист'!$G$10)*2.85</f>
        <v>2866.120636363636</v>
      </c>
      <c r="I20" s="16">
        <f>((I19*0.00314)*'Технический лист'!$G$10)*2.85</f>
        <v>3070.843538961039</v>
      </c>
      <c r="J20" s="16">
        <f>((J19*0.00314)*'Технический лист'!$G$10)*2.85</f>
        <v>3275.566441558441</v>
      </c>
      <c r="K20" s="16">
        <f>((K19*0.00314)*'Технический лист'!$G$10)*2.85</f>
        <v>3685.0122467532465</v>
      </c>
      <c r="L20" s="16">
        <f>((L19*0.00314)*'Технический лист'!$G$10)*2.85</f>
        <v>4094.458051948052</v>
      </c>
      <c r="M20" s="16">
        <f>((M19*0.00314)*'Технический лист'!$G$10)*2.85</f>
        <v>4503.903857142856</v>
      </c>
      <c r="N20" s="16">
        <f>((N19*0.00314)*'Технический лист'!$G$10)*2.85</f>
        <v>5118.072564935065</v>
      </c>
      <c r="O20" s="16">
        <f>((O19*0.00314)*'Технический лист'!$G$10)*2.85</f>
        <v>5322.795467532467</v>
      </c>
      <c r="P20" s="16">
        <f>((P19*0.00314)*'Технический лист'!$G$10)*2.85</f>
        <v>5527.51837012987</v>
      </c>
      <c r="Q20" s="16">
        <f>((Q19*0.00314)*'Технический лист'!$G$10)*2.85</f>
        <v>5732.241272727272</v>
      </c>
      <c r="R20" s="16">
        <f>((R19*0.00314)*'Технический лист'!$G$10)*2.85</f>
        <v>5936.964175324675</v>
      </c>
      <c r="S20" s="16">
        <f>((S19*0.00314)*'Технический лист'!$G$10)*2.85</f>
        <v>6141.687077922078</v>
      </c>
      <c r="T20" s="16">
        <f>((T19*0.00314)*'Технический лист'!$G$10)*2.85</f>
        <v>6346.40998051948</v>
      </c>
      <c r="U20" s="16">
        <f>((U19*0.00314)*'Технический лист'!$G$10)*2.85</f>
        <v>6551.132883116882</v>
      </c>
      <c r="V20" s="16">
        <f>((V19*0.00314)*'Технический лист'!$G$10)*2.85</f>
        <v>6755.855785714286</v>
      </c>
      <c r="W20" s="16">
        <f>((W19*0.00314)*'Технический лист'!$G$10)*2.85</f>
        <v>6960.578688311689</v>
      </c>
      <c r="X20" s="16">
        <f>((X19*0.00314)*'Технический лист'!$G$10)*2.85</f>
        <v>7165.30159090909</v>
      </c>
    </row>
    <row r="21" spans="1:24" ht="15">
      <c r="A21" s="4" t="s">
        <v>70</v>
      </c>
      <c r="B21" s="9">
        <f>((B20/2)*1.07)-10</f>
        <v>1085.2675288961038</v>
      </c>
      <c r="C21" s="9">
        <f aca="true" t="shared" si="2" ref="C21:X21">((C20/2)*1.07)-10</f>
        <v>1194.7942817857142</v>
      </c>
      <c r="D21" s="9">
        <f t="shared" si="2"/>
        <v>1249.5576582305193</v>
      </c>
      <c r="E21" s="9">
        <f t="shared" si="2"/>
        <v>1304.3210346753247</v>
      </c>
      <c r="F21" s="9">
        <f t="shared" si="2"/>
        <v>1359.08441112013</v>
      </c>
      <c r="G21" s="9">
        <f t="shared" si="2"/>
        <v>1413.847787564935</v>
      </c>
      <c r="H21" s="9">
        <f t="shared" si="2"/>
        <v>1523.3745404545455</v>
      </c>
      <c r="I21" s="9">
        <f t="shared" si="2"/>
        <v>1632.9012933441559</v>
      </c>
      <c r="J21" s="9">
        <f t="shared" si="2"/>
        <v>1742.428046233766</v>
      </c>
      <c r="K21" s="9">
        <f t="shared" si="2"/>
        <v>1961.4815520129869</v>
      </c>
      <c r="L21" s="9">
        <f t="shared" si="2"/>
        <v>2180.5350577922077</v>
      </c>
      <c r="M21" s="9">
        <f t="shared" si="2"/>
        <v>2399.5885635714285</v>
      </c>
      <c r="N21" s="9">
        <f t="shared" si="2"/>
        <v>2728.16882224026</v>
      </c>
      <c r="O21" s="9">
        <f t="shared" si="2"/>
        <v>2837.69557512987</v>
      </c>
      <c r="P21" s="9">
        <f t="shared" si="2"/>
        <v>2947.2223280194808</v>
      </c>
      <c r="Q21" s="9">
        <f t="shared" si="2"/>
        <v>3056.749080909091</v>
      </c>
      <c r="R21" s="9">
        <f t="shared" si="2"/>
        <v>3166.2758337987016</v>
      </c>
      <c r="S21" s="9">
        <f t="shared" si="2"/>
        <v>3275.8025866883117</v>
      </c>
      <c r="T21" s="9">
        <f t="shared" si="2"/>
        <v>3385.329339577922</v>
      </c>
      <c r="U21" s="9">
        <f t="shared" si="2"/>
        <v>3494.856092467532</v>
      </c>
      <c r="V21" s="9">
        <f t="shared" si="2"/>
        <v>3604.382845357143</v>
      </c>
      <c r="W21" s="9">
        <f t="shared" si="2"/>
        <v>3713.909598246754</v>
      </c>
      <c r="X21" s="9">
        <f t="shared" si="2"/>
        <v>3823.4363511363636</v>
      </c>
    </row>
    <row r="22" spans="1:24" ht="15">
      <c r="A22" s="4" t="s">
        <v>71</v>
      </c>
      <c r="B22" s="16">
        <f>(((B19*0.00314)*0.55)*'Технический лист'!$I$10)*3.25</f>
        <v>1772.3169285714284</v>
      </c>
      <c r="C22" s="16">
        <f>(((C19*0.00314)*0.55)*'Технический лист'!$I$10)*3.25</f>
        <v>1949.5486214285713</v>
      </c>
      <c r="D22" s="16">
        <f>(((D19*0.00314)*0.55)*'Технический лист'!$I$10)*3.25</f>
        <v>2038.1644678571429</v>
      </c>
      <c r="E22" s="16">
        <f>(((E19*0.00314)*0.55)*'Технический лист'!$I$10)*3.25</f>
        <v>2126.7803142857147</v>
      </c>
      <c r="F22" s="16">
        <f>(((F19*0.00314)*0.55)*'Технический лист'!$I$10)*3.25</f>
        <v>2215.396160714286</v>
      </c>
      <c r="G22" s="16">
        <f>(((G19*0.00314)*0.55)*'Технический лист'!$I$10)*3.25</f>
        <v>2304.0120071428573</v>
      </c>
      <c r="H22" s="16">
        <f>(((H19*0.00314)*0.55)*'Технический лист'!$I$10)*3.25</f>
        <v>2481.2437</v>
      </c>
      <c r="I22" s="16">
        <f>(((I19*0.00314)*0.55)*'Технический лист'!$I$10)*3.25</f>
        <v>2658.4753928571427</v>
      </c>
      <c r="J22" s="16">
        <f>(((J19*0.00314)*0.55)*'Технический лист'!$I$10)*3.25</f>
        <v>2835.7070857142853</v>
      </c>
      <c r="K22" s="16">
        <f>(((K19*0.00314)*0.55)*'Технический лист'!$I$10)*3.25</f>
        <v>3190.1704714285715</v>
      </c>
      <c r="L22" s="16">
        <f>(((L19*0.00314)*0.55)*'Технический лист'!$I$10)*3.25</f>
        <v>3544.633857142857</v>
      </c>
      <c r="M22" s="16">
        <f>(((M19*0.00314)*0.55)*'Технический лист'!$I$10)*3.25</f>
        <v>3899.0972428571426</v>
      </c>
      <c r="N22" s="16">
        <f>(((N19*0.00314)*0.55)*'Технический лист'!$I$10)*3.25</f>
        <v>4430.792321428572</v>
      </c>
      <c r="O22" s="16">
        <f>(((O19*0.00314)*0.55)*'Технический лист'!$I$10)*3.25</f>
        <v>4608.024014285715</v>
      </c>
      <c r="P22" s="16">
        <f>(((P19*0.00314)*0.55)*'Технический лист'!$I$10)*3.25</f>
        <v>4785.255707142857</v>
      </c>
      <c r="Q22" s="16">
        <f>(((Q19*0.00314)*0.55)*'Технический лист'!$I$10)*3.25</f>
        <v>4962.4874</v>
      </c>
      <c r="R22" s="16">
        <f>(((R19*0.00314)*0.55)*'Технический лист'!$I$10)*3.25</f>
        <v>5139.719092857143</v>
      </c>
      <c r="S22" s="16">
        <f>(((S19*0.00314)*0.55)*'Технический лист'!$I$10)*3.25</f>
        <v>5316.950785714285</v>
      </c>
      <c r="T22" s="16">
        <f>(((T19*0.00314)*0.55)*'Технический лист'!$I$10)*3.25</f>
        <v>5494.182478571428</v>
      </c>
      <c r="U22" s="16">
        <f>(((U19*0.00314)*0.55)*'Технический лист'!$I$10)*3.25</f>
        <v>5671.414171428571</v>
      </c>
      <c r="V22" s="16">
        <f>(((V19*0.00314)*0.55)*'Технический лист'!$I$10)*3.25</f>
        <v>5848.645864285714</v>
      </c>
      <c r="W22" s="16">
        <f>(((W19*0.00314)*0.55)*'Технический лист'!$I$10)*3.25</f>
        <v>6025.877557142858</v>
      </c>
      <c r="X22" s="16">
        <f>(((X19*0.00314)*0.55)*'Технический лист'!$I$10)*3.25</f>
        <v>6203.10925</v>
      </c>
    </row>
    <row r="23" spans="1:24" ht="15">
      <c r="A23" s="4" t="s">
        <v>72</v>
      </c>
      <c r="B23" s="9">
        <f>((B22*2)/3)-6</f>
        <v>1175.5446190476189</v>
      </c>
      <c r="C23" s="9">
        <f aca="true" t="shared" si="3" ref="C23:X23">((C22*2)/3)-6</f>
        <v>1293.6990809523809</v>
      </c>
      <c r="D23" s="9">
        <f t="shared" si="3"/>
        <v>1352.776311904762</v>
      </c>
      <c r="E23" s="9">
        <f t="shared" si="3"/>
        <v>1411.853542857143</v>
      </c>
      <c r="F23" s="9">
        <f t="shared" si="3"/>
        <v>1470.930773809524</v>
      </c>
      <c r="G23" s="9">
        <f t="shared" si="3"/>
        <v>1530.0080047619049</v>
      </c>
      <c r="H23" s="9">
        <f t="shared" si="3"/>
        <v>1648.1624666666667</v>
      </c>
      <c r="I23" s="9">
        <f t="shared" si="3"/>
        <v>1766.3169285714284</v>
      </c>
      <c r="J23" s="9">
        <f t="shared" si="3"/>
        <v>1884.4713904761902</v>
      </c>
      <c r="K23" s="9">
        <f t="shared" si="3"/>
        <v>2120.780314285714</v>
      </c>
      <c r="L23" s="9">
        <f t="shared" si="3"/>
        <v>2357.0892380952378</v>
      </c>
      <c r="M23" s="9">
        <f t="shared" si="3"/>
        <v>2593.3981619047618</v>
      </c>
      <c r="N23" s="9">
        <f t="shared" si="3"/>
        <v>2947.861547619048</v>
      </c>
      <c r="O23" s="9">
        <f t="shared" si="3"/>
        <v>3066.0160095238098</v>
      </c>
      <c r="P23" s="9">
        <f t="shared" si="3"/>
        <v>3184.1704714285715</v>
      </c>
      <c r="Q23" s="9">
        <f t="shared" si="3"/>
        <v>3302.3249333333333</v>
      </c>
      <c r="R23" s="9">
        <f t="shared" si="3"/>
        <v>3420.479395238095</v>
      </c>
      <c r="S23" s="9">
        <f t="shared" si="3"/>
        <v>3538.633857142857</v>
      </c>
      <c r="T23" s="9">
        <f t="shared" si="3"/>
        <v>3656.7883190476186</v>
      </c>
      <c r="U23" s="9">
        <f t="shared" si="3"/>
        <v>3774.9427809523804</v>
      </c>
      <c r="V23" s="9">
        <f t="shared" si="3"/>
        <v>3893.0972428571426</v>
      </c>
      <c r="W23" s="9">
        <f t="shared" si="3"/>
        <v>4011.2517047619053</v>
      </c>
      <c r="X23" s="9">
        <f t="shared" si="3"/>
        <v>4129.406166666667</v>
      </c>
    </row>
    <row r="24" spans="1:24" ht="15">
      <c r="A24" s="4" t="s">
        <v>99</v>
      </c>
      <c r="B24" s="16">
        <v>1580</v>
      </c>
      <c r="C24" s="16">
        <v>1770</v>
      </c>
      <c r="D24" s="16">
        <v>1865</v>
      </c>
      <c r="E24" s="16">
        <v>1961</v>
      </c>
      <c r="F24" s="16">
        <v>2060</v>
      </c>
      <c r="G24" s="16">
        <v>2158</v>
      </c>
      <c r="H24" s="16">
        <v>2362</v>
      </c>
      <c r="I24" s="16">
        <v>2570</v>
      </c>
      <c r="J24" s="16">
        <v>2784</v>
      </c>
      <c r="K24" s="16">
        <v>3227</v>
      </c>
      <c r="L24" s="16">
        <v>3585</v>
      </c>
      <c r="M24" s="16">
        <v>4027</v>
      </c>
      <c r="N24" s="16">
        <v>4766</v>
      </c>
      <c r="O24" s="16">
        <v>5024</v>
      </c>
      <c r="P24" s="16">
        <v>5207</v>
      </c>
      <c r="Q24" s="16">
        <v>5471</v>
      </c>
      <c r="R24" s="16">
        <v>5739</v>
      </c>
      <c r="S24" s="16">
        <v>5875</v>
      </c>
      <c r="T24" s="16">
        <v>6147</v>
      </c>
      <c r="U24" s="16">
        <v>6424</v>
      </c>
      <c r="V24" s="16">
        <v>6707</v>
      </c>
      <c r="W24" s="16">
        <v>6993</v>
      </c>
      <c r="X24" s="16">
        <v>7284</v>
      </c>
    </row>
    <row r="25" spans="1:24" ht="15">
      <c r="A25" s="4" t="s">
        <v>103</v>
      </c>
      <c r="B25" s="16">
        <v>1580</v>
      </c>
      <c r="C25" s="16">
        <v>1770</v>
      </c>
      <c r="D25" s="16">
        <v>1865</v>
      </c>
      <c r="E25" s="16">
        <v>1961</v>
      </c>
      <c r="F25" s="16">
        <v>2060</v>
      </c>
      <c r="G25" s="16">
        <v>2158</v>
      </c>
      <c r="H25" s="16">
        <v>2362</v>
      </c>
      <c r="I25" s="16">
        <v>2570</v>
      </c>
      <c r="J25" s="16">
        <v>2784</v>
      </c>
      <c r="K25" s="16">
        <v>3227</v>
      </c>
      <c r="L25" s="16">
        <v>3585</v>
      </c>
      <c r="M25" s="16">
        <v>4027</v>
      </c>
      <c r="N25" s="16">
        <v>4766</v>
      </c>
      <c r="O25" s="16">
        <v>5024</v>
      </c>
      <c r="P25" s="16">
        <v>5207</v>
      </c>
      <c r="Q25" s="16">
        <v>5471</v>
      </c>
      <c r="R25" s="16">
        <v>5739</v>
      </c>
      <c r="S25" s="16">
        <v>5875</v>
      </c>
      <c r="T25" s="16">
        <v>6147</v>
      </c>
      <c r="U25" s="16">
        <v>6424</v>
      </c>
      <c r="V25" s="16">
        <v>6707</v>
      </c>
      <c r="W25" s="16">
        <v>6993</v>
      </c>
      <c r="X25" s="16">
        <v>7284</v>
      </c>
    </row>
    <row r="26" spans="1:24" ht="15">
      <c r="A26" s="4" t="s">
        <v>75</v>
      </c>
      <c r="B26" s="9">
        <f>(((B19*0.00314)*((B19+500)/1000)*'Технический лист'!$K$10))*3.62</f>
        <v>2187.6513755844153</v>
      </c>
      <c r="C26" s="9">
        <f>(((C19*0.00314)*((C19+500)/1000)*'Технический лист'!$K$10))*3.62</f>
        <v>2446.5234550285713</v>
      </c>
      <c r="D26" s="9">
        <f>(((D19*0.00314)*((D19+500)/1000)*'Технический лист'!$K$10))*3.62</f>
        <v>2578.6940589701294</v>
      </c>
      <c r="E26" s="9">
        <f>(((E19*0.00314)*((E19+500)/1000)*'Технический лист'!$K$10))*3.62</f>
        <v>2712.687705724675</v>
      </c>
      <c r="F26" s="9">
        <f>(((F19*0.00314)*((F19+500)/1000)*'Технический лист'!$K$10))*3.62</f>
        <v>2848.504395292208</v>
      </c>
      <c r="G26" s="9">
        <f>(((G19*0.00314)*((G19+500)/1000)*'Технический лист'!$K$10))*3.62</f>
        <v>2986.1441276727273</v>
      </c>
      <c r="H26" s="9">
        <f>(((H19*0.00314)*((H19+500)/1000)*'Технический лист'!$K$10))*3.62</f>
        <v>3266.8927208727273</v>
      </c>
      <c r="I26" s="9">
        <f>(((I19*0.00314)*((I19+500)/1000)*'Технический лист'!$K$10))*3.62</f>
        <v>3554.933485324675</v>
      </c>
      <c r="J26" s="9">
        <f>(((J19*0.00314)*((J19+500)/1000)*'Технический лист'!$K$10))*3.62</f>
        <v>3850.266421028571</v>
      </c>
      <c r="K26" s="9">
        <f>(((K19*0.00314)*((K19+500)/1000)*'Технический лист'!$K$10))*3.62</f>
        <v>4462.808806192208</v>
      </c>
      <c r="L26" s="9">
        <f>(((L19*0.00314)*((L19+500)/1000)*'Технический лист'!$K$10))*3.62</f>
        <v>5104.519876363636</v>
      </c>
      <c r="M26" s="9">
        <f>(((M19*0.00314)*((M19+500)/1000)*'Технический лист'!$K$10))*3.62</f>
        <v>5775.399631542857</v>
      </c>
      <c r="N26" s="9">
        <f>(((N19*0.00314)*((N19+500)/1000)*'Технический лист'!$K$10))*3.62</f>
        <v>6836.4105487012985</v>
      </c>
      <c r="O26" s="9">
        <f>(((O19*0.00314)*((O19+500)/1000)*'Технический лист'!$K$10))*3.62</f>
        <v>7204.665196924675</v>
      </c>
      <c r="P26" s="9">
        <f>(((P19*0.00314)*((P19+500)/1000)*'Технический лист'!$K$10))*3.62</f>
        <v>7580.212016399999</v>
      </c>
      <c r="Q26" s="9">
        <f>(((Q19*0.00314)*((Q19+500)/1000)*'Технический лист'!$K$10))*3.62</f>
        <v>7963.051007127273</v>
      </c>
      <c r="R26" s="9">
        <f>(((R19*0.00314)*((R19+500)/1000)*'Технический лист'!$K$10))*3.62</f>
        <v>8353.182169106492</v>
      </c>
      <c r="S26" s="9">
        <f>(((S19*0.00314)*((S19+500)/1000)*'Технический лист'!$K$10))*3.62</f>
        <v>8750.605502337661</v>
      </c>
      <c r="T26" s="9">
        <f>(((T19*0.00314)*((T19+500)/1000)*'Технический лист'!$K$10))*3.62</f>
        <v>9155.32100682078</v>
      </c>
      <c r="U26" s="9">
        <f>(((U19*0.00314)*((U19+500)/1000)*'Технический лист'!$K$10))*3.62</f>
        <v>9567.328682555843</v>
      </c>
      <c r="V26" s="9">
        <f>(((V19*0.00314)*((V19+500)/1000)*'Технический лист'!$K$10))*3.62</f>
        <v>9986.628529542857</v>
      </c>
      <c r="W26" s="9">
        <f>(((W19*0.00314)*((W19+500)/1000)*'Технический лист'!$K$10))*3.62</f>
        <v>10413.220547781817</v>
      </c>
      <c r="X26" s="9">
        <f>(((X19*0.00314)*((X19+500)/1000)*'Технический лист'!$K$10))*3.62</f>
        <v>10847.104737272726</v>
      </c>
    </row>
    <row r="27" spans="1:24" ht="15">
      <c r="A27" s="4" t="s">
        <v>105</v>
      </c>
      <c r="B27" s="9">
        <v>2150</v>
      </c>
      <c r="C27" s="9">
        <v>2369</v>
      </c>
      <c r="D27" s="9">
        <v>2481</v>
      </c>
      <c r="E27" s="9">
        <v>2595</v>
      </c>
      <c r="F27" s="9">
        <v>2711</v>
      </c>
      <c r="G27" s="9">
        <v>2829</v>
      </c>
      <c r="H27" s="9">
        <v>3071</v>
      </c>
      <c r="I27" s="9">
        <v>3320</v>
      </c>
      <c r="J27" s="9">
        <v>3576</v>
      </c>
      <c r="K27" s="9">
        <v>4112</v>
      </c>
      <c r="L27" s="9">
        <v>4678</v>
      </c>
      <c r="M27" s="9">
        <v>5274</v>
      </c>
      <c r="N27" s="9">
        <v>6225</v>
      </c>
      <c r="O27" s="9">
        <v>6558</v>
      </c>
      <c r="P27" s="9">
        <v>6897</v>
      </c>
      <c r="Q27" s="9">
        <v>7245</v>
      </c>
      <c r="R27" s="9">
        <v>7599</v>
      </c>
      <c r="S27" s="9">
        <v>7962</v>
      </c>
      <c r="T27" s="9">
        <v>8332</v>
      </c>
      <c r="U27" s="9">
        <v>8709</v>
      </c>
      <c r="V27" s="9">
        <v>9094</v>
      </c>
      <c r="W27" s="9">
        <v>9487</v>
      </c>
      <c r="X27" s="9">
        <v>9887</v>
      </c>
    </row>
    <row r="28" spans="1:24" ht="15">
      <c r="A28" s="4" t="s">
        <v>76</v>
      </c>
      <c r="B28" s="9">
        <f>((((B19*0.00314)*0.16)*'Технический лист'!$O$8)+((((B19+100)/1000)*((B19+100)/1000))*3)*'Технический лист'!$I$8)*4.3</f>
        <v>2150.193890909091</v>
      </c>
      <c r="C28" s="9">
        <f>((((C19*0.00314)*0.16)*'Технический лист'!$O$8)+((((C19+100)/1000)*((C19+100)/1000))*3)*'Технический лист'!$I$8)*4.3</f>
        <v>2368.990969610389</v>
      </c>
      <c r="D28" s="9">
        <f>((((D19*0.00314)*0.16)*'Технический лист'!$O$8)+((((D19+100)/1000)*((D19+100)/1000))*3)*'Технический лист'!$I$8)*4.3</f>
        <v>2481.2227761688305</v>
      </c>
      <c r="E28" s="9">
        <f>((((E19*0.00314)*0.16)*'Технический лист'!$O$8)+((((E19+100)/1000)*((E19+100)/1000))*3)*'Технический лист'!$I$8)*4.3</f>
        <v>2595.3434275324676</v>
      </c>
      <c r="F28" s="9">
        <f>((((F19*0.00314)*0.16)*'Технический лист'!$O$8)+((((F19+100)/1000)*((F19+100)/1000))*3)*'Технический лист'!$I$8)*4.3</f>
        <v>2711.3529237012986</v>
      </c>
      <c r="G28" s="9">
        <f>((((G19*0.00314)*0.16)*'Технический лист'!$O$8)+((((G19+100)/1000)*((G19+100)/1000))*3)*'Технический лист'!$I$8)*4.3</f>
        <v>2829.2512646753244</v>
      </c>
      <c r="H28" s="9">
        <f>((((H19*0.00314)*0.16)*'Технический лист'!$O$8)+((((H19+100)/1000)*((H19+100)/1000))*3)*'Технический лист'!$I$8)*4.3</f>
        <v>3070.7144810389605</v>
      </c>
      <c r="I28" s="9">
        <f>((((I19*0.00314)*0.16)*'Технический лист'!$O$8)+((((I19+100)/1000)*((I19+100)/1000))*3)*'Технический лист'!$I$8)*4.3</f>
        <v>3319.7330766233763</v>
      </c>
      <c r="J28" s="9">
        <f>((((J19*0.00314)*0.16)*'Технический лист'!$O$8)+((((J19+100)/1000)*((J19+100)/1000))*3)*'Технический лист'!$I$8)*4.3</f>
        <v>3576.3070514285714</v>
      </c>
      <c r="K28" s="9">
        <f>((((K19*0.00314)*0.16)*'Технический лист'!$O$8)+((((K19+100)/1000)*((K19+100)/1000))*3)*'Технический лист'!$I$8)*4.3</f>
        <v>4112.121138701298</v>
      </c>
      <c r="L28" s="9">
        <f>((((L19*0.00314)*0.16)*'Технический лист'!$O$8)+((((L19+100)/1000)*((L19+100)/1000))*3)*'Технический лист'!$I$8)*4.3</f>
        <v>4678.156742857143</v>
      </c>
      <c r="M28" s="9">
        <f>((((M19*0.00314)*0.16)*'Технический лист'!$O$8)+((((M19+100)/1000)*((M19+100)/1000))*3)*'Технический лист'!$I$8)*4.3</f>
        <v>5274.413863896104</v>
      </c>
      <c r="N28" s="9">
        <f>((((N19*0.00314)*0.16)*'Технический лист'!$O$8)+((((N19+100)/1000)*((N19+100)/1000))*3)*'Технический лист'!$I$8)*4.3</f>
        <v>6225.464889610389</v>
      </c>
      <c r="O28" s="9">
        <f>((((O19*0.00314)*0.16)*'Технический лист'!$O$8)+((((O19+100)/1000)*((O19+100)/1000))*3)*'Технический лист'!$I$8)*4.3</f>
        <v>6557.592656623377</v>
      </c>
      <c r="P28" s="9">
        <f>((((P19*0.00314)*0.16)*'Технический лист'!$O$8)+((((P19+100)/1000)*((P19+100)/1000))*3)*'Технический лист'!$I$8)*4.3</f>
        <v>6897.275802857142</v>
      </c>
      <c r="Q28" s="9">
        <f>((((Q19*0.00314)*0.16)*'Технический лист'!$O$8)+((((Q19+100)/1000)*((Q19+100)/1000))*3)*'Технический лист'!$I$8)*4.3</f>
        <v>7244.514328311688</v>
      </c>
      <c r="R28" s="9">
        <f>((((R19*0.00314)*0.16)*'Технический лист'!$O$8)+((((R19+100)/1000)*((R19+100)/1000))*3)*'Технический лист'!$I$8)*4.3</f>
        <v>7599.308232987013</v>
      </c>
      <c r="S28" s="9">
        <f>((((S19*0.00314)*0.16)*'Технический лист'!$O$8)+((((S19+100)/1000)*((S19+100)/1000))*3)*'Технический лист'!$I$8)*4.3</f>
        <v>7961.657516883118</v>
      </c>
      <c r="T28" s="9">
        <f>((((T19*0.00314)*0.16)*'Технический лист'!$O$8)+((((T19+100)/1000)*((T19+100)/1000))*3)*'Технический лист'!$I$8)*4.3</f>
        <v>8331.562179999999</v>
      </c>
      <c r="U28" s="9">
        <f>((((U19*0.00314)*0.16)*'Технический лист'!$O$8)+((((U19+100)/1000)*((U19+100)/1000))*3)*'Технический лист'!$I$8)*4.3</f>
        <v>8709.02222233766</v>
      </c>
      <c r="V28" s="9">
        <f>((((V19*0.00314)*0.16)*'Технический лист'!$O$8)+((((V19+100)/1000)*((V19+100)/1000))*3)*'Технический лист'!$I$8)*4.3</f>
        <v>9094.037643896103</v>
      </c>
      <c r="W28" s="9">
        <f>((((W19*0.00314)*0.16)*'Технический лист'!$O$8)+((((W19+100)/1000)*((W19+100)/1000))*3)*'Технический лист'!$I$8)*4.3</f>
        <v>9486.608444675323</v>
      </c>
      <c r="X28" s="9">
        <f>((((X19*0.00314)*0.16)*'Технический лист'!$O$8)+((((X19+100)/1000)*((X19+100)/1000))*3)*'Технический лист'!$I$8)*4.3</f>
        <v>9886.734624675324</v>
      </c>
    </row>
    <row r="29" spans="1:24" ht="15">
      <c r="A29" s="4" t="s">
        <v>101</v>
      </c>
      <c r="B29" s="9">
        <v>1700</v>
      </c>
      <c r="C29" s="9">
        <v>1700</v>
      </c>
      <c r="D29" s="9">
        <v>1700</v>
      </c>
      <c r="E29" s="9">
        <v>1700</v>
      </c>
      <c r="F29" s="9">
        <v>1700</v>
      </c>
      <c r="G29" s="9">
        <v>1700</v>
      </c>
      <c r="H29" s="9">
        <v>1700</v>
      </c>
      <c r="I29" s="9">
        <v>1700</v>
      </c>
      <c r="J29" s="9">
        <v>1700</v>
      </c>
      <c r="K29" s="9">
        <v>1700</v>
      </c>
      <c r="L29" s="9">
        <v>1700</v>
      </c>
      <c r="M29" s="9">
        <v>1700</v>
      </c>
      <c r="N29" s="9">
        <v>1700</v>
      </c>
      <c r="O29" s="9">
        <v>1700</v>
      </c>
      <c r="P29" s="9">
        <v>1700</v>
      </c>
      <c r="Q29" s="9">
        <v>1700</v>
      </c>
      <c r="R29" s="9">
        <v>1700</v>
      </c>
      <c r="S29" s="9">
        <v>1700</v>
      </c>
      <c r="T29" s="9">
        <v>1700</v>
      </c>
      <c r="U29" s="9">
        <v>1700</v>
      </c>
      <c r="V29" s="9">
        <v>1700</v>
      </c>
      <c r="W29" s="9">
        <v>1700</v>
      </c>
      <c r="X29" s="9">
        <v>1700</v>
      </c>
    </row>
  </sheetData>
  <mergeCells count="8">
    <mergeCell ref="A18:N18"/>
    <mergeCell ref="O18:AB18"/>
    <mergeCell ref="A1:C1"/>
    <mergeCell ref="D1:O1"/>
    <mergeCell ref="D2:O2"/>
    <mergeCell ref="D3:O3"/>
    <mergeCell ref="A5:O5"/>
    <mergeCell ref="P5:AD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M35" sqref="M35:S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v>200</v>
      </c>
      <c r="C7" s="10">
        <v>210</v>
      </c>
      <c r="D7" s="10">
        <v>215</v>
      </c>
      <c r="E7" s="10">
        <v>220</v>
      </c>
      <c r="F7" s="10">
        <v>225</v>
      </c>
      <c r="G7" s="10">
        <v>230</v>
      </c>
      <c r="H7" s="10">
        <v>240</v>
      </c>
      <c r="I7" s="10">
        <v>250</v>
      </c>
      <c r="J7" s="10">
        <v>260</v>
      </c>
      <c r="K7" s="10">
        <v>280</v>
      </c>
      <c r="L7" s="10">
        <v>300</v>
      </c>
      <c r="M7" s="10">
        <v>320</v>
      </c>
      <c r="N7" s="10">
        <v>350</v>
      </c>
      <c r="O7" s="10">
        <v>360</v>
      </c>
      <c r="P7" s="10">
        <v>370</v>
      </c>
      <c r="Q7" s="10">
        <v>380</v>
      </c>
      <c r="R7" s="10">
        <v>390</v>
      </c>
      <c r="S7" s="10">
        <v>400</v>
      </c>
    </row>
    <row r="8" spans="1:19" ht="15">
      <c r="A8" s="4" t="s">
        <v>4</v>
      </c>
      <c r="B8" s="16">
        <f>((B6*0.00314)*'Технический лист'!$G$11)+310+((B7*0.00314)*'Технический лист'!$G$11)*3</f>
        <v>1087.3593333333333</v>
      </c>
      <c r="C8" s="16">
        <f>((C6*0.00314)*'Технический лист'!$G$11)+310+((C7*0.00314)*'Технический лист'!$G$11)*3</f>
        <v>1131.7798666666665</v>
      </c>
      <c r="D8" s="16">
        <f>((D6*0.00314)*'Технический лист'!$G$11)+310+((D7*0.00314)*'Технический лист'!$G$11)*3</f>
        <v>1153.9901333333332</v>
      </c>
      <c r="E8" s="16">
        <f>((E6*0.00314)*'Технический лист'!$G$11)+310+((E7*0.00314)*'Технический лист'!$G$11)*3</f>
        <v>1176.2004</v>
      </c>
      <c r="F8" s="16">
        <f>((F6*0.00314)*'Технический лист'!$G$11)+310+((F7*0.00314)*'Технический лист'!$G$11)*3</f>
        <v>1198.4106666666667</v>
      </c>
      <c r="G8" s="16">
        <f>((G6*0.00314)*'Технический лист'!$G$11)+310+((G7*0.00314)*'Технический лист'!$G$11)*3</f>
        <v>1220.6209333333331</v>
      </c>
      <c r="H8" s="16">
        <f>((H6*0.00314)*'Технический лист'!$G$11)+310+((H7*0.00314)*'Технический лист'!$G$11)*3</f>
        <v>1265.0414666666666</v>
      </c>
      <c r="I8" s="16">
        <f>((I6*0.00314)*'Технический лист'!$G$11)+310+((I7*0.00314)*'Технический лист'!$G$11)*3</f>
        <v>1309.462</v>
      </c>
      <c r="J8" s="16">
        <f>((J6*0.00314)*'Технический лист'!$G$11)+310+((J7*0.00314)*'Технический лист'!$G$11)*3</f>
        <v>1353.8825333333332</v>
      </c>
      <c r="K8" s="16">
        <f>((K6*0.00314)*'Технический лист'!$G$11)+310+((K7*0.00314)*'Технический лист'!$G$11)*3</f>
        <v>1442.7235999999998</v>
      </c>
      <c r="L8" s="16">
        <f>((L6*0.00314)*'Технический лист'!$G$11)+310+((L7*0.00314)*'Технический лист'!$G$11)*3</f>
        <v>1531.5646666666664</v>
      </c>
      <c r="M8" s="16">
        <f>((M6*0.00314)*'Технический лист'!$G$11)+310+((M7*0.00314)*'Технический лист'!$G$11)*3</f>
        <v>1620.405733333333</v>
      </c>
      <c r="N8" s="16">
        <f>((N6*0.00314)*'Технический лист'!$G$11)+310+((N7*0.00314)*'Технический лист'!$G$11)*3</f>
        <v>1753.667333333333</v>
      </c>
      <c r="O8" s="16">
        <f>((O6*0.00314)*'Технический лист'!$G$11)+310+((O7*0.00314)*'Технический лист'!$G$11)*3</f>
        <v>1798.0878666666665</v>
      </c>
      <c r="P8" s="16">
        <f>((P6*0.00314)*'Технический лист'!$G$11)+310+((P7*0.00314)*'Технический лист'!$G$11)*3</f>
        <v>1842.5083999999997</v>
      </c>
      <c r="Q8" s="16">
        <f>((Q6*0.00314)*'Технический лист'!$G$11)+310+((Q7*0.00314)*'Технический лист'!$G$11)*3</f>
        <v>1886.9289333333331</v>
      </c>
      <c r="R8" s="16">
        <f>((R6*0.00314)*'Технический лист'!$G$11)+310+((R7*0.00314)*'Технический лист'!$G$11)*3</f>
        <v>1931.3494666666666</v>
      </c>
      <c r="S8" s="16">
        <f>((S6*0.00314)*'Технический лист'!$G$11)+310+((S7*0.00314)*'Технический лист'!$G$11)*3</f>
        <v>1975.7699999999998</v>
      </c>
    </row>
    <row r="9" spans="1:19" ht="15">
      <c r="A9" s="4" t="s">
        <v>3</v>
      </c>
      <c r="B9" s="9">
        <f>(B8/2)*1.07</f>
        <v>581.7372433333334</v>
      </c>
      <c r="C9" s="9">
        <f aca="true" t="shared" si="0" ref="C9:S9">(C8/2)*1.07</f>
        <v>605.5022286666666</v>
      </c>
      <c r="D9" s="9">
        <f t="shared" si="0"/>
        <v>617.3847213333333</v>
      </c>
      <c r="E9" s="9">
        <f t="shared" si="0"/>
        <v>629.267214</v>
      </c>
      <c r="F9" s="9">
        <f t="shared" si="0"/>
        <v>641.1497066666667</v>
      </c>
      <c r="G9" s="9">
        <f t="shared" si="0"/>
        <v>653.0321993333333</v>
      </c>
      <c r="H9" s="9">
        <f t="shared" si="0"/>
        <v>676.7971846666667</v>
      </c>
      <c r="I9" s="9">
        <f t="shared" si="0"/>
        <v>700.56217</v>
      </c>
      <c r="J9" s="9">
        <f t="shared" si="0"/>
        <v>724.3271553333333</v>
      </c>
      <c r="K9" s="9">
        <f t="shared" si="0"/>
        <v>771.857126</v>
      </c>
      <c r="L9" s="9">
        <f t="shared" si="0"/>
        <v>819.3870966666666</v>
      </c>
      <c r="M9" s="9">
        <f t="shared" si="0"/>
        <v>866.9170673333332</v>
      </c>
      <c r="N9" s="9">
        <f t="shared" si="0"/>
        <v>938.2120233333333</v>
      </c>
      <c r="O9" s="9">
        <f t="shared" si="0"/>
        <v>961.9770086666666</v>
      </c>
      <c r="P9" s="9">
        <f t="shared" si="0"/>
        <v>985.7419939999999</v>
      </c>
      <c r="Q9" s="9">
        <f t="shared" si="0"/>
        <v>1009.5069793333333</v>
      </c>
      <c r="R9" s="9">
        <f t="shared" si="0"/>
        <v>1033.2719646666667</v>
      </c>
      <c r="S9" s="9">
        <f t="shared" si="0"/>
        <v>1057.03695</v>
      </c>
    </row>
    <row r="10" spans="1:19" ht="15">
      <c r="A10" s="4" t="s">
        <v>5</v>
      </c>
      <c r="B10" s="16">
        <f>(((B6*0.00314)*0.5)*'Технический лист'!$I$11)+310+(((B7*0.00314)*0.5)*'Технический лист'!$I$11)*3.1</f>
        <v>1077.1648</v>
      </c>
      <c r="C10" s="16">
        <f>(((C6*0.00314)*0.5)*'Технический лист'!$I$11)+310+(((C7*0.00314)*0.5)*'Технический лист'!$I$11)*3.1</f>
        <v>1120.8505733333332</v>
      </c>
      <c r="D10" s="16">
        <f>(((D6*0.00314)*0.5)*'Технический лист'!$I$11)+310+(((D7*0.00314)*0.5)*'Технический лист'!$I$11)*3.1</f>
        <v>1142.69346</v>
      </c>
      <c r="E10" s="16">
        <f>(((E6*0.00314)*0.5)*'Технический лист'!$I$11)+310+(((E7*0.00314)*0.5)*'Технический лист'!$I$11)*3.1</f>
        <v>1164.5363466666665</v>
      </c>
      <c r="F10" s="16">
        <f>(((F6*0.00314)*0.5)*'Технический лист'!$I$11)+310+(((F7*0.00314)*0.5)*'Технический лист'!$I$11)*3.1</f>
        <v>1186.3792333333333</v>
      </c>
      <c r="G10" s="16">
        <f>(((G6*0.00314)*0.5)*'Технический лист'!$I$11)+310+(((G7*0.00314)*0.5)*'Технический лист'!$I$11)*3.1</f>
        <v>1208.22212</v>
      </c>
      <c r="H10" s="16">
        <f>(((H6*0.00314)*0.5)*'Технический лист'!$I$11)+310+(((H7*0.00314)*0.5)*'Технический лист'!$I$11)*3.1</f>
        <v>1251.9078933333333</v>
      </c>
      <c r="I10" s="16">
        <f>(((I6*0.00314)*0.5)*'Технический лист'!$I$11)+310+(((I7*0.00314)*0.5)*'Технический лист'!$I$11)*3.1</f>
        <v>1295.5936666666666</v>
      </c>
      <c r="J10" s="16">
        <f>(((J6*0.00314)*0.5)*'Технический лист'!$I$11)+310+(((J7*0.00314)*0.5)*'Технический лист'!$I$11)*3.1</f>
        <v>1339.2794399999998</v>
      </c>
      <c r="K10" s="16">
        <f>(((K6*0.00314)*0.5)*'Технический лист'!$I$11)+310+(((K7*0.00314)*0.5)*'Технический лист'!$I$11)*3.1</f>
        <v>1426.6509866666665</v>
      </c>
      <c r="L10" s="16">
        <f>(((L6*0.00314)*0.5)*'Технический лист'!$I$11)+310+(((L7*0.00314)*0.5)*'Технический лист'!$I$11)*3.1</f>
        <v>1514.0225333333333</v>
      </c>
      <c r="M10" s="16">
        <f>(((M6*0.00314)*0.5)*'Технический лист'!$I$11)+310+(((M7*0.00314)*0.5)*'Технический лист'!$I$11)*3.1</f>
        <v>1601.3940799999998</v>
      </c>
      <c r="N10" s="16">
        <f>(((N6*0.00314)*0.5)*'Технический лист'!$I$11)+310+(((N7*0.00314)*0.5)*'Технический лист'!$I$11)*3.1</f>
        <v>1732.4514</v>
      </c>
      <c r="O10" s="16">
        <f>(((O6*0.00314)*0.5)*'Технический лист'!$I$11)+310+(((O7*0.00314)*0.5)*'Технический лист'!$I$11)*3.1</f>
        <v>1776.1371733333333</v>
      </c>
      <c r="P10" s="16">
        <f>(((P6*0.00314)*0.5)*'Технический лист'!$I$11)+310+(((P7*0.00314)*0.5)*'Технический лист'!$I$11)*3.1</f>
        <v>1819.8229466666667</v>
      </c>
      <c r="Q10" s="16">
        <f>(((Q6*0.00314)*0.5)*'Технический лист'!$I$11)+310+(((Q7*0.00314)*0.5)*'Технический лист'!$I$11)*3.1</f>
        <v>1863.50872</v>
      </c>
      <c r="R10" s="16">
        <f>(((R6*0.00314)*0.5)*'Технический лист'!$I$11)+310+(((R7*0.00314)*0.5)*'Технический лист'!$I$11)*3.1</f>
        <v>1907.1944933333332</v>
      </c>
      <c r="S10" s="16">
        <f>(((S6*0.00314)*0.5)*'Технический лист'!$I$11)+310+(((S7*0.00314)*0.5)*'Технический лист'!$I$11)*3.1</f>
        <v>1950.8802666666666</v>
      </c>
    </row>
    <row r="11" spans="1:19" ht="15">
      <c r="A11" s="4" t="s">
        <v>96</v>
      </c>
      <c r="B11" s="9">
        <f>(B10*2)/3</f>
        <v>718.1098666666667</v>
      </c>
      <c r="C11" s="9">
        <f aca="true" t="shared" si="1" ref="C11:S11">(C10*2)/3</f>
        <v>747.2337155555555</v>
      </c>
      <c r="D11" s="9">
        <f t="shared" si="1"/>
        <v>761.7956399999999</v>
      </c>
      <c r="E11" s="9">
        <f t="shared" si="1"/>
        <v>776.3575644444444</v>
      </c>
      <c r="F11" s="9">
        <f t="shared" si="1"/>
        <v>790.9194888888888</v>
      </c>
      <c r="G11" s="9">
        <f t="shared" si="1"/>
        <v>805.4814133333333</v>
      </c>
      <c r="H11" s="9">
        <f t="shared" si="1"/>
        <v>834.6052622222222</v>
      </c>
      <c r="I11" s="9">
        <f t="shared" si="1"/>
        <v>863.7291111111111</v>
      </c>
      <c r="J11" s="9">
        <f t="shared" si="1"/>
        <v>892.8529599999998</v>
      </c>
      <c r="K11" s="9">
        <f t="shared" si="1"/>
        <v>951.1006577777777</v>
      </c>
      <c r="L11" s="9">
        <f t="shared" si="1"/>
        <v>1009.3483555555555</v>
      </c>
      <c r="M11" s="9">
        <f t="shared" si="1"/>
        <v>1067.5960533333332</v>
      </c>
      <c r="N11" s="9">
        <f t="shared" si="1"/>
        <v>1154.9676</v>
      </c>
      <c r="O11" s="9">
        <f t="shared" si="1"/>
        <v>1184.0914488888889</v>
      </c>
      <c r="P11" s="9">
        <f t="shared" si="1"/>
        <v>1213.2152977777778</v>
      </c>
      <c r="Q11" s="9">
        <f t="shared" si="1"/>
        <v>1242.3391466666667</v>
      </c>
      <c r="R11" s="9">
        <f t="shared" si="1"/>
        <v>1271.4629955555554</v>
      </c>
      <c r="S11" s="9">
        <f t="shared" si="1"/>
        <v>1300.5868444444443</v>
      </c>
    </row>
    <row r="12" spans="1:19" ht="15">
      <c r="A12" s="4" t="s">
        <v>6</v>
      </c>
      <c r="B12" s="16">
        <f>(((B6*0.00314)*0.22)*'Технический лист'!$M$11)+100+(((B7*0.00314)*0.21)*'Технический лист'!$O$11)+(((B6+30)*(B6+30)/1000000)*'Технический лист'!$E$19)*5.4</f>
        <v>586.3668533333333</v>
      </c>
      <c r="C12" s="16">
        <f>(((C6*0.00314)*0.22)*'Технический лист'!$M$11)+100+(((C7*0.00314)*0.21)*'Технический лист'!$O$11)+(((C6+30)*(C6+30)/1000000)*'Технический лист'!$E$19)*5.4</f>
        <v>641.5258106666668</v>
      </c>
      <c r="D12" s="16">
        <f>(((D6*0.00314)*0.22)*'Технический лист'!$M$11)+100+(((D7*0.00314)*0.21)*'Технический лист'!$O$11)+(((D6+30)*(D6+30)/1000000)*'Технический лист'!$E$19)*5.4</f>
        <v>670.1177893333333</v>
      </c>
      <c r="E12" s="16">
        <f>(((E6*0.00314)*0.22)*'Технический лист'!$M$11)+100+(((E7*0.00314)*0.21)*'Технический лист'!$O$11)+(((E6+30)*(E6+30)/1000000)*'Технический лист'!$E$19)*5.4</f>
        <v>699.384768</v>
      </c>
      <c r="F12" s="16">
        <f>(((F6*0.00314)*0.22)*'Технический лист'!$M$11)+100+(((F7*0.00314)*0.21)*'Технический лист'!$O$11)+(((F6+30)*(F6+30)/1000000)*'Технический лист'!$E$19)*5.4</f>
        <v>729.3267466666667</v>
      </c>
      <c r="G12" s="16">
        <f>(((G6*0.00314)*0.22)*'Технический лист'!$M$11)+100+(((G7*0.00314)*0.21)*'Технический лист'!$O$11)+(((G6+30)*(G6+30)/1000000)*'Технический лист'!$E$19)*5.4</f>
        <v>759.9437253333334</v>
      </c>
      <c r="H12" s="16">
        <f>(((H6*0.00314)*0.22)*'Технический лист'!$M$11)+100+(((H7*0.00314)*0.21)*'Технический лист'!$O$11)+(((H6+30)*(H6+30)/1000000)*'Технический лист'!$E$19)*5.4</f>
        <v>823.2026826666668</v>
      </c>
      <c r="I12" s="16">
        <f>(((I6*0.00314)*0.22)*'Технический лист'!$M$11)+100+(((I7*0.00314)*0.21)*'Технический лист'!$O$11)+(((I6+30)*(I6+30)/1000000)*'Технический лист'!$E$19)*5.4</f>
        <v>889.16164</v>
      </c>
      <c r="J12" s="16">
        <f>(((J6*0.00314)*0.22)*'Технический лист'!$M$11)+100+(((J7*0.00314)*0.21)*'Технический лист'!$O$11)+(((J6+30)*(J6+30)/1000000)*'Технический лист'!$E$19)*5.4</f>
        <v>957.8205973333334</v>
      </c>
      <c r="K12" s="16">
        <f>(((K6*0.00314)*0.22)*'Технический лист'!$M$11)+100+(((K7*0.00314)*0.21)*'Технический лист'!$O$11)+(((K6+30)*(K6+30)/1000000)*'Технический лист'!$E$19)*5.4</f>
        <v>1103.238512</v>
      </c>
      <c r="L12" s="16">
        <f>(((L6*0.00314)*0.22)*'Технический лист'!$M$11)+100+(((L7*0.00314)*0.21)*'Технический лист'!$O$11)+(((L6+30)*(L6+30)/1000000)*'Технический лист'!$E$19)*5.4</f>
        <v>1259.4564266666666</v>
      </c>
      <c r="M12" s="16">
        <f>(((M6*0.00314)*0.22)*'Технический лист'!$M$11)+100+(((M7*0.00314)*0.21)*'Технический лист'!$O$11)+(((M6+30)*(M6+30)/1000000)*'Технический лист'!$E$19)*5.4</f>
        <v>1426.4743413333333</v>
      </c>
      <c r="N12" s="16">
        <f>(((N6*0.00314)*0.22)*'Технический лист'!$M$11)+100+(((N7*0.00314)*0.21)*'Технический лист'!$O$11)+(((N6+30)*(N6+30)/1000000)*'Технический лист'!$E$19)*5.4</f>
        <v>1697.2512133333335</v>
      </c>
      <c r="O12" s="16">
        <f>(((O6*0.00314)*0.22)*'Технический лист'!$M$11)+100+(((O7*0.00314)*0.21)*'Технический лист'!$O$11)+(((O6+30)*(O6+30)/1000000)*'Технический лист'!$E$19)*5.4</f>
        <v>1792.9101706666665</v>
      </c>
      <c r="P12" s="16">
        <f>(((P6*0.00314)*0.22)*'Технический лист'!$M$11)+100+(((P7*0.00314)*0.21)*'Технический лист'!$O$11)+(((P6+30)*(P6+30)/1000000)*'Технический лист'!$E$19)*5.4</f>
        <v>1891.269128</v>
      </c>
      <c r="Q12" s="16">
        <f>(((Q6*0.00314)*0.22)*'Технический лист'!$M$11)+100+(((Q7*0.00314)*0.21)*'Технический лист'!$O$11)+(((Q6+30)*(Q6+30)/1000000)*'Технический лист'!$E$19)*5.4</f>
        <v>1992.3280853333335</v>
      </c>
      <c r="R12" s="16">
        <f>(((R6*0.00314)*0.22)*'Технический лист'!$M$11)+100+(((R7*0.00314)*0.21)*'Технический лист'!$O$11)+(((R6+30)*(R6+30)/1000000)*'Технический лист'!$E$19)*5.4</f>
        <v>2096.087042666667</v>
      </c>
      <c r="S12" s="16">
        <f>(((S6*0.00314)*0.22)*'Технический лист'!$M$11)+100+(((S7*0.00314)*0.21)*'Технический лист'!$O$11)+(((S6+30)*(S6+30)/1000000)*'Технический лист'!$E$19)*5.4</f>
        <v>2202.5460000000003</v>
      </c>
    </row>
    <row r="13" spans="1:19" ht="15">
      <c r="A13" s="4" t="s">
        <v>7</v>
      </c>
      <c r="B13" s="9">
        <f>B12*1.8</f>
        <v>1055.460336</v>
      </c>
      <c r="C13" s="9">
        <f aca="true" t="shared" si="2" ref="C13:S13">C12*1.8</f>
        <v>1154.7464592000001</v>
      </c>
      <c r="D13" s="9">
        <f t="shared" si="2"/>
        <v>1206.2120208000001</v>
      </c>
      <c r="E13" s="9">
        <f t="shared" si="2"/>
        <v>1258.8925824</v>
      </c>
      <c r="F13" s="9">
        <f t="shared" si="2"/>
        <v>1312.788144</v>
      </c>
      <c r="G13" s="9">
        <f t="shared" si="2"/>
        <v>1367.8987056</v>
      </c>
      <c r="H13" s="9">
        <f t="shared" si="2"/>
        <v>1481.7648288000003</v>
      </c>
      <c r="I13" s="9">
        <f t="shared" si="2"/>
        <v>1600.490952</v>
      </c>
      <c r="J13" s="9">
        <f t="shared" si="2"/>
        <v>1724.0770752</v>
      </c>
      <c r="K13" s="9">
        <f t="shared" si="2"/>
        <v>1985.8293216</v>
      </c>
      <c r="L13" s="9">
        <f t="shared" si="2"/>
        <v>2267.021568</v>
      </c>
      <c r="M13" s="9">
        <f t="shared" si="2"/>
        <v>2567.6538144</v>
      </c>
      <c r="N13" s="9">
        <f t="shared" si="2"/>
        <v>3055.052184</v>
      </c>
      <c r="O13" s="9">
        <f t="shared" si="2"/>
        <v>3227.2383072</v>
      </c>
      <c r="P13" s="9">
        <f t="shared" si="2"/>
        <v>3404.2844304</v>
      </c>
      <c r="Q13" s="9">
        <f t="shared" si="2"/>
        <v>3586.1905536000004</v>
      </c>
      <c r="R13" s="9">
        <f t="shared" si="2"/>
        <v>3772.956676800001</v>
      </c>
      <c r="S13" s="9">
        <f t="shared" si="2"/>
        <v>3964.5828000000006</v>
      </c>
    </row>
    <row r="14" spans="1:19" ht="15">
      <c r="A14" s="4" t="s">
        <v>8</v>
      </c>
      <c r="B14" s="16">
        <f>(((B6*0.00314)*0.2)*'Технический лист'!$M$11)+50+(((B7*0.00314)*0.22)*'Технический лист'!$O$11)*2.9</f>
        <v>587.6031680000001</v>
      </c>
      <c r="C14" s="16">
        <f>(((C6*0.00314)*0.2)*'Технический лист'!$M$11)+50+(((C7*0.00314)*0.22)*'Технический лист'!$O$11)*2.9</f>
        <v>619.7543397333334</v>
      </c>
      <c r="D14" s="16">
        <f>(((D6*0.00314)*0.2)*'Технический лист'!$M$11)+50+(((D7*0.00314)*0.22)*'Технический лист'!$O$11)*2.9</f>
        <v>635.8299256</v>
      </c>
      <c r="E14" s="16">
        <f>(((E6*0.00314)*0.2)*'Технический лист'!$M$11)+50+(((E7*0.00314)*0.22)*'Технический лист'!$O$11)*2.9</f>
        <v>651.9055114666667</v>
      </c>
      <c r="F14" s="16">
        <f>(((F6*0.00314)*0.2)*'Технический лист'!$M$11)+50+(((F7*0.00314)*0.22)*'Технический лист'!$O$11)*2.9</f>
        <v>667.9810973333334</v>
      </c>
      <c r="G14" s="16">
        <f>(((G6*0.00314)*0.2)*'Технический лист'!$M$11)+50+(((G7*0.00314)*0.22)*'Технический лист'!$O$11)*2.9</f>
        <v>684.0566832000001</v>
      </c>
      <c r="H14" s="16">
        <f>(((H6*0.00314)*0.2)*'Технический лист'!$M$11)+50+(((H7*0.00314)*0.22)*'Технический лист'!$O$11)*2.9</f>
        <v>716.2078549333335</v>
      </c>
      <c r="I14" s="16">
        <f>(((I6*0.00314)*0.2)*'Технический лист'!$M$11)+50+(((I7*0.00314)*0.22)*'Технический лист'!$O$11)*2.9</f>
        <v>748.3590266666668</v>
      </c>
      <c r="J14" s="16">
        <f>(((J6*0.00314)*0.2)*'Технический лист'!$M$11)+50+(((J7*0.00314)*0.22)*'Технический лист'!$O$11)*2.9</f>
        <v>780.5101984</v>
      </c>
      <c r="K14" s="16">
        <f>(((K6*0.00314)*0.2)*'Технический лист'!$M$11)+50+(((K7*0.00314)*0.22)*'Технический лист'!$O$11)*2.9</f>
        <v>844.8125418666666</v>
      </c>
      <c r="L14" s="16">
        <f>(((L6*0.00314)*0.2)*'Технический лист'!$M$11)+50+(((L7*0.00314)*0.22)*'Технический лист'!$O$11)*2.9</f>
        <v>909.1148853333334</v>
      </c>
      <c r="M14" s="16">
        <f>(((M6*0.00314)*0.2)*'Технический лист'!$M$11)+50+(((M7*0.00314)*0.22)*'Технический лист'!$O$11)*2.9</f>
        <v>973.4172288</v>
      </c>
      <c r="N14" s="16">
        <f>(((N6*0.00314)*0.2)*'Технический лист'!$M$11)+50+(((N7*0.00314)*0.22)*'Технический лист'!$O$11)*2.9</f>
        <v>1069.870744</v>
      </c>
      <c r="O14" s="16">
        <f>(((O6*0.00314)*0.2)*'Технический лист'!$M$11)+50+(((O7*0.00314)*0.22)*'Технический лист'!$O$11)*2.9</f>
        <v>1102.0219157333336</v>
      </c>
      <c r="P14" s="16">
        <f>(((P6*0.00314)*0.2)*'Технический лист'!$M$11)+50+(((P7*0.00314)*0.22)*'Технический лист'!$O$11)*2.9</f>
        <v>1134.1730874666669</v>
      </c>
      <c r="Q14" s="16">
        <f>(((Q6*0.00314)*0.2)*'Технический лист'!$M$11)+50+(((Q7*0.00314)*0.22)*'Технический лист'!$O$11)*2.9</f>
        <v>1166.3242592000001</v>
      </c>
      <c r="R14" s="16">
        <f>(((R6*0.00314)*0.2)*'Технический лист'!$M$11)+50+(((R7*0.00314)*0.22)*'Технический лист'!$O$11)*2.9</f>
        <v>1198.4754309333334</v>
      </c>
      <c r="S14" s="16">
        <f>(((S6*0.00314)*0.2)*'Технический лист'!$M$11)+50+(((S7*0.00314)*0.22)*'Технический лист'!$O$11)*2.9</f>
        <v>1230.6266026666667</v>
      </c>
    </row>
    <row r="15" spans="1:19" ht="15">
      <c r="A15" s="4" t="s">
        <v>99</v>
      </c>
      <c r="B15" s="16">
        <v>1272</v>
      </c>
      <c r="C15" s="16">
        <v>1335</v>
      </c>
      <c r="D15" s="16">
        <v>1370</v>
      </c>
      <c r="E15" s="16">
        <v>1395</v>
      </c>
      <c r="F15" s="16">
        <v>1430</v>
      </c>
      <c r="G15" s="16">
        <v>1460</v>
      </c>
      <c r="H15" s="16">
        <v>1525</v>
      </c>
      <c r="I15" s="16">
        <v>1595</v>
      </c>
      <c r="J15" s="16">
        <v>1665</v>
      </c>
      <c r="K15" s="16">
        <v>1805</v>
      </c>
      <c r="L15" s="16">
        <v>1950</v>
      </c>
      <c r="M15" s="16">
        <v>2105</v>
      </c>
      <c r="N15" s="16">
        <v>2350</v>
      </c>
      <c r="O15" s="16">
        <v>2435</v>
      </c>
      <c r="P15" s="16">
        <v>2515</v>
      </c>
      <c r="Q15" s="16">
        <v>2605</v>
      </c>
      <c r="R15" s="16">
        <v>2695</v>
      </c>
      <c r="S15" s="16">
        <v>2790</v>
      </c>
    </row>
    <row r="16" spans="1:19" ht="15">
      <c r="A16" s="4" t="s">
        <v>102</v>
      </c>
      <c r="B16" s="16">
        <v>1272</v>
      </c>
      <c r="C16" s="16">
        <v>1335</v>
      </c>
      <c r="D16" s="16">
        <v>1370</v>
      </c>
      <c r="E16" s="16">
        <v>1395</v>
      </c>
      <c r="F16" s="16">
        <v>1430</v>
      </c>
      <c r="G16" s="16">
        <v>1460</v>
      </c>
      <c r="H16" s="16">
        <v>1525</v>
      </c>
      <c r="I16" s="16">
        <v>1595</v>
      </c>
      <c r="J16" s="16">
        <v>1665</v>
      </c>
      <c r="K16" s="16">
        <v>1805</v>
      </c>
      <c r="L16" s="16">
        <v>1950</v>
      </c>
      <c r="M16" s="16">
        <v>2105</v>
      </c>
      <c r="N16" s="16">
        <v>2350</v>
      </c>
      <c r="O16" s="16">
        <v>2435</v>
      </c>
      <c r="P16" s="16">
        <v>2515</v>
      </c>
      <c r="Q16" s="16">
        <v>2605</v>
      </c>
      <c r="R16" s="16">
        <v>2695</v>
      </c>
      <c r="S16" s="16">
        <v>2790</v>
      </c>
    </row>
    <row r="17" spans="1:19" ht="15">
      <c r="A17" s="4" t="s">
        <v>9</v>
      </c>
      <c r="B17" s="9">
        <f>(((B6*0.00314)*((B6+545)/1000))*'Технический лист'!$K$11)+370+((B7*0.00314)*((B7+450)/1000))*'Технический лист'!$K$11*3.6</f>
        <v>1504.7646</v>
      </c>
      <c r="C17" s="9">
        <f>(((C6*0.00314)*((C6+545)/1000))*'Технический лист'!$K$11)+370+((C7*0.00314)*((C7+450)/1000))*'Технический лист'!$K$11*3.6</f>
        <v>1586.8299234666665</v>
      </c>
      <c r="D17" s="9">
        <f>(((D6*0.00314)*((D6+545)/1000))*'Технический лист'!$K$11)+370+((D7*0.00314)*((D7+450)/1000))*'Технический лист'!$K$11*3.6</f>
        <v>1628.5977848</v>
      </c>
      <c r="E17" s="9">
        <f>(((E6*0.00314)*((E6+545)/1000))*'Технический лист'!$K$11)+370+((E7*0.00314)*((E7+450)/1000))*'Технический лист'!$K$11*3.6</f>
        <v>1670.8557792</v>
      </c>
      <c r="F17" s="9">
        <f>(((F6*0.00314)*((F6+545)/1000))*'Технический лист'!$K$11)+370+((F7*0.00314)*((F7+450)/1000))*'Технический лист'!$K$11*3.6</f>
        <v>1713.6039066666667</v>
      </c>
      <c r="G17" s="9">
        <f>(((G6*0.00314)*((G6+545)/1000))*'Технический лист'!$K$11)+370+((G7*0.00314)*((G7+450)/1000))*'Технический лист'!$K$11*3.6</f>
        <v>1756.8421672</v>
      </c>
      <c r="H17" s="9">
        <f>(((H6*0.00314)*((H6+545)/1000))*'Технический лист'!$K$11)+370+((H7*0.00314)*((H7+450)/1000))*'Технический лист'!$K$11*3.6</f>
        <v>1844.7890874666666</v>
      </c>
      <c r="I17" s="9">
        <f>(((I6*0.00314)*((I6+545)/1000))*'Технический лист'!$K$11)+370+((I7*0.00314)*((I7+450)/1000))*'Технический лист'!$K$11*3.6</f>
        <v>1934.69654</v>
      </c>
      <c r="J17" s="9">
        <f>(((J6*0.00314)*((J6+545)/1000))*'Технический лист'!$K$11)+370+((J7*0.00314)*((J7+450)/1000))*'Технический лист'!$K$11*3.6</f>
        <v>2026.5645247999996</v>
      </c>
      <c r="K17" s="9">
        <f>(((K6*0.00314)*((K6+545)/1000))*'Технический лист'!$K$11)+370+((K7*0.00314)*((K7+450)/1000))*'Технический лист'!$K$11*3.6</f>
        <v>2216.1820912</v>
      </c>
      <c r="L17" s="9">
        <f>(((L6*0.00314)*((L6+545)/1000))*'Технический лист'!$K$11)+370+((L7*0.00314)*((L7+450)/1000))*'Технический лист'!$K$11*3.6</f>
        <v>2413.641786666666</v>
      </c>
      <c r="M17" s="9">
        <f>(((M6*0.00314)*((M6+545)/1000))*'Технический лист'!$K$11)+370+((M7*0.00314)*((M7+450)/1000))*'Технический лист'!$K$11*3.6</f>
        <v>2618.9436111999994</v>
      </c>
      <c r="N17" s="9">
        <f>(((N6*0.00314)*((N6+545)/1000))*'Технический лист'!$K$11)+370+((N7*0.00314)*((N7+450)/1000))*'Технический лист'!$K$11*3.6</f>
        <v>2941.60034</v>
      </c>
      <c r="O17" s="9">
        <f>(((O6*0.00314)*((O6+545)/1000))*'Технический лист'!$K$11)+370+((O7*0.00314)*((O7+450)/1000))*'Технический лист'!$K$11*3.6</f>
        <v>3053.073647466667</v>
      </c>
      <c r="P17" s="9">
        <f>(((P6*0.00314)*((P6+545)/1000))*'Технический лист'!$K$11)+370+((P7*0.00314)*((P7+450)/1000))*'Технический лист'!$K$11*3.6</f>
        <v>3166.5074871999996</v>
      </c>
      <c r="Q17" s="9">
        <f>(((Q6*0.00314)*((Q6+545)/1000))*'Технический лист'!$K$11)+370+((Q7*0.00314)*((Q7+450)/1000))*'Технический лист'!$K$11*3.6</f>
        <v>3281.9018591999998</v>
      </c>
      <c r="R17" s="9">
        <f>(((R6*0.00314)*((R6+545)/1000))*'Технический лист'!$K$11)+370+((R7*0.00314)*((R7+450)/1000))*'Технический лист'!$K$11*3.6</f>
        <v>3399.256763466666</v>
      </c>
      <c r="S17" s="9">
        <f>(((S6*0.00314)*((S6+545)/1000))*'Технический лист'!$K$11)+370+((S7*0.00314)*((S7+450)/1000))*'Технический лист'!$K$11*3.6</f>
        <v>3518.5721999999996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128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v>200</v>
      </c>
      <c r="C23" s="10">
        <v>210</v>
      </c>
      <c r="D23" s="10">
        <v>215</v>
      </c>
      <c r="E23" s="10">
        <v>220</v>
      </c>
      <c r="F23" s="10">
        <v>225</v>
      </c>
      <c r="G23" s="10">
        <v>230</v>
      </c>
      <c r="H23" s="10">
        <v>240</v>
      </c>
      <c r="I23" s="10">
        <v>250</v>
      </c>
      <c r="J23" s="10">
        <v>260</v>
      </c>
      <c r="K23" s="10">
        <v>280</v>
      </c>
      <c r="L23" s="10">
        <v>300</v>
      </c>
      <c r="M23" s="10">
        <v>320</v>
      </c>
      <c r="N23" s="10">
        <v>350</v>
      </c>
      <c r="O23" s="10">
        <v>360</v>
      </c>
      <c r="P23" s="10">
        <v>370</v>
      </c>
      <c r="Q23" s="10">
        <v>380</v>
      </c>
      <c r="R23" s="10">
        <v>390</v>
      </c>
      <c r="S23" s="10">
        <v>400</v>
      </c>
    </row>
    <row r="24" spans="1:19" ht="15">
      <c r="A24" s="4" t="s">
        <v>4</v>
      </c>
      <c r="B24" s="16">
        <f>((B22*0.00314)*'Технический лист'!$G$11)+310+((B23*0.00314)*'Технический лист'!$G$5)*2.3</f>
        <v>2061.8897333333334</v>
      </c>
      <c r="C24" s="16">
        <f>((C22*0.00314)*'Технический лист'!$G$11)+310+((C23*0.00314)*'Технический лист'!$G$5)*2.3</f>
        <v>2155.0367866666666</v>
      </c>
      <c r="D24" s="16">
        <f>((D22*0.00314)*'Технический лист'!$G$11)+310+((D23*0.00314)*'Технический лист'!$G$5)*2.3</f>
        <v>2201.6103133333336</v>
      </c>
      <c r="E24" s="16">
        <f>((E22*0.00314)*'Технический лист'!$G$11)+310+((E23*0.00314)*'Технический лист'!$G$5)*2.3</f>
        <v>2248.1838399999997</v>
      </c>
      <c r="F24" s="16">
        <f>((F22*0.00314)*'Технический лист'!$G$11)+310+((F23*0.00314)*'Технический лист'!$G$5)*2.3</f>
        <v>2294.7573666666667</v>
      </c>
      <c r="G24" s="16">
        <f>((G22*0.00314)*'Технический лист'!$G$11)+310+((G23*0.00314)*'Технический лист'!$G$5)*2.3</f>
        <v>2341.330893333333</v>
      </c>
      <c r="H24" s="16">
        <f>((H22*0.00314)*'Технический лист'!$G$11)+310+((H23*0.00314)*'Технический лист'!$G$5)*2.3</f>
        <v>2434.4779466666664</v>
      </c>
      <c r="I24" s="16">
        <f>((I22*0.00314)*'Технический лист'!$G$11)+310+((I23*0.00314)*'Технический лист'!$G$5)*2.3</f>
        <v>2527.625</v>
      </c>
      <c r="J24" s="16">
        <f>((J22*0.00314)*'Технический лист'!$G$11)+310+((J23*0.00314)*'Технический лист'!$G$5)*2.3</f>
        <v>2620.772053333333</v>
      </c>
      <c r="K24" s="16">
        <f>((K22*0.00314)*'Технический лист'!$G$11)+310+((K23*0.00314)*'Технический лист'!$G$5)*2.3</f>
        <v>2807.0661599999994</v>
      </c>
      <c r="L24" s="16">
        <f>((L22*0.00314)*'Технический лист'!$G$11)+310+((L23*0.00314)*'Технический лист'!$G$5)*2.3</f>
        <v>2993.360266666666</v>
      </c>
      <c r="M24" s="16">
        <f>((M22*0.00314)*'Технический лист'!$G$11)+310+((M23*0.00314)*'Технический лист'!$G$5)*2.3</f>
        <v>3179.6543733333324</v>
      </c>
      <c r="N24" s="16">
        <f>((N22*0.00314)*'Технический лист'!$G$11)+310+((N23*0.00314)*'Технический лист'!$G$5)*2.3</f>
        <v>3459.095533333333</v>
      </c>
      <c r="O24" s="16">
        <f>((O22*0.00314)*'Технический лист'!$G$11)+310+((O23*0.00314)*'Технический лист'!$G$5)*2.3</f>
        <v>3552.2425866666667</v>
      </c>
      <c r="P24" s="16">
        <f>((P22*0.00314)*'Технический лист'!$G$11)+310+((P23*0.00314)*'Технический лист'!$G$5)*2.3</f>
        <v>3645.3896399999994</v>
      </c>
      <c r="Q24" s="16">
        <f>((Q22*0.00314)*'Технический лист'!$G$11)+310+((Q23*0.00314)*'Технический лист'!$G$5)*2.3</f>
        <v>3738.5366933333335</v>
      </c>
      <c r="R24" s="16">
        <f>((R22*0.00314)*'Технический лист'!$G$11)+310+((R23*0.00314)*'Технический лист'!$G$5)*2.3</f>
        <v>3831.6837466666657</v>
      </c>
      <c r="S24" s="16">
        <f>((S22*0.00314)*'Технический лист'!$G$11)+310+((S23*0.00314)*'Технический лист'!$G$5)*2.3</f>
        <v>3924.8307999999997</v>
      </c>
    </row>
    <row r="25" spans="1:19" ht="15">
      <c r="A25" s="4" t="s">
        <v>3</v>
      </c>
      <c r="B25" s="9">
        <f>(B24/2)*1.07</f>
        <v>1103.1110073333334</v>
      </c>
      <c r="C25" s="9">
        <f aca="true" t="shared" si="3" ref="C25:S25">(C24/2)*1.07</f>
        <v>1152.9446808666667</v>
      </c>
      <c r="D25" s="9">
        <f t="shared" si="3"/>
        <v>1177.8615176333335</v>
      </c>
      <c r="E25" s="9">
        <f t="shared" si="3"/>
        <v>1202.7783544</v>
      </c>
      <c r="F25" s="9">
        <f t="shared" si="3"/>
        <v>1227.6951911666667</v>
      </c>
      <c r="G25" s="9">
        <f t="shared" si="3"/>
        <v>1252.6120279333331</v>
      </c>
      <c r="H25" s="9">
        <f t="shared" si="3"/>
        <v>1302.4457014666666</v>
      </c>
      <c r="I25" s="9">
        <f t="shared" si="3"/>
        <v>1352.279375</v>
      </c>
      <c r="J25" s="9">
        <f t="shared" si="3"/>
        <v>1402.1130485333333</v>
      </c>
      <c r="K25" s="9">
        <f t="shared" si="3"/>
        <v>1501.7803955999998</v>
      </c>
      <c r="L25" s="9">
        <f t="shared" si="3"/>
        <v>1601.4477426666665</v>
      </c>
      <c r="M25" s="9">
        <f t="shared" si="3"/>
        <v>1701.115089733333</v>
      </c>
      <c r="N25" s="9">
        <f t="shared" si="3"/>
        <v>1850.6161103333334</v>
      </c>
      <c r="O25" s="9">
        <f t="shared" si="3"/>
        <v>1900.4497838666668</v>
      </c>
      <c r="P25" s="9">
        <f t="shared" si="3"/>
        <v>1950.2834573999999</v>
      </c>
      <c r="Q25" s="9">
        <f t="shared" si="3"/>
        <v>2000.1171309333336</v>
      </c>
      <c r="R25" s="9">
        <f t="shared" si="3"/>
        <v>2049.9508044666663</v>
      </c>
      <c r="S25" s="9">
        <f t="shared" si="3"/>
        <v>2099.784478</v>
      </c>
    </row>
    <row r="26" spans="1:19" ht="15">
      <c r="A26" s="4" t="s">
        <v>5</v>
      </c>
      <c r="B26" s="16">
        <f>(((B22*0.00314)*0.5)*'Технический лист'!$I$11)+310+(((B23*0.00314)*0.5)*'Технический лист'!$I$5)*2.8</f>
        <v>1986.8018666666667</v>
      </c>
      <c r="C26" s="16">
        <f>(((C22*0.00314)*0.5)*'Технический лист'!$I$11)+310+(((C23*0.00314)*0.5)*'Технический лист'!$I$5)*2.8</f>
        <v>2075.969493333333</v>
      </c>
      <c r="D26" s="16">
        <f>(((D22*0.00314)*0.5)*'Технический лист'!$I$11)+310+(((D23*0.00314)*0.5)*'Технический лист'!$I$5)*2.8</f>
        <v>2120.5533066666667</v>
      </c>
      <c r="E26" s="16">
        <f>(((E22*0.00314)*0.5)*'Технический лист'!$I$11)+310+(((E23*0.00314)*0.5)*'Технический лист'!$I$5)*2.8</f>
        <v>2165.13712</v>
      </c>
      <c r="F26" s="16">
        <f>(((F22*0.00314)*0.5)*'Технический лист'!$I$11)+310+(((F23*0.00314)*0.5)*'Технический лист'!$I$5)*2.8</f>
        <v>2209.720933333333</v>
      </c>
      <c r="G26" s="16">
        <f>(((G22*0.00314)*0.5)*'Технический лист'!$I$11)+310+(((G23*0.00314)*0.5)*'Технический лист'!$I$5)*2.8</f>
        <v>2254.3047466666662</v>
      </c>
      <c r="H26" s="16">
        <f>(((H22*0.00314)*0.5)*'Технический лист'!$I$11)+310+(((H23*0.00314)*0.5)*'Технический лист'!$I$5)*2.8</f>
        <v>2343.4723733333335</v>
      </c>
      <c r="I26" s="16">
        <f>(((I22*0.00314)*0.5)*'Технический лист'!$I$11)+310+(((I23*0.00314)*0.5)*'Технический лист'!$I$5)*2.8</f>
        <v>2432.64</v>
      </c>
      <c r="J26" s="16">
        <f>(((J22*0.00314)*0.5)*'Технический лист'!$I$11)+310+(((J23*0.00314)*0.5)*'Технический лист'!$I$5)*2.8</f>
        <v>2521.8076266666667</v>
      </c>
      <c r="K26" s="16">
        <f>(((K22*0.00314)*0.5)*'Технический лист'!$I$11)+310+(((K23*0.00314)*0.5)*'Технический лист'!$I$5)*2.8</f>
        <v>2700.14288</v>
      </c>
      <c r="L26" s="16">
        <f>(((L22*0.00314)*0.5)*'Технический лист'!$I$11)+310+(((L23*0.00314)*0.5)*'Технический лист'!$I$5)*2.8</f>
        <v>2878.478133333333</v>
      </c>
      <c r="M26" s="16">
        <f>(((M22*0.00314)*0.5)*'Технический лист'!$I$11)+310+(((M23*0.00314)*0.5)*'Технический лист'!$I$5)*2.8</f>
        <v>3056.8133866666667</v>
      </c>
      <c r="N26" s="16">
        <f>(((N22*0.00314)*0.5)*'Технический лист'!$I$11)+310+(((N23*0.00314)*0.5)*'Технический лист'!$I$5)*2.8</f>
        <v>3324.3162666666663</v>
      </c>
      <c r="O26" s="16">
        <f>(((O22*0.00314)*0.5)*'Технический лист'!$I$11)+310+(((O23*0.00314)*0.5)*'Технический лист'!$I$5)*2.8</f>
        <v>3413.483893333333</v>
      </c>
      <c r="P26" s="16">
        <f>(((P22*0.00314)*0.5)*'Технический лист'!$I$11)+310+(((P23*0.00314)*0.5)*'Технический лист'!$I$5)*2.8</f>
        <v>3502.65152</v>
      </c>
      <c r="Q26" s="16">
        <f>(((Q22*0.00314)*0.5)*'Технический лист'!$I$11)+310+(((Q23*0.00314)*0.5)*'Технический лист'!$I$5)*2.8</f>
        <v>3591.8191466666667</v>
      </c>
      <c r="R26" s="16">
        <f>(((R22*0.00314)*0.5)*'Технический лист'!$I$11)+310+(((R23*0.00314)*0.5)*'Технический лист'!$I$5)*2.8</f>
        <v>3680.986773333333</v>
      </c>
      <c r="S26" s="16">
        <f>(((S22*0.00314)*0.5)*'Технический лист'!$I$11)+310+(((S23*0.00314)*0.5)*'Технический лист'!$I$5)*2.8</f>
        <v>3770.1544</v>
      </c>
    </row>
    <row r="27" spans="1:19" ht="15">
      <c r="A27" s="4" t="s">
        <v>96</v>
      </c>
      <c r="B27" s="9">
        <f>(B26*2)/3</f>
        <v>1324.5345777777777</v>
      </c>
      <c r="C27" s="9">
        <f aca="true" t="shared" si="4" ref="C27:S27">(C26*2)/3</f>
        <v>1383.979662222222</v>
      </c>
      <c r="D27" s="9">
        <f t="shared" si="4"/>
        <v>1413.7022044444445</v>
      </c>
      <c r="E27" s="9">
        <f t="shared" si="4"/>
        <v>1443.4247466666666</v>
      </c>
      <c r="F27" s="9">
        <f t="shared" si="4"/>
        <v>1473.1472888888886</v>
      </c>
      <c r="G27" s="9">
        <f t="shared" si="4"/>
        <v>1502.869831111111</v>
      </c>
      <c r="H27" s="9">
        <f t="shared" si="4"/>
        <v>1562.3149155555557</v>
      </c>
      <c r="I27" s="9">
        <f t="shared" si="4"/>
        <v>1621.76</v>
      </c>
      <c r="J27" s="9">
        <f t="shared" si="4"/>
        <v>1681.2050844444445</v>
      </c>
      <c r="K27" s="9">
        <f t="shared" si="4"/>
        <v>1800.0952533333332</v>
      </c>
      <c r="L27" s="9">
        <f t="shared" si="4"/>
        <v>1918.985422222222</v>
      </c>
      <c r="M27" s="9">
        <f t="shared" si="4"/>
        <v>2037.8755911111111</v>
      </c>
      <c r="N27" s="9">
        <f t="shared" si="4"/>
        <v>2216.2108444444443</v>
      </c>
      <c r="O27" s="9">
        <f t="shared" si="4"/>
        <v>2275.655928888889</v>
      </c>
      <c r="P27" s="9">
        <f t="shared" si="4"/>
        <v>2335.1010133333334</v>
      </c>
      <c r="Q27" s="9">
        <f t="shared" si="4"/>
        <v>2394.546097777778</v>
      </c>
      <c r="R27" s="9">
        <f t="shared" si="4"/>
        <v>2453.991182222222</v>
      </c>
      <c r="S27" s="9">
        <f t="shared" si="4"/>
        <v>2513.4362666666666</v>
      </c>
    </row>
    <row r="28" spans="1:19" ht="15">
      <c r="A28" s="4" t="s">
        <v>6</v>
      </c>
      <c r="B28" s="16">
        <f>(((B22*0.00314)*0.22)*'Технический лист'!$M$11)+100+(((B23*0.00314)*0.21)*'Технический лист'!$O$5)+(((B22+30)*(B22+30)/1000000)*'Технический лист'!$E$19)*5.7</f>
        <v>722.6573733333332</v>
      </c>
      <c r="C28" s="16">
        <f>(((C22*0.00314)*0.22)*'Технический лист'!$M$11)+100+(((C23*0.00314)*0.21)*'Технический лист'!$O$5)+(((C22+30)*(C22+30)/1000000)*'Технический лист'!$E$19)*5.7</f>
        <v>786.0221066666666</v>
      </c>
      <c r="D28" s="16">
        <f>(((D22*0.00314)*0.22)*'Технический лист'!$M$11)+100+(((D23*0.00314)*0.21)*'Технический лист'!$O$5)+(((D22+30)*(D22+30)/1000000)*'Технический лист'!$E$19)*5.7</f>
        <v>818.7732233333334</v>
      </c>
      <c r="E28" s="16">
        <f>(((E22*0.00314)*0.22)*'Технический лист'!$M$11)+100+(((E23*0.00314)*0.21)*'Технический лист'!$O$5)+(((E22+30)*(E22+30)/1000000)*'Технический лист'!$E$19)*5.7</f>
        <v>852.23684</v>
      </c>
      <c r="F28" s="16">
        <f>(((F22*0.00314)*0.22)*'Технический лист'!$M$11)+100+(((F23*0.00314)*0.21)*'Технический лист'!$O$5)+(((F22+30)*(F22+30)/1000000)*'Технический лист'!$E$19)*5.7</f>
        <v>886.4129566666668</v>
      </c>
      <c r="G28" s="16">
        <f>(((G22*0.00314)*0.22)*'Технический лист'!$M$11)+100+(((G23*0.00314)*0.21)*'Технический лист'!$O$5)+(((G22+30)*(G22+30)/1000000)*'Технический лист'!$E$19)*5.7</f>
        <v>921.3015733333334</v>
      </c>
      <c r="H28" s="16">
        <f>(((H22*0.00314)*0.22)*'Технический лист'!$M$11)+100+(((H23*0.00314)*0.21)*'Технический лист'!$O$5)+(((H22+30)*(H22+30)/1000000)*'Технический лист'!$E$19)*5.7</f>
        <v>993.2163066666667</v>
      </c>
      <c r="I28" s="16">
        <f>(((I22*0.00314)*0.22)*'Технический лист'!$M$11)+100+(((I23*0.00314)*0.21)*'Технический лист'!$O$5)+(((I22+30)*(I22+30)/1000000)*'Технический лист'!$E$19)*5.7</f>
        <v>1067.9810400000001</v>
      </c>
      <c r="J28" s="16">
        <f>(((J22*0.00314)*0.22)*'Технический лист'!$M$11)+100+(((J23*0.00314)*0.21)*'Технический лист'!$O$5)+(((J22+30)*(J22+30)/1000000)*'Технический лист'!$E$19)*5.7</f>
        <v>1145.5957733333335</v>
      </c>
      <c r="K28" s="16">
        <f>(((K22*0.00314)*0.22)*'Технический лист'!$M$11)+100+(((K23*0.00314)*0.21)*'Технический лист'!$O$5)+(((K22+30)*(K22+30)/1000000)*'Технический лист'!$E$19)*5.7</f>
        <v>1309.3752399999998</v>
      </c>
      <c r="L28" s="16">
        <f>(((L22*0.00314)*0.22)*'Технический лист'!$M$11)+100+(((L23*0.00314)*0.21)*'Технический лист'!$O$5)+(((L22+30)*(L22+30)/1000000)*'Технический лист'!$E$19)*5.7</f>
        <v>1484.5547066666668</v>
      </c>
      <c r="M28" s="16">
        <f>(((M22*0.00314)*0.22)*'Технический лист'!$M$11)+100+(((M23*0.00314)*0.21)*'Технический лист'!$O$5)+(((M22+30)*(M22+30)/1000000)*'Технический лист'!$E$19)*5.7</f>
        <v>1671.1341733333334</v>
      </c>
      <c r="N28" s="16">
        <f>(((N22*0.00314)*0.22)*'Технический лист'!$M$11)+100+(((N23*0.00314)*0.21)*'Технический лист'!$O$5)+(((N22+30)*(N22+30)/1000000)*'Технический лист'!$E$19)*5.7</f>
        <v>1972.3783733333335</v>
      </c>
      <c r="O28" s="16">
        <f>(((O22*0.00314)*0.22)*'Технический лист'!$M$11)+100+(((O23*0.00314)*0.21)*'Технический лист'!$O$5)+(((O22+30)*(O22+30)/1000000)*'Технический лист'!$E$19)*5.7</f>
        <v>2078.493106666667</v>
      </c>
      <c r="P28" s="16">
        <f>(((P22*0.00314)*0.22)*'Технический лист'!$M$11)+100+(((P23*0.00314)*0.21)*'Технический лист'!$O$5)+(((P22+30)*(P22+30)/1000000)*'Технический лист'!$E$19)*5.7</f>
        <v>2187.45784</v>
      </c>
      <c r="Q28" s="16">
        <f>(((Q22*0.00314)*0.22)*'Технический лист'!$M$11)+100+(((Q23*0.00314)*0.21)*'Технический лист'!$O$5)+(((Q22+30)*(Q22+30)/1000000)*'Технический лист'!$E$19)*5.7</f>
        <v>2299.272573333333</v>
      </c>
      <c r="R28" s="16">
        <f>(((R22*0.00314)*0.22)*'Технический лист'!$M$11)+100+(((R23*0.00314)*0.21)*'Технический лист'!$O$5)+(((R22+30)*(R22+30)/1000000)*'Технический лист'!$E$19)*5.7</f>
        <v>2413.9373066666667</v>
      </c>
      <c r="S28" s="16">
        <f>(((S22*0.00314)*0.22)*'Технический лист'!$M$11)+100+(((S23*0.00314)*0.21)*'Технический лист'!$O$5)+(((S22+30)*(S22+30)/1000000)*'Технический лист'!$E$19)*5.7</f>
        <v>2531.45204</v>
      </c>
    </row>
    <row r="29" spans="1:19" ht="15">
      <c r="A29" s="4" t="s">
        <v>7</v>
      </c>
      <c r="B29" s="9">
        <f>B28*1.8</f>
        <v>1300.783272</v>
      </c>
      <c r="C29" s="9">
        <f aca="true" t="shared" si="5" ref="C29:S29">C28*1.8</f>
        <v>1414.8397919999998</v>
      </c>
      <c r="D29" s="9">
        <f t="shared" si="5"/>
        <v>1473.7918020000002</v>
      </c>
      <c r="E29" s="9">
        <f t="shared" si="5"/>
        <v>1534.0263120000002</v>
      </c>
      <c r="F29" s="9">
        <f t="shared" si="5"/>
        <v>1595.5433220000002</v>
      </c>
      <c r="G29" s="9">
        <f t="shared" si="5"/>
        <v>1658.3428320000003</v>
      </c>
      <c r="H29" s="9">
        <f t="shared" si="5"/>
        <v>1787.789352</v>
      </c>
      <c r="I29" s="9">
        <f t="shared" si="5"/>
        <v>1922.3658720000003</v>
      </c>
      <c r="J29" s="9">
        <f t="shared" si="5"/>
        <v>2062.0723920000005</v>
      </c>
      <c r="K29" s="9">
        <f t="shared" si="5"/>
        <v>2356.875432</v>
      </c>
      <c r="L29" s="9">
        <f t="shared" si="5"/>
        <v>2672.1984720000005</v>
      </c>
      <c r="M29" s="9">
        <f t="shared" si="5"/>
        <v>3008.0415120000002</v>
      </c>
      <c r="N29" s="9">
        <f t="shared" si="5"/>
        <v>3550.281072</v>
      </c>
      <c r="O29" s="9">
        <f t="shared" si="5"/>
        <v>3741.287592</v>
      </c>
      <c r="P29" s="9">
        <f t="shared" si="5"/>
        <v>3937.424112</v>
      </c>
      <c r="Q29" s="9">
        <f t="shared" si="5"/>
        <v>4138.690632</v>
      </c>
      <c r="R29" s="9">
        <f t="shared" si="5"/>
        <v>4345.087152</v>
      </c>
      <c r="S29" s="9">
        <f t="shared" si="5"/>
        <v>4556.613672</v>
      </c>
    </row>
    <row r="30" spans="1:19" ht="15">
      <c r="A30" s="4" t="s">
        <v>8</v>
      </c>
      <c r="B30" s="16">
        <f>(((B22*0.00314)*0.2)*'Технический лист'!$M$11)+50+(((B23*0.00314)*0.22)*'Технический лист'!$O$5)*2</f>
        <v>712.4813866666668</v>
      </c>
      <c r="C30" s="16">
        <f>(((C22*0.00314)*0.2)*'Технический лист'!$M$11)+50+(((C23*0.00314)*0.22)*'Технический лист'!$O$5)*2</f>
        <v>750.8764693333334</v>
      </c>
      <c r="D30" s="16">
        <f>(((D22*0.00314)*0.2)*'Технический лист'!$M$11)+50+(((D23*0.00314)*0.22)*'Технический лист'!$O$5)*2</f>
        <v>770.0740106666667</v>
      </c>
      <c r="E30" s="16">
        <f>(((E22*0.00314)*0.2)*'Технический лист'!$M$11)+50+(((E23*0.00314)*0.22)*'Технический лист'!$O$5)*2</f>
        <v>789.271552</v>
      </c>
      <c r="F30" s="16">
        <f>(((F22*0.00314)*0.2)*'Технический лист'!$M$11)+50+(((F23*0.00314)*0.22)*'Технический лист'!$O$5)*2</f>
        <v>808.4690933333334</v>
      </c>
      <c r="G30" s="16">
        <f>(((G22*0.00314)*0.2)*'Технический лист'!$M$11)+50+(((G23*0.00314)*0.22)*'Технический лист'!$O$5)*2</f>
        <v>827.6666346666666</v>
      </c>
      <c r="H30" s="16">
        <f>(((H22*0.00314)*0.2)*'Технический лист'!$M$11)+50+(((H23*0.00314)*0.22)*'Технический лист'!$O$5)*2</f>
        <v>866.0617173333335</v>
      </c>
      <c r="I30" s="16">
        <f>(((I22*0.00314)*0.2)*'Технический лист'!$M$11)+50+(((I23*0.00314)*0.22)*'Технический лист'!$O$5)*2</f>
        <v>904.4568</v>
      </c>
      <c r="J30" s="16">
        <f>(((J22*0.00314)*0.2)*'Технический лист'!$M$11)+50+(((J23*0.00314)*0.22)*'Технический лист'!$O$5)*2</f>
        <v>942.8518826666667</v>
      </c>
      <c r="K30" s="16">
        <f>(((K22*0.00314)*0.2)*'Технический лист'!$M$11)+50+(((K23*0.00314)*0.22)*'Технический лист'!$O$5)*2</f>
        <v>1019.6420479999999</v>
      </c>
      <c r="L30" s="16">
        <f>(((L22*0.00314)*0.2)*'Технический лист'!$M$11)+50+(((L23*0.00314)*0.22)*'Технический лист'!$O$5)*2</f>
        <v>1096.4322133333333</v>
      </c>
      <c r="M30" s="16">
        <f>(((M22*0.00314)*0.2)*'Технический лист'!$M$11)+50+(((M23*0.00314)*0.22)*'Технический лист'!$O$5)*2</f>
        <v>1173.2223786666666</v>
      </c>
      <c r="N30" s="16">
        <f>(((N22*0.00314)*0.2)*'Технический лист'!$M$11)+50+(((N23*0.00314)*0.22)*'Технический лист'!$O$5)*2</f>
        <v>1288.4076266666666</v>
      </c>
      <c r="O30" s="16">
        <f>(((O22*0.00314)*0.2)*'Технический лист'!$M$11)+50+(((O23*0.00314)*0.22)*'Технический лист'!$O$5)*2</f>
        <v>1326.8027093333335</v>
      </c>
      <c r="P30" s="16">
        <f>(((P22*0.00314)*0.2)*'Технический лист'!$M$11)+50+(((P23*0.00314)*0.22)*'Технический лист'!$O$5)*2</f>
        <v>1365.197792</v>
      </c>
      <c r="Q30" s="16">
        <f>(((Q22*0.00314)*0.2)*'Технический лист'!$M$11)+50+(((Q23*0.00314)*0.22)*'Технический лист'!$O$5)*2</f>
        <v>1403.5928746666668</v>
      </c>
      <c r="R30" s="16">
        <f>(((R22*0.00314)*0.2)*'Технический лист'!$M$11)+50+(((R23*0.00314)*0.22)*'Технический лист'!$O$5)*2</f>
        <v>1441.9879573333333</v>
      </c>
      <c r="S30" s="16">
        <f>(((S22*0.00314)*0.2)*'Технический лист'!$M$11)+50+(((S23*0.00314)*0.22)*'Технический лист'!$O$5)*2</f>
        <v>1480.3830400000002</v>
      </c>
    </row>
    <row r="31" spans="1:19" ht="15">
      <c r="A31" s="4" t="s">
        <v>99</v>
      </c>
      <c r="B31" s="16">
        <v>2150</v>
      </c>
      <c r="C31" s="16">
        <v>2285</v>
      </c>
      <c r="D31" s="16">
        <v>2350</v>
      </c>
      <c r="E31" s="16">
        <v>2410</v>
      </c>
      <c r="F31" s="16">
        <v>2480</v>
      </c>
      <c r="G31" s="16">
        <v>2545</v>
      </c>
      <c r="H31" s="16">
        <v>2680</v>
      </c>
      <c r="I31" s="16">
        <v>2825</v>
      </c>
      <c r="J31" s="16">
        <v>2970</v>
      </c>
      <c r="K31" s="16">
        <v>3265</v>
      </c>
      <c r="L31" s="16">
        <v>3575</v>
      </c>
      <c r="M31" s="16">
        <v>3900</v>
      </c>
      <c r="N31" s="16">
        <v>4410</v>
      </c>
      <c r="O31" s="16">
        <v>4585</v>
      </c>
      <c r="P31" s="16">
        <v>4765</v>
      </c>
      <c r="Q31" s="16">
        <v>4945</v>
      </c>
      <c r="R31" s="16">
        <v>5130</v>
      </c>
      <c r="S31" s="16">
        <v>5320</v>
      </c>
    </row>
    <row r="32" spans="1:19" ht="15">
      <c r="A32" s="4" t="s">
        <v>102</v>
      </c>
      <c r="B32" s="16">
        <v>2150</v>
      </c>
      <c r="C32" s="16">
        <v>2285</v>
      </c>
      <c r="D32" s="16">
        <v>2350</v>
      </c>
      <c r="E32" s="16">
        <v>2410</v>
      </c>
      <c r="F32" s="16">
        <v>2480</v>
      </c>
      <c r="G32" s="16">
        <v>2545</v>
      </c>
      <c r="H32" s="16">
        <v>2680</v>
      </c>
      <c r="I32" s="16">
        <v>2825</v>
      </c>
      <c r="J32" s="16">
        <v>2970</v>
      </c>
      <c r="K32" s="16">
        <v>3265</v>
      </c>
      <c r="L32" s="16">
        <v>3575</v>
      </c>
      <c r="M32" s="16">
        <v>3900</v>
      </c>
      <c r="N32" s="16">
        <v>4410</v>
      </c>
      <c r="O32" s="16">
        <v>4585</v>
      </c>
      <c r="P32" s="16">
        <v>4765</v>
      </c>
      <c r="Q32" s="16">
        <v>4945</v>
      </c>
      <c r="R32" s="16">
        <v>5130</v>
      </c>
      <c r="S32" s="16">
        <v>5320</v>
      </c>
    </row>
    <row r="33" spans="1:19" ht="15">
      <c r="A33" s="4" t="s">
        <v>9</v>
      </c>
      <c r="B33" s="9">
        <f>(((B22*0.00314)*((B22+545)/1000))*'Технический лист'!$K$11)+370+((B23*0.00314)*((B23+450)/1000))*'Технический лист'!$K$5*2.7</f>
        <v>2674.2576</v>
      </c>
      <c r="C33" s="9">
        <f>(((C22*0.00314)*((C22+545)/1000))*'Технический лист'!$K$11)+370+((C23*0.00314)*((C23+450)/1000))*'Технический лист'!$K$5*2.7</f>
        <v>2833.6893834666666</v>
      </c>
      <c r="D33" s="9">
        <f>(((D22*0.00314)*((D22+545)/1000))*'Технический лист'!$K$11)+370+((D23*0.00314)*((D23+450)/1000))*'Технический лист'!$K$5*2.7</f>
        <v>2914.8151823000003</v>
      </c>
      <c r="E33" s="9">
        <f>(((E22*0.00314)*((E22+545)/1000))*'Технический лист'!$K$11)+370+((E23*0.00314)*((E23+450)/1000))*'Технический лист'!$K$5*2.7</f>
        <v>2996.880919200001</v>
      </c>
      <c r="F33" s="9">
        <f>(((F22*0.00314)*((F22+545)/1000))*'Технический лист'!$K$11)+370+((F23*0.00314)*((F23+450)/1000))*'Технический лист'!$K$5*2.7</f>
        <v>3079.8865941666672</v>
      </c>
      <c r="G33" s="9">
        <f>(((G22*0.00314)*((G22+545)/1000))*'Технический лист'!$K$11)+370+((G23*0.00314)*((G23+450)/1000))*'Технический лист'!$K$5*2.7</f>
        <v>3163.8322072</v>
      </c>
      <c r="H33" s="9">
        <f>(((H22*0.00314)*((H22+545)/1000))*'Технический лист'!$K$11)+370+((H23*0.00314)*((H23+450)/1000))*'Технический лист'!$K$5*2.7</f>
        <v>3334.543247466667</v>
      </c>
      <c r="I33" s="9">
        <f>(((I22*0.00314)*((I22+545)/1000))*'Технический лист'!$K$11)+370+((I23*0.00314)*((I23+450)/1000))*'Технический лист'!$K$5*2.7</f>
        <v>3509.01404</v>
      </c>
      <c r="J33" s="9">
        <f>(((J22*0.00314)*((J22+545)/1000))*'Технический лист'!$K$11)+370+((J23*0.00314)*((J23+450)/1000))*'Технический лист'!$K$5*2.7</f>
        <v>3687.2445847999998</v>
      </c>
      <c r="K33" s="9">
        <f>(((K22*0.00314)*((K22+545)/1000))*'Технический лист'!$K$11)+370+((K23*0.00314)*((K23+450)/1000))*'Технический лист'!$K$5*2.7</f>
        <v>4054.9849312</v>
      </c>
      <c r="L33" s="9">
        <f>(((L22*0.00314)*((L22+545)/1000))*'Технический лист'!$K$11)+370+((L23*0.00314)*((L23+450)/1000))*'Технический лист'!$K$5*2.7</f>
        <v>4437.7642866666665</v>
      </c>
      <c r="M33" s="9">
        <f>(((M22*0.00314)*((M22+545)/1000))*'Технический лист'!$K$11)+370+((M23*0.00314)*((M23+450)/1000))*'Технический лист'!$K$5*2.7</f>
        <v>4835.582651199999</v>
      </c>
      <c r="N33" s="9">
        <f>(((N22*0.00314)*((N22+545)/1000))*'Технический лист'!$K$11)+370+((N23*0.00314)*((N23+450)/1000))*'Технический лист'!$K$5*2.7</f>
        <v>5460.50834</v>
      </c>
      <c r="O33" s="9">
        <f>(((O22*0.00314)*((O22+545)/1000))*'Технический лист'!$K$11)+370+((O23*0.00314)*((O23+450)/1000))*'Технический лист'!$K$5*2.7</f>
        <v>5676.336407466668</v>
      </c>
      <c r="P33" s="9">
        <f>(((P22*0.00314)*((P22+545)/1000))*'Технический лист'!$K$11)+370+((P23*0.00314)*((P23+450)/1000))*'Технический лист'!$K$5*2.7</f>
        <v>5895.9242272</v>
      </c>
      <c r="Q33" s="9">
        <f>(((Q22*0.00314)*((Q22+545)/1000))*'Технический лист'!$K$11)+370+((Q23*0.00314)*((Q23+450)/1000))*'Технический лист'!$K$5*2.7</f>
        <v>6119.271799200001</v>
      </c>
      <c r="R33" s="9">
        <f>(((R22*0.00314)*((R22+545)/1000))*'Технический лист'!$K$11)+370+((R23*0.00314)*((R23+450)/1000))*'Технический лист'!$K$5*2.7</f>
        <v>6346.379123466666</v>
      </c>
      <c r="S33" s="9">
        <f>(((S22*0.00314)*((S22+545)/1000))*'Технический лист'!$K$11)+370+((S23*0.00314)*((S23+450)/1000))*'Технический лист'!$K$5*2.7</f>
        <v>6577.2462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:C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S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t="shared" si="0"/>
        <v>360</v>
      </c>
      <c r="P7" s="10">
        <f t="shared" si="0"/>
        <v>370</v>
      </c>
      <c r="Q7" s="10">
        <f t="shared" si="0"/>
        <v>380</v>
      </c>
      <c r="R7" s="10">
        <f t="shared" si="0"/>
        <v>390</v>
      </c>
      <c r="S7" s="10">
        <f t="shared" si="0"/>
        <v>400</v>
      </c>
    </row>
    <row r="8" spans="1:19" ht="15">
      <c r="A8" s="4" t="s">
        <v>4</v>
      </c>
      <c r="B8" s="16">
        <f>(((B6*0.00314)*'Технический лист'!$G$10)+365+((B7*0.00314)*'Технический лист'!$G$11))*1.83</f>
        <v>2388.9344124675326</v>
      </c>
      <c r="C8" s="16">
        <f>(((C6*0.00314)*'Технический лист'!$G$10)+365+((C7*0.00314)*'Технический лист'!$G$11))*1.83</f>
        <v>2540.7104597142857</v>
      </c>
      <c r="D8" s="16">
        <f>(((D6*0.00314)*'Технический лист'!$G$10)+365+((D7*0.00314)*'Технический лист'!$G$11))*1.83</f>
        <v>2616.598483337662</v>
      </c>
      <c r="E8" s="16">
        <f>(((E6*0.00314)*'Технический лист'!$G$10)+365+((E7*0.00314)*'Технический лист'!$G$11))*1.83</f>
        <v>2692.486506961039</v>
      </c>
      <c r="F8" s="16">
        <f>(((F6*0.00314)*'Технический лист'!$G$10)+365+((F7*0.00314)*'Технический лист'!$G$11))*1.83</f>
        <v>2768.3745305844154</v>
      </c>
      <c r="G8" s="16">
        <f>(((G6*0.00314)*'Технический лист'!$G$10)+365+((G7*0.00314)*'Технический лист'!$G$11))*1.83</f>
        <v>2844.2625542077917</v>
      </c>
      <c r="H8" s="16">
        <f>(((H6*0.00314)*'Технический лист'!$G$10)+365+((H7*0.00314)*'Технический лист'!$G$11))*1.83</f>
        <v>2996.0386014545456</v>
      </c>
      <c r="I8" s="16">
        <f>(((I6*0.00314)*'Технический лист'!$G$10)+365+((I7*0.00314)*'Технический лист'!$G$11))*1.83</f>
        <v>3147.8146487012987</v>
      </c>
      <c r="J8" s="16">
        <f>(((J6*0.00314)*'Технический лист'!$G$10)+365+((J7*0.00314)*'Технический лист'!$G$11))*1.83</f>
        <v>3299.5906959480512</v>
      </c>
      <c r="K8" s="16">
        <f>(((K6*0.00314)*'Технический лист'!$G$10)+365+((K7*0.00314)*'Технический лист'!$G$11))*1.83</f>
        <v>3603.142790441558</v>
      </c>
      <c r="L8" s="16">
        <f>(((L6*0.00314)*'Технический лист'!$G$10)+365+((L7*0.00314)*'Технический лист'!$G$11))*1.83</f>
        <v>3906.6948849350647</v>
      </c>
      <c r="M8" s="16">
        <f>(((M6*0.00314)*'Технический лист'!$G$10)+365+((M7*0.00314)*'Технический лист'!$G$11))*1.83</f>
        <v>4210.246979428571</v>
      </c>
      <c r="N8" s="16">
        <f>(((N6*0.00314)*'Технический лист'!$G$10)+365+((N7*0.00314)*'Технический лист'!$G$11))*1.83</f>
        <v>4665.575121168831</v>
      </c>
      <c r="O8" s="16">
        <f>(((O6*0.00314)*'Технический лист'!$G$10)+365+((O7*0.00314)*'Технический лист'!$G$11))*1.83</f>
        <v>4817.351168415584</v>
      </c>
      <c r="P8" s="16">
        <f>(((P6*0.00314)*'Технический лист'!$G$10)+365+((P7*0.00314)*'Технический лист'!$G$11))*1.83</f>
        <v>4969.127215662337</v>
      </c>
      <c r="Q8" s="16">
        <f>(((Q6*0.00314)*'Технический лист'!$G$10)+365+((Q7*0.00314)*'Технический лист'!$G$11))*1.83</f>
        <v>5120.90326290909</v>
      </c>
      <c r="R8" s="16">
        <f>(((R6*0.00314)*'Технический лист'!$G$10)+365+((R7*0.00314)*'Технический лист'!$G$11))*1.83</f>
        <v>5272.679310155843</v>
      </c>
      <c r="S8" s="16">
        <f>(((S6*0.00314)*'Технический лист'!$G$10)+365+((S7*0.00314)*'Технический лист'!$G$11))*1.83</f>
        <v>5424.455357402598</v>
      </c>
    </row>
    <row r="9" spans="1:19" ht="15">
      <c r="A9" s="4" t="s">
        <v>3</v>
      </c>
      <c r="B9" s="9">
        <f>((B8/2)*1.07)-10</f>
        <v>1268.07991067013</v>
      </c>
      <c r="C9" s="9">
        <f aca="true" t="shared" si="1" ref="C9:S9">((C8/2)*1.07)-10</f>
        <v>1349.2800959471429</v>
      </c>
      <c r="D9" s="9">
        <f t="shared" si="1"/>
        <v>1389.8801885856492</v>
      </c>
      <c r="E9" s="9">
        <f t="shared" si="1"/>
        <v>1430.480281224156</v>
      </c>
      <c r="F9" s="9">
        <f t="shared" si="1"/>
        <v>1471.0803738626623</v>
      </c>
      <c r="G9" s="9">
        <f t="shared" si="1"/>
        <v>1511.6804665011687</v>
      </c>
      <c r="H9" s="9">
        <f t="shared" si="1"/>
        <v>1592.880651778182</v>
      </c>
      <c r="I9" s="9">
        <f t="shared" si="1"/>
        <v>1674.080837055195</v>
      </c>
      <c r="J9" s="9">
        <f t="shared" si="1"/>
        <v>1755.2810223322076</v>
      </c>
      <c r="K9" s="9">
        <f t="shared" si="1"/>
        <v>1917.6813928862337</v>
      </c>
      <c r="L9" s="9">
        <f t="shared" si="1"/>
        <v>2080.0817634402597</v>
      </c>
      <c r="M9" s="9">
        <f t="shared" si="1"/>
        <v>2242.4821339942855</v>
      </c>
      <c r="N9" s="9">
        <f t="shared" si="1"/>
        <v>2486.082689825325</v>
      </c>
      <c r="O9" s="9">
        <f t="shared" si="1"/>
        <v>2567.2828751023376</v>
      </c>
      <c r="P9" s="9">
        <f t="shared" si="1"/>
        <v>2648.4830603793507</v>
      </c>
      <c r="Q9" s="9">
        <f t="shared" si="1"/>
        <v>2729.6832456563634</v>
      </c>
      <c r="R9" s="9">
        <f t="shared" si="1"/>
        <v>2810.8834309333765</v>
      </c>
      <c r="S9" s="9">
        <f t="shared" si="1"/>
        <v>2892.08361621039</v>
      </c>
    </row>
    <row r="10" spans="1:19" ht="15">
      <c r="A10" s="4" t="s">
        <v>5</v>
      </c>
      <c r="B10" s="16">
        <f>((((B6*0.00314)*0.5)*'Технический лист'!$I$10)+310+(((B7*0.00314)*0.5)*'Технический лист'!$I$11))*1.9</f>
        <v>1935.8232086580085</v>
      </c>
      <c r="C10" s="16">
        <f>((((C6*0.00314)*0.5)*'Технический лист'!$I$10)+310+(((C7*0.00314)*0.5)*'Технический лист'!$I$11))*1.9</f>
        <v>2050.2609028571424</v>
      </c>
      <c r="D10" s="16">
        <f>((((D6*0.00314)*0.5)*'Технический лист'!$I$10)+310+(((D7*0.00314)*0.5)*'Технический лист'!$I$11))*1.9</f>
        <v>2107.47974995671</v>
      </c>
      <c r="E10" s="16">
        <f>((((E6*0.00314)*0.5)*'Технический лист'!$I$10)+310+(((E7*0.00314)*0.5)*'Технический лист'!$I$11))*1.9</f>
        <v>2164.698597056277</v>
      </c>
      <c r="F10" s="16">
        <f>((((F6*0.00314)*0.5)*'Технический лист'!$I$10)+310+(((F7*0.00314)*0.5)*'Технический лист'!$I$11))*1.9</f>
        <v>2221.917444155844</v>
      </c>
      <c r="G10" s="16">
        <f>((((G6*0.00314)*0.5)*'Технический лист'!$I$10)+310+(((G7*0.00314)*0.5)*'Технический лист'!$I$11))*1.9</f>
        <v>2279.136291255411</v>
      </c>
      <c r="H10" s="16">
        <f>((((H6*0.00314)*0.5)*'Технический лист'!$I$10)+310+(((H7*0.00314)*0.5)*'Технический лист'!$I$11))*1.9</f>
        <v>2393.573985454545</v>
      </c>
      <c r="I10" s="16">
        <f>((((I6*0.00314)*0.5)*'Технический лист'!$I$10)+310+(((I7*0.00314)*0.5)*'Технический лист'!$I$11))*1.9</f>
        <v>2508.0116796536795</v>
      </c>
      <c r="J10" s="16">
        <f>((((J6*0.00314)*0.5)*'Технический лист'!$I$10)+310+(((J7*0.00314)*0.5)*'Технический лист'!$I$11))*1.9</f>
        <v>2622.449373852813</v>
      </c>
      <c r="K10" s="16">
        <f>((((K6*0.00314)*0.5)*'Технический лист'!$I$10)+310+(((K7*0.00314)*0.5)*'Технический лист'!$I$11))*1.9</f>
        <v>2851.324762251082</v>
      </c>
      <c r="L10" s="16">
        <f>((((L6*0.00314)*0.5)*'Технический лист'!$I$10)+310+(((L7*0.00314)*0.5)*'Технический лист'!$I$11))*1.9</f>
        <v>3080.2001506493502</v>
      </c>
      <c r="M10" s="16">
        <f>((((M6*0.00314)*0.5)*'Технический лист'!$I$10)+310+(((M7*0.00314)*0.5)*'Технический лист'!$I$11))*1.9</f>
        <v>3309.075539047619</v>
      </c>
      <c r="N10" s="16">
        <f>((((N6*0.00314)*0.5)*'Технический лист'!$I$10)+310+(((N7*0.00314)*0.5)*'Технический лист'!$I$11))*1.9</f>
        <v>3652.3886216450214</v>
      </c>
      <c r="O10" s="16">
        <f>((((O6*0.00314)*0.5)*'Технический лист'!$I$10)+310+(((O7*0.00314)*0.5)*'Технический лист'!$I$11))*1.9</f>
        <v>3766.826315844156</v>
      </c>
      <c r="P10" s="16">
        <f>((((P6*0.00314)*0.5)*'Технический лист'!$I$10)+310+(((P7*0.00314)*0.5)*'Технический лист'!$I$11))*1.9</f>
        <v>3881.26401004329</v>
      </c>
      <c r="Q10" s="16">
        <f>((((Q6*0.00314)*0.5)*'Технический лист'!$I$10)+310+(((Q7*0.00314)*0.5)*'Технический лист'!$I$11))*1.9</f>
        <v>3995.701704242424</v>
      </c>
      <c r="R10" s="16">
        <f>((((R6*0.00314)*0.5)*'Технический лист'!$I$10)+310+(((R7*0.00314)*0.5)*'Технический лист'!$I$11))*1.9</f>
        <v>4110.139398441557</v>
      </c>
      <c r="S10" s="16">
        <f>((((S6*0.00314)*0.5)*'Технический лист'!$I$10)+310+(((S7*0.00314)*0.5)*'Технический лист'!$I$11))*1.9</f>
        <v>4224.577092640692</v>
      </c>
    </row>
    <row r="11" spans="1:19" ht="15">
      <c r="A11" s="4" t="s">
        <v>96</v>
      </c>
      <c r="B11" s="9">
        <f>((B10*2)/3)-6</f>
        <v>1284.5488057720056</v>
      </c>
      <c r="C11" s="9">
        <f aca="true" t="shared" si="2" ref="C11:S11">((C10*2)/3)-6</f>
        <v>1360.8406019047616</v>
      </c>
      <c r="D11" s="9">
        <f t="shared" si="2"/>
        <v>1398.98649997114</v>
      </c>
      <c r="E11" s="9">
        <f t="shared" si="2"/>
        <v>1437.132398037518</v>
      </c>
      <c r="F11" s="9">
        <f t="shared" si="2"/>
        <v>1475.2782961038959</v>
      </c>
      <c r="G11" s="9">
        <f t="shared" si="2"/>
        <v>1513.424194170274</v>
      </c>
      <c r="H11" s="9">
        <f t="shared" si="2"/>
        <v>1589.71599030303</v>
      </c>
      <c r="I11" s="9">
        <f t="shared" si="2"/>
        <v>1666.0077864357863</v>
      </c>
      <c r="J11" s="9">
        <f t="shared" si="2"/>
        <v>1742.299582568542</v>
      </c>
      <c r="K11" s="9">
        <f t="shared" si="2"/>
        <v>1894.8831748340547</v>
      </c>
      <c r="L11" s="9">
        <f t="shared" si="2"/>
        <v>2047.4667670995668</v>
      </c>
      <c r="M11" s="9">
        <f t="shared" si="2"/>
        <v>2200.050359365079</v>
      </c>
      <c r="N11" s="9">
        <f t="shared" si="2"/>
        <v>2428.9257477633478</v>
      </c>
      <c r="O11" s="9">
        <f t="shared" si="2"/>
        <v>2505.217543896104</v>
      </c>
      <c r="P11" s="9">
        <f t="shared" si="2"/>
        <v>2581.50934002886</v>
      </c>
      <c r="Q11" s="9">
        <f t="shared" si="2"/>
        <v>2657.801136161616</v>
      </c>
      <c r="R11" s="9">
        <f t="shared" si="2"/>
        <v>2734.0929322943716</v>
      </c>
      <c r="S11" s="9">
        <f t="shared" si="2"/>
        <v>2810.3847284271283</v>
      </c>
    </row>
    <row r="12" spans="1:19" ht="15">
      <c r="A12" s="4" t="s">
        <v>6</v>
      </c>
      <c r="B12" s="16">
        <f>((((B6*0.00314)*0.22)*'Технический лист'!$M$10)+100+(((B7*0.00314)*0.21)*'Технический лист'!$O$11)+(((B6+30)*(B6+30)/1000000)*'Технический лист'!$E$20))*1.9</f>
        <v>1039.9237211428572</v>
      </c>
      <c r="C12" s="16">
        <f>((((C6*0.00314)*0.22)*'Технический лист'!$M$10)+100+(((C7*0.00314)*0.21)*'Технический лист'!$O$11)+(((C6+30)*(C6+30)/1000000)*'Технический лист'!$E$20))*1.9</f>
        <v>1119.0779100571426</v>
      </c>
      <c r="D12" s="16">
        <f>((((D6*0.00314)*0.22)*'Технический лист'!$M$10)+100+(((D7*0.00314)*0.21)*'Технический лист'!$O$11)+(((D6+30)*(D6+30)/1000000)*'Технический лист'!$E$20))*1.9</f>
        <v>1159.2250045142857</v>
      </c>
      <c r="E12" s="16">
        <f>((((E6*0.00314)*0.22)*'Технический лист'!$M$10)+100+(((E7*0.00314)*0.21)*'Технический лист'!$O$11)+(((E6+30)*(E6+30)/1000000)*'Технический лист'!$E$20))*1.9</f>
        <v>1199.7520989714287</v>
      </c>
      <c r="F12" s="16">
        <f>((((F6*0.00314)*0.22)*'Технический лист'!$M$10)+100+(((F7*0.00314)*0.21)*'Технический лист'!$O$11)+(((F6+30)*(F6+30)/1000000)*'Технический лист'!$E$20))*1.9</f>
        <v>1240.6591934285714</v>
      </c>
      <c r="G12" s="16">
        <f>((((G6*0.00314)*0.22)*'Технический лист'!$M$10)+100+(((G7*0.00314)*0.21)*'Технический лист'!$O$11)+(((G6+30)*(G6+30)/1000000)*'Технический лист'!$E$20))*1.9</f>
        <v>1281.9462878857144</v>
      </c>
      <c r="H12" s="16">
        <f>((((H6*0.00314)*0.22)*'Технический лист'!$M$10)+100+(((H7*0.00314)*0.21)*'Технический лист'!$O$11)+(((H6+30)*(H6+30)/1000000)*'Технический лист'!$E$20))*1.9</f>
        <v>1365.6604768</v>
      </c>
      <c r="I12" s="16">
        <f>((((I6*0.00314)*0.22)*'Технический лист'!$M$10)+100+(((I7*0.00314)*0.21)*'Технический лист'!$O$11)+(((I6+30)*(I6+30)/1000000)*'Технический лист'!$E$20))*1.9</f>
        <v>1450.8946657142856</v>
      </c>
      <c r="J12" s="16">
        <f>((((J6*0.00314)*0.22)*'Технический лист'!$M$10)+100+(((J7*0.00314)*0.21)*'Технический лист'!$O$11)+(((J6+30)*(J6+30)/1000000)*'Технический лист'!$E$20))*1.9</f>
        <v>1537.6488546285711</v>
      </c>
      <c r="K12" s="16">
        <f>((((K6*0.00314)*0.22)*'Технический лист'!$M$10)+100+(((K7*0.00314)*0.21)*'Технический лист'!$O$11)+(((K6+30)*(K6+30)/1000000)*'Технический лист'!$E$20))*1.9</f>
        <v>1715.7172324571427</v>
      </c>
      <c r="L12" s="16">
        <f>((((L6*0.00314)*0.22)*'Технический лист'!$M$10)+100+(((L7*0.00314)*0.21)*'Технический лист'!$O$11)+(((L6+30)*(L6+30)/1000000)*'Технический лист'!$E$20))*1.9</f>
        <v>1899.8656102857142</v>
      </c>
      <c r="M12" s="16">
        <f>((((M6*0.00314)*0.22)*'Технический лист'!$M$10)+100+(((M7*0.00314)*0.21)*'Технический лист'!$O$11)+(((M6+30)*(M6+30)/1000000)*'Технический лист'!$E$20))*1.9</f>
        <v>2090.093988114286</v>
      </c>
      <c r="N12" s="16">
        <f>((((N6*0.00314)*0.22)*'Технический лист'!$M$10)+100+(((N7*0.00314)*0.21)*'Технический лист'!$O$11)+(((N6+30)*(N6+30)/1000000)*'Технический лист'!$E$20))*1.9</f>
        <v>2386.8365548571423</v>
      </c>
      <c r="O12" s="16">
        <f>((((O6*0.00314)*0.22)*'Технический лист'!$M$10)+100+(((O7*0.00314)*0.21)*'Технический лист'!$O$11)+(((O6+30)*(O6+30)/1000000)*'Технический лист'!$E$20))*1.9</f>
        <v>2488.7907437714284</v>
      </c>
      <c r="P12" s="16">
        <f>((((P6*0.00314)*0.22)*'Технический лист'!$M$10)+100+(((P7*0.00314)*0.21)*'Технический лист'!$O$11)+(((P6+30)*(P6+30)/1000000)*'Технический лист'!$E$20))*1.9</f>
        <v>2592.264932685714</v>
      </c>
      <c r="Q12" s="16">
        <f>((((Q6*0.00314)*0.22)*'Технический лист'!$M$10)+100+(((Q7*0.00314)*0.21)*'Технический лист'!$O$11)+(((Q6+30)*(Q6+30)/1000000)*'Технический лист'!$E$20))*1.9</f>
        <v>2697.2591215999996</v>
      </c>
      <c r="R12" s="16">
        <f>((((R6*0.00314)*0.22)*'Технический лист'!$M$10)+100+(((R7*0.00314)*0.21)*'Технический лист'!$O$11)+(((R6+30)*(R6+30)/1000000)*'Технический лист'!$E$20))*1.9</f>
        <v>2803.7733105142856</v>
      </c>
      <c r="S12" s="16">
        <f>((((S6*0.00314)*0.22)*'Технический лист'!$M$10)+100+(((S7*0.00314)*0.21)*'Технический лист'!$O$11)+(((S6+30)*(S6+30)/1000000)*'Технический лист'!$E$20))*1.9</f>
        <v>2911.8074994285707</v>
      </c>
    </row>
    <row r="13" spans="1:19" ht="15">
      <c r="A13" s="4" t="s">
        <v>7</v>
      </c>
      <c r="B13" s="9">
        <f>(B12*2.2)+24</f>
        <v>2311.832186514286</v>
      </c>
      <c r="C13" s="9">
        <f aca="true" t="shared" si="3" ref="C13:S13">(C12*2.2)+24</f>
        <v>2485.971402125714</v>
      </c>
      <c r="D13" s="9">
        <f t="shared" si="3"/>
        <v>2574.295009931429</v>
      </c>
      <c r="E13" s="9">
        <f t="shared" si="3"/>
        <v>2663.4546177371435</v>
      </c>
      <c r="F13" s="9">
        <f t="shared" si="3"/>
        <v>2753.4502255428574</v>
      </c>
      <c r="G13" s="9">
        <f t="shared" si="3"/>
        <v>2844.281833348572</v>
      </c>
      <c r="H13" s="9">
        <f t="shared" si="3"/>
        <v>3028.45304896</v>
      </c>
      <c r="I13" s="9">
        <f t="shared" si="3"/>
        <v>3215.9682645714283</v>
      </c>
      <c r="J13" s="9">
        <f t="shared" si="3"/>
        <v>3406.827480182857</v>
      </c>
      <c r="K13" s="9">
        <f t="shared" si="3"/>
        <v>3798.577911405714</v>
      </c>
      <c r="L13" s="9">
        <f t="shared" si="3"/>
        <v>4203.704342628572</v>
      </c>
      <c r="M13" s="9">
        <f t="shared" si="3"/>
        <v>4622.206773851429</v>
      </c>
      <c r="N13" s="9">
        <f t="shared" si="3"/>
        <v>5275.040420685714</v>
      </c>
      <c r="O13" s="9">
        <f t="shared" si="3"/>
        <v>5499.3396362971425</v>
      </c>
      <c r="P13" s="9">
        <f t="shared" si="3"/>
        <v>5726.982851908571</v>
      </c>
      <c r="Q13" s="9">
        <f t="shared" si="3"/>
        <v>5957.970067519999</v>
      </c>
      <c r="R13" s="9">
        <f t="shared" si="3"/>
        <v>6192.301283131429</v>
      </c>
      <c r="S13" s="9">
        <f t="shared" si="3"/>
        <v>6429.976498742856</v>
      </c>
    </row>
    <row r="14" spans="1:19" ht="15">
      <c r="A14" s="4" t="s">
        <v>8</v>
      </c>
      <c r="B14" s="16">
        <f>((((B6*0.00314)*0.2)*'Технический лист'!$M$10)+50+(((B7*0.00314)*0.22)*'Технический лист'!$O$11))*1.89</f>
        <v>784.1870469818182</v>
      </c>
      <c r="C14" s="16">
        <f>((((C6*0.00314)*0.2)*'Технический лист'!$M$10)+50+(((C7*0.00314)*0.22)*'Технический лист'!$O$11))*1.89</f>
        <v>839.0725502399999</v>
      </c>
      <c r="D14" s="16">
        <f>((((D6*0.00314)*0.2)*'Технический лист'!$M$10)+50+(((D7*0.00314)*0.22)*'Технический лист'!$O$11))*1.89</f>
        <v>866.5153018690909</v>
      </c>
      <c r="E14" s="16">
        <f>((((E6*0.00314)*0.2)*'Технический лист'!$M$10)+50+(((E7*0.00314)*0.22)*'Технический лист'!$O$11))*1.89</f>
        <v>893.9580534981817</v>
      </c>
      <c r="F14" s="16">
        <f>((((F6*0.00314)*0.2)*'Технический лист'!$M$10)+50+(((F7*0.00314)*0.22)*'Технический лист'!$O$11))*1.89</f>
        <v>921.4008051272729</v>
      </c>
      <c r="G14" s="16">
        <f>((((G6*0.00314)*0.2)*'Технический лист'!$M$10)+50+(((G7*0.00314)*0.22)*'Технический лист'!$O$11))*1.89</f>
        <v>948.8435567563637</v>
      </c>
      <c r="H14" s="16">
        <f>((((H6*0.00314)*0.2)*'Технический лист'!$M$10)+50+(((H7*0.00314)*0.22)*'Технический лист'!$O$11))*1.89</f>
        <v>1003.7290600145453</v>
      </c>
      <c r="I14" s="16">
        <f>((((I6*0.00314)*0.2)*'Технический лист'!$M$10)+50+(((I7*0.00314)*0.22)*'Технический лист'!$O$11))*1.89</f>
        <v>1058.6145632727273</v>
      </c>
      <c r="J14" s="16">
        <f>((((J6*0.00314)*0.2)*'Технический лист'!$M$10)+50+(((J7*0.00314)*0.22)*'Технический лист'!$O$11))*1.89</f>
        <v>1113.500066530909</v>
      </c>
      <c r="K14" s="16">
        <f>((((K6*0.00314)*0.2)*'Технический лист'!$M$10)+50+(((K7*0.00314)*0.22)*'Технический лист'!$O$11))*1.89</f>
        <v>1223.2710730472727</v>
      </c>
      <c r="L14" s="16">
        <f>((((L6*0.00314)*0.2)*'Технический лист'!$M$10)+50+(((L7*0.00314)*0.22)*'Технический лист'!$O$11))*1.89</f>
        <v>1333.0420795636364</v>
      </c>
      <c r="M14" s="16">
        <f>((((M6*0.00314)*0.2)*'Технический лист'!$M$10)+50+(((M7*0.00314)*0.22)*'Технический лист'!$O$11))*1.89</f>
        <v>1442.81308608</v>
      </c>
      <c r="N14" s="16">
        <f>((((N6*0.00314)*0.2)*'Технический лист'!$M$10)+50+(((N7*0.00314)*0.22)*'Технический лист'!$O$11))*1.89</f>
        <v>1607.4695958545456</v>
      </c>
      <c r="O14" s="16">
        <f>((((O6*0.00314)*0.2)*'Технический лист'!$M$10)+50+(((O7*0.00314)*0.22)*'Технический лист'!$O$11))*1.89</f>
        <v>1662.3550991127274</v>
      </c>
      <c r="P14" s="16">
        <f>((((P6*0.00314)*0.2)*'Технический лист'!$M$10)+50+(((P7*0.00314)*0.22)*'Технический лист'!$O$11))*1.89</f>
        <v>1717.240602370909</v>
      </c>
      <c r="Q14" s="16">
        <f>((((Q6*0.00314)*0.2)*'Технический лист'!$M$10)+50+(((Q7*0.00314)*0.22)*'Технический лист'!$O$11))*1.89</f>
        <v>1772.126105629091</v>
      </c>
      <c r="R14" s="16">
        <f>((((R6*0.00314)*0.2)*'Технический лист'!$M$10)+50+(((R7*0.00314)*0.22)*'Технический лист'!$O$11))*1.89</f>
        <v>1827.0116088872726</v>
      </c>
      <c r="S14" s="16">
        <f>((((S6*0.00314)*0.2)*'Технический лист'!$M$10)+50+(((S7*0.00314)*0.22)*'Технический лист'!$O$11))*1.89</f>
        <v>1881.8971121454545</v>
      </c>
    </row>
    <row r="15" spans="1:19" ht="15">
      <c r="A15" s="4" t="s">
        <v>99</v>
      </c>
      <c r="B15" s="16">
        <v>2570</v>
      </c>
      <c r="C15" s="16">
        <v>2755</v>
      </c>
      <c r="D15" s="16">
        <v>2850</v>
      </c>
      <c r="E15" s="16">
        <v>3685</v>
      </c>
      <c r="F15" s="16">
        <v>3045</v>
      </c>
      <c r="G15" s="16">
        <v>3145</v>
      </c>
      <c r="H15" s="16">
        <v>3345</v>
      </c>
      <c r="I15" s="16">
        <v>3550</v>
      </c>
      <c r="J15" s="16">
        <v>3760</v>
      </c>
      <c r="K15" s="16">
        <v>4200</v>
      </c>
      <c r="L15" s="16">
        <v>5810</v>
      </c>
      <c r="M15" s="16">
        <v>5130</v>
      </c>
      <c r="N15" s="16">
        <v>5880</v>
      </c>
      <c r="O15" s="16">
        <v>6135</v>
      </c>
      <c r="P15" s="16">
        <v>6400</v>
      </c>
      <c r="Q15" s="16">
        <v>6670</v>
      </c>
      <c r="R15" s="16">
        <v>6945</v>
      </c>
      <c r="S15" s="16">
        <v>7225</v>
      </c>
    </row>
    <row r="16" spans="1:19" ht="15">
      <c r="A16" s="4" t="s">
        <v>102</v>
      </c>
      <c r="B16" s="16">
        <v>2570</v>
      </c>
      <c r="C16" s="16">
        <v>2755</v>
      </c>
      <c r="D16" s="16">
        <v>2850</v>
      </c>
      <c r="E16" s="16">
        <v>3685</v>
      </c>
      <c r="F16" s="16">
        <v>3045</v>
      </c>
      <c r="G16" s="16">
        <v>3145</v>
      </c>
      <c r="H16" s="16">
        <v>3345</v>
      </c>
      <c r="I16" s="16">
        <v>3550</v>
      </c>
      <c r="J16" s="16">
        <v>3760</v>
      </c>
      <c r="K16" s="16">
        <v>4200</v>
      </c>
      <c r="L16" s="16">
        <v>5810</v>
      </c>
      <c r="M16" s="16">
        <v>5130</v>
      </c>
      <c r="N16" s="16">
        <v>5880</v>
      </c>
      <c r="O16" s="16">
        <v>6135</v>
      </c>
      <c r="P16" s="16">
        <v>6400</v>
      </c>
      <c r="Q16" s="16">
        <v>6670</v>
      </c>
      <c r="R16" s="16">
        <v>6945</v>
      </c>
      <c r="S16" s="16">
        <v>7225</v>
      </c>
    </row>
    <row r="17" spans="1:19" ht="15">
      <c r="A17" s="4" t="s">
        <v>9</v>
      </c>
      <c r="B17" s="9">
        <f>((((B6*0.00314)*((B6+545)/1000))*'Технический лист'!$K$10)+370+((B7*0.00314)*((B7+450)/1000))*'Технический лист'!$K$11)*1.96</f>
        <v>2541.4919896969695</v>
      </c>
      <c r="C17" s="9">
        <f>((((C6*0.00314)*((C6+545)/1000))*'Технический лист'!$K$10)+370+((C7*0.00314)*((C7+450)/1000))*'Технический лист'!$K$11)*1.96</f>
        <v>2726.45869048</v>
      </c>
      <c r="D17" s="9">
        <f>((((D6*0.00314)*((D6+545)/1000))*'Технический лист'!$K$10)+370+((D7*0.00314)*((D7+450)/1000))*'Технический лист'!$K$11)*1.96</f>
        <v>2820.735892613333</v>
      </c>
      <c r="E17" s="9">
        <f>((((E6*0.00314)*((E6+545)/1000))*'Технический лист'!$K$10)+370+((E7*0.00314)*((E7+450)/1000))*'Технический лист'!$K$11)*1.96</f>
        <v>2916.208995907879</v>
      </c>
      <c r="F17" s="9">
        <f>((((F6*0.00314)*((F6+545)/1000))*'Технический лист'!$K$10)+370+((F7*0.00314)*((F7+450)/1000))*'Технический лист'!$K$11)*1.96</f>
        <v>3012.8780003636357</v>
      </c>
      <c r="G17" s="9">
        <f>((((G6*0.00314)*((G6+545)/1000))*'Технический лист'!$K$10)+370+((G7*0.00314)*((G7+450)/1000))*'Технический лист'!$K$11)*1.96</f>
        <v>3110.7429059806063</v>
      </c>
      <c r="H17" s="9">
        <f>((((H6*0.00314)*((H6+545)/1000))*'Технический лист'!$K$10)+370+((H7*0.00314)*((H7+450)/1000))*'Технический лист'!$K$11)*1.96</f>
        <v>3310.0604206981816</v>
      </c>
      <c r="I17" s="9">
        <f>((((I6*0.00314)*((I6+545)/1000))*'Технический лист'!$K$10)+370+((I7*0.00314)*((I7+450)/1000))*'Технический лист'!$K$11)*1.96</f>
        <v>3514.1615400606056</v>
      </c>
      <c r="J17" s="9">
        <f>((((J6*0.00314)*((J6+545)/1000))*'Технический лист'!$K$10)+370+((J7*0.00314)*((J7+450)/1000))*'Технический лист'!$K$11)*1.96</f>
        <v>3723.046264067878</v>
      </c>
      <c r="K17" s="9">
        <f>((((K6*0.00314)*((K6+545)/1000))*'Технический лист'!$K$10)+370+((K7*0.00314)*((K7+450)/1000))*'Технический лист'!$K$11)*1.96</f>
        <v>4155.166526016969</v>
      </c>
      <c r="L17" s="9">
        <f>((((L6*0.00314)*((L6+545)/1000))*'Технический лист'!$K$10)+370+((L7*0.00314)*((L7+450)/1000))*'Технический лист'!$K$11)*1.96</f>
        <v>4606.421206545454</v>
      </c>
      <c r="M17" s="9">
        <f>((((M6*0.00314)*((M6+545)/1000))*'Технический лист'!$K$10)+370+((M7*0.00314)*((M7+450)/1000))*'Технический лист'!$K$11)*1.96</f>
        <v>5076.810305653332</v>
      </c>
      <c r="N17" s="9">
        <f>((((N6*0.00314)*((N6+545)/1000))*'Технический лист'!$K$10)+370+((N7*0.00314)*((N7+450)/1000))*'Технический лист'!$K$11)*1.96</f>
        <v>5818.270989151515</v>
      </c>
      <c r="O17" s="9">
        <f>((((O6*0.00314)*((O6+545)/1000))*'Технический лист'!$K$10)+370+((O7*0.00314)*((O7+450)/1000))*'Технический лист'!$K$11)*1.96</f>
        <v>6074.991759607273</v>
      </c>
      <c r="P17" s="9">
        <f>((((P6*0.00314)*((P6+545)/1000))*'Технический лист'!$K$10)+370+((P7*0.00314)*((P7+450)/1000))*'Технический лист'!$K$11)*1.96</f>
        <v>6336.496134707877</v>
      </c>
      <c r="Q17" s="9">
        <f>((((Q6*0.00314)*((Q6+545)/1000))*'Технический лист'!$K$10)+370+((Q7*0.00314)*((Q7+450)/1000))*'Технический лист'!$K$11)*1.96</f>
        <v>6602.784114453332</v>
      </c>
      <c r="R17" s="9">
        <f>((((R6*0.00314)*((R6+545)/1000))*'Технический лист'!$K$10)+370+((R7*0.00314)*((R7+450)/1000))*'Технический лист'!$K$11)*1.96</f>
        <v>6873.855698843636</v>
      </c>
      <c r="S17" s="9">
        <f>((((S6*0.00314)*((S6+545)/1000))*'Технический лист'!$K$10)+370+((S7*0.00314)*((S7+450)/1000))*'Технический лист'!$K$11)*1.96</f>
        <v>7149.710887878788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132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4" ref="C23:S23">C22+100</f>
        <v>210</v>
      </c>
      <c r="D23" s="10">
        <f t="shared" si="4"/>
        <v>215</v>
      </c>
      <c r="E23" s="10">
        <f t="shared" si="4"/>
        <v>220</v>
      </c>
      <c r="F23" s="10">
        <f t="shared" si="4"/>
        <v>225</v>
      </c>
      <c r="G23" s="10">
        <f t="shared" si="4"/>
        <v>230</v>
      </c>
      <c r="H23" s="10">
        <f t="shared" si="4"/>
        <v>240</v>
      </c>
      <c r="I23" s="10">
        <f t="shared" si="4"/>
        <v>250</v>
      </c>
      <c r="J23" s="10">
        <f t="shared" si="4"/>
        <v>260</v>
      </c>
      <c r="K23" s="10">
        <f t="shared" si="4"/>
        <v>280</v>
      </c>
      <c r="L23" s="10">
        <f t="shared" si="4"/>
        <v>300</v>
      </c>
      <c r="M23" s="10">
        <f t="shared" si="4"/>
        <v>320</v>
      </c>
      <c r="N23" s="10">
        <f t="shared" si="4"/>
        <v>350</v>
      </c>
      <c r="O23" s="10">
        <f t="shared" si="4"/>
        <v>360</v>
      </c>
      <c r="P23" s="10">
        <f t="shared" si="4"/>
        <v>370</v>
      </c>
      <c r="Q23" s="10">
        <f t="shared" si="4"/>
        <v>380</v>
      </c>
      <c r="R23" s="10">
        <f t="shared" si="4"/>
        <v>390</v>
      </c>
      <c r="S23" s="10">
        <f t="shared" si="4"/>
        <v>400</v>
      </c>
    </row>
    <row r="24" spans="1:19" ht="15">
      <c r="A24" s="4" t="s">
        <v>4</v>
      </c>
      <c r="B24" s="16">
        <f>(((B22*0.00314)*'Технический лист'!$G$10)+365+((B23*0.00314)*'Технический лист'!$G$5))*1.83</f>
        <v>3288.0231724675327</v>
      </c>
      <c r="C24" s="16">
        <f>(((C22*0.00314)*'Технический лист'!$G$10)+365+((C23*0.00314)*'Технический лист'!$G$5))*1.83</f>
        <v>3484.753657714286</v>
      </c>
      <c r="D24" s="16">
        <f>(((D22*0.00314)*'Технический лист'!$G$10)+365+((D23*0.00314)*'Технический лист'!$G$5))*1.83</f>
        <v>3583.118900337662</v>
      </c>
      <c r="E24" s="16">
        <f>(((E22*0.00314)*'Технический лист'!$G$10)+365+((E23*0.00314)*'Технический лист'!$G$5))*1.83</f>
        <v>3681.484142961039</v>
      </c>
      <c r="F24" s="16">
        <f>(((F22*0.00314)*'Технический лист'!$G$10)+365+((F23*0.00314)*'Технический лист'!$G$5))*1.83</f>
        <v>3779.849385584416</v>
      </c>
      <c r="G24" s="16">
        <f>(((G22*0.00314)*'Технический лист'!$G$10)+365+((G23*0.00314)*'Технический лист'!$G$5))*1.83</f>
        <v>3878.2146282077915</v>
      </c>
      <c r="H24" s="16">
        <f>(((H22*0.00314)*'Технический лист'!$G$10)+365+((H23*0.00314)*'Технический лист'!$G$5))*1.83</f>
        <v>4074.9451134545457</v>
      </c>
      <c r="I24" s="16">
        <f>(((I22*0.00314)*'Технический лист'!$G$10)+365+((I23*0.00314)*'Технический лист'!$G$5))*1.83</f>
        <v>4271.675598701299</v>
      </c>
      <c r="J24" s="16">
        <f>(((J22*0.00314)*'Технический лист'!$G$10)+365+((J23*0.00314)*'Технический лист'!$G$5))*1.83</f>
        <v>4468.406083948052</v>
      </c>
      <c r="K24" s="16">
        <f>(((K22*0.00314)*'Технический лист'!$G$10)+365+((K23*0.00314)*'Технический лист'!$G$5))*1.83</f>
        <v>4861.867054441558</v>
      </c>
      <c r="L24" s="16">
        <f>(((L22*0.00314)*'Технический лист'!$G$10)+365+((L23*0.00314)*'Технический лист'!$G$5))*1.83</f>
        <v>5255.328024935065</v>
      </c>
      <c r="M24" s="16">
        <f>(((M22*0.00314)*'Технический лист'!$G$10)+365+((M23*0.00314)*'Технический лист'!$G$5))*1.83</f>
        <v>5648.78899542857</v>
      </c>
      <c r="N24" s="16">
        <f>(((N22*0.00314)*'Технический лист'!$G$10)+365+((N23*0.00314)*'Технический лист'!$G$5))*1.83</f>
        <v>6238.980451168832</v>
      </c>
      <c r="O24" s="16">
        <f>(((O22*0.00314)*'Технический лист'!$G$10)+365+((O23*0.00314)*'Технический лист'!$G$5))*1.83</f>
        <v>6435.710936415584</v>
      </c>
      <c r="P24" s="16">
        <f>(((P22*0.00314)*'Технический лист'!$G$10)+365+((P23*0.00314)*'Технический лист'!$G$5))*1.83</f>
        <v>6632.441421662337</v>
      </c>
      <c r="Q24" s="16">
        <f>(((Q22*0.00314)*'Технический лист'!$G$10)+365+((Q23*0.00314)*'Технический лист'!$G$5))*1.83</f>
        <v>6829.1719069090905</v>
      </c>
      <c r="R24" s="16">
        <f>(((R22*0.00314)*'Технический лист'!$G$10)+365+((R23*0.00314)*'Технический лист'!$G$5))*1.83</f>
        <v>7025.902392155844</v>
      </c>
      <c r="S24" s="16">
        <f>(((S22*0.00314)*'Технический лист'!$G$10)+365+((S23*0.00314)*'Технический лист'!$G$5))*1.83</f>
        <v>7222.632877402597</v>
      </c>
    </row>
    <row r="25" spans="1:19" ht="15">
      <c r="A25" s="4" t="s">
        <v>3</v>
      </c>
      <c r="B25" s="9">
        <f>((B24/2)*1.07)-10</f>
        <v>1749.09239727013</v>
      </c>
      <c r="C25" s="9">
        <f aca="true" t="shared" si="5" ref="C25:S25">((C24/2)*1.07)-10</f>
        <v>1854.343206877143</v>
      </c>
      <c r="D25" s="9">
        <f t="shared" si="5"/>
        <v>1906.9686116806492</v>
      </c>
      <c r="E25" s="9">
        <f t="shared" si="5"/>
        <v>1959.594016484156</v>
      </c>
      <c r="F25" s="9">
        <f t="shared" si="5"/>
        <v>2012.2194212876625</v>
      </c>
      <c r="G25" s="9">
        <f t="shared" si="5"/>
        <v>2064.8448260911687</v>
      </c>
      <c r="H25" s="9">
        <f t="shared" si="5"/>
        <v>2170.095635698182</v>
      </c>
      <c r="I25" s="9">
        <f t="shared" si="5"/>
        <v>2275.346445305195</v>
      </c>
      <c r="J25" s="9">
        <f t="shared" si="5"/>
        <v>2380.597254912208</v>
      </c>
      <c r="K25" s="9">
        <f t="shared" si="5"/>
        <v>2591.0988741262336</v>
      </c>
      <c r="L25" s="9">
        <f t="shared" si="5"/>
        <v>2801.6004933402596</v>
      </c>
      <c r="M25" s="9">
        <f t="shared" si="5"/>
        <v>3012.102112554285</v>
      </c>
      <c r="N25" s="9">
        <f t="shared" si="5"/>
        <v>3327.854541375325</v>
      </c>
      <c r="O25" s="9">
        <f t="shared" si="5"/>
        <v>3433.1053509823378</v>
      </c>
      <c r="P25" s="9">
        <f t="shared" si="5"/>
        <v>3538.3561605893506</v>
      </c>
      <c r="Q25" s="9">
        <f t="shared" si="5"/>
        <v>3643.606970196364</v>
      </c>
      <c r="R25" s="9">
        <f t="shared" si="5"/>
        <v>3748.8577798033766</v>
      </c>
      <c r="S25" s="9">
        <f t="shared" si="5"/>
        <v>3854.1085894103894</v>
      </c>
    </row>
    <row r="26" spans="1:19" ht="15">
      <c r="A26" s="4" t="s">
        <v>5</v>
      </c>
      <c r="B26" s="16">
        <f>((((B22*0.00314)*0.5)*'Технический лист'!$I$10)+310+(((B23*0.00314)*0.5)*'Технический лист'!$I$5))*1.89</f>
        <v>2582.7927054545453</v>
      </c>
      <c r="C26" s="16">
        <f>((((C22*0.00314)*0.5)*'Технический лист'!$I$10)+310+(((C23*0.00314)*0.5)*'Технический лист'!$I$5))*1.89</f>
        <v>2729.485998</v>
      </c>
      <c r="D26" s="16">
        <f>((((D22*0.00314)*0.5)*'Технический лист'!$I$10)+310+(((D23*0.00314)*0.5)*'Технический лист'!$I$5))*1.89</f>
        <v>2802.8326442727275</v>
      </c>
      <c r="E26" s="16">
        <f>((((E22*0.00314)*0.5)*'Технический лист'!$I$10)+310+(((E23*0.00314)*0.5)*'Технический лист'!$I$5))*1.89</f>
        <v>2876.1792905454545</v>
      </c>
      <c r="F26" s="16">
        <f>((((F22*0.00314)*0.5)*'Технический лист'!$I$10)+310+(((F23*0.00314)*0.5)*'Технический лист'!$I$5))*1.89</f>
        <v>2949.5259368181814</v>
      </c>
      <c r="G26" s="16">
        <f>((((G22*0.00314)*0.5)*'Технический лист'!$I$10)+310+(((G23*0.00314)*0.5)*'Технический лист'!$I$5))*1.89</f>
        <v>3022.872583090909</v>
      </c>
      <c r="H26" s="16">
        <f>((((H22*0.00314)*0.5)*'Технический лист'!$I$10)+310+(((H23*0.00314)*0.5)*'Технический лист'!$I$5))*1.89</f>
        <v>3169.5658756363637</v>
      </c>
      <c r="I26" s="16">
        <f>((((I22*0.00314)*0.5)*'Технический лист'!$I$10)+310+(((I23*0.00314)*0.5)*'Технический лист'!$I$5))*1.89</f>
        <v>3316.2591681818176</v>
      </c>
      <c r="J26" s="16">
        <f>((((J22*0.00314)*0.5)*'Технический лист'!$I$10)+310+(((J23*0.00314)*0.5)*'Технический лист'!$I$5))*1.89</f>
        <v>3462.9524607272724</v>
      </c>
      <c r="K26" s="16">
        <f>((((K22*0.00314)*0.5)*'Технический лист'!$I$10)+310+(((K23*0.00314)*0.5)*'Технический лист'!$I$5))*1.89</f>
        <v>3756.3390458181816</v>
      </c>
      <c r="L26" s="16">
        <f>((((L22*0.00314)*0.5)*'Технический лист'!$I$10)+310+(((L23*0.00314)*0.5)*'Технический лист'!$I$5))*1.89</f>
        <v>4049.725630909091</v>
      </c>
      <c r="M26" s="16">
        <f>((((M22*0.00314)*0.5)*'Технический лист'!$I$10)+310+(((M23*0.00314)*0.5)*'Технический лист'!$I$5))*1.89</f>
        <v>4343.112216</v>
      </c>
      <c r="N26" s="16">
        <f>((((N22*0.00314)*0.5)*'Технический лист'!$I$10)+310+(((N23*0.00314)*0.5)*'Технический лист'!$I$5))*1.89</f>
        <v>4783.192093636363</v>
      </c>
      <c r="O26" s="16">
        <f>((((O22*0.00314)*0.5)*'Технический лист'!$I$10)+310+(((O23*0.00314)*0.5)*'Технический лист'!$I$5))*1.89</f>
        <v>4929.885386181819</v>
      </c>
      <c r="P26" s="16">
        <f>((((P22*0.00314)*0.5)*'Технический лист'!$I$10)+310+(((P23*0.00314)*0.5)*'Технический лист'!$I$5))*1.89</f>
        <v>5076.578678727273</v>
      </c>
      <c r="Q26" s="16">
        <f>((((Q22*0.00314)*0.5)*'Технический лист'!$I$10)+310+(((Q23*0.00314)*0.5)*'Технический лист'!$I$5))*1.89</f>
        <v>5223.271971272727</v>
      </c>
      <c r="R26" s="16">
        <f>((((R22*0.00314)*0.5)*'Технический лист'!$I$10)+310+(((R23*0.00314)*0.5)*'Технический лист'!$I$5))*1.89</f>
        <v>5369.965263818181</v>
      </c>
      <c r="S26" s="16">
        <f>((((S22*0.00314)*0.5)*'Технический лист'!$I$10)+310+(((S23*0.00314)*0.5)*'Технический лист'!$I$5))*1.89</f>
        <v>5516.658556363635</v>
      </c>
    </row>
    <row r="27" spans="1:19" ht="15">
      <c r="A27" s="4" t="s">
        <v>96</v>
      </c>
      <c r="B27" s="9">
        <f>((B26*2)/3)-6</f>
        <v>1715.8618036363634</v>
      </c>
      <c r="C27" s="9">
        <f aca="true" t="shared" si="6" ref="C27:S27">((C26*2)/3)-6</f>
        <v>1813.657332</v>
      </c>
      <c r="D27" s="9">
        <f t="shared" si="6"/>
        <v>1862.5550961818183</v>
      </c>
      <c r="E27" s="9">
        <f t="shared" si="6"/>
        <v>1911.4528603636363</v>
      </c>
      <c r="F27" s="9">
        <f t="shared" si="6"/>
        <v>1960.3506245454544</v>
      </c>
      <c r="G27" s="9">
        <f t="shared" si="6"/>
        <v>2009.2483887272726</v>
      </c>
      <c r="H27" s="9">
        <f t="shared" si="6"/>
        <v>2107.043917090909</v>
      </c>
      <c r="I27" s="9">
        <f t="shared" si="6"/>
        <v>2204.839445454545</v>
      </c>
      <c r="J27" s="9">
        <f t="shared" si="6"/>
        <v>2302.6349738181816</v>
      </c>
      <c r="K27" s="9">
        <f t="shared" si="6"/>
        <v>2498.2260305454543</v>
      </c>
      <c r="L27" s="9">
        <f t="shared" si="6"/>
        <v>2693.8170872727273</v>
      </c>
      <c r="M27" s="9">
        <f t="shared" si="6"/>
        <v>2889.4081440000004</v>
      </c>
      <c r="N27" s="9">
        <f t="shared" si="6"/>
        <v>3182.7947290909087</v>
      </c>
      <c r="O27" s="9">
        <f t="shared" si="6"/>
        <v>3280.5902574545457</v>
      </c>
      <c r="P27" s="9">
        <f t="shared" si="6"/>
        <v>3378.385785818182</v>
      </c>
      <c r="Q27" s="9">
        <f t="shared" si="6"/>
        <v>3476.181314181818</v>
      </c>
      <c r="R27" s="9">
        <f t="shared" si="6"/>
        <v>3573.9768425454536</v>
      </c>
      <c r="S27" s="9">
        <f t="shared" si="6"/>
        <v>3671.77237090909</v>
      </c>
    </row>
    <row r="28" spans="1:19" ht="15">
      <c r="A28" s="4" t="s">
        <v>6</v>
      </c>
      <c r="B28" s="16">
        <f>((((B22*0.00314)*0.22)*'Технический лист'!$M$10)+100+(((B23*0.00314)*0.21)*'Технический лист'!$O$5)+(((B22+30)*(B22+30)/1000000)*'Технический лист'!$E$20))*1.89</f>
        <v>1268.0837712</v>
      </c>
      <c r="C28" s="16">
        <f>((((C22*0.00314)*0.22)*'Технический лист'!$M$10)+100+(((C23*0.00314)*0.21)*'Технический лист'!$O$5)+(((C22+30)*(C22+30)/1000000)*'Технический лист'!$E$20))*1.89</f>
        <v>1358.50302576</v>
      </c>
      <c r="D28" s="16">
        <f>((((D22*0.00314)*0.22)*'Технический лист'!$M$10)+100+(((D23*0.00314)*0.21)*'Технический лист'!$O$5)+(((D22+30)*(D22+30)/1000000)*'Технический лист'!$E$20))*1.89</f>
        <v>1404.27965304</v>
      </c>
      <c r="E28" s="16">
        <f>((((E22*0.00314)*0.22)*'Технический лист'!$M$10)+100+(((E23*0.00314)*0.21)*'Технический лист'!$O$5)+(((E22+30)*(E22+30)/1000000)*'Технический лист'!$E$20))*1.89</f>
        <v>1450.43428032</v>
      </c>
      <c r="F28" s="16">
        <f>((((F22*0.00314)*0.22)*'Технический лист'!$M$10)+100+(((F23*0.00314)*0.21)*'Технический лист'!$O$5)+(((F22+30)*(F22+30)/1000000)*'Технический лист'!$E$20))*1.89</f>
        <v>1496.9669075999998</v>
      </c>
      <c r="G28" s="16">
        <f>((((G22*0.00314)*0.22)*'Технический лист'!$M$10)+100+(((G23*0.00314)*0.21)*'Технический лист'!$O$5)+(((G22+30)*(G22+30)/1000000)*'Технический лист'!$E$20))*1.89</f>
        <v>1543.8775348799998</v>
      </c>
      <c r="H28" s="16">
        <f>((((H22*0.00314)*0.22)*'Технический лист'!$M$10)+100+(((H23*0.00314)*0.21)*'Технический лист'!$O$5)+(((H22+30)*(H22+30)/1000000)*'Технический лист'!$E$20))*1.89</f>
        <v>1638.83278944</v>
      </c>
      <c r="I28" s="16">
        <f>((((I22*0.00314)*0.22)*'Технический лист'!$M$10)+100+(((I23*0.00314)*0.21)*'Технический лист'!$O$5)+(((I22+30)*(I22+30)/1000000)*'Технический лист'!$E$20))*1.89</f>
        <v>1735.3000439999998</v>
      </c>
      <c r="J28" s="16">
        <f>((((J22*0.00314)*0.22)*'Технический лист'!$M$10)+100+(((J23*0.00314)*0.21)*'Технический лист'!$O$5)+(((J22+30)*(J22+30)/1000000)*'Технический лист'!$E$20))*1.89</f>
        <v>1833.2792985599997</v>
      </c>
      <c r="K28" s="16">
        <f>((((K22*0.00314)*0.22)*'Технический лист'!$M$10)+100+(((K23*0.00314)*0.21)*'Технический лист'!$O$5)+(((K22+30)*(K22+30)/1000000)*'Технический лист'!$E$20))*1.89</f>
        <v>2033.7738076800001</v>
      </c>
      <c r="L28" s="16">
        <f>((((L22*0.00314)*0.22)*'Технический лист'!$M$10)+100+(((L23*0.00314)*0.21)*'Технический лист'!$O$5)+(((L22+30)*(L22+30)/1000000)*'Технический лист'!$E$20))*1.89</f>
        <v>2240.3163167999996</v>
      </c>
      <c r="M28" s="16">
        <f>((((M22*0.00314)*0.22)*'Технический лист'!$M$10)+100+(((M23*0.00314)*0.21)*'Технический лист'!$O$5)+(((M22+30)*(M22+30)/1000000)*'Технический лист'!$E$20))*1.89</f>
        <v>2452.9068259199994</v>
      </c>
      <c r="N28" s="16">
        <f>((((N22*0.00314)*0.22)*'Технический лист'!$M$10)+100+(((N23*0.00314)*0.21)*'Технический лист'!$O$5)+(((N22+30)*(N22+30)/1000000)*'Технический лист'!$E$20))*1.89</f>
        <v>2783.1325896</v>
      </c>
      <c r="O28" s="16">
        <f>((((O22*0.00314)*0.22)*'Технический лист'!$M$10)+100+(((O23*0.00314)*0.21)*'Технический лист'!$O$5)+(((O22+30)*(O22+30)/1000000)*'Технический лист'!$E$20))*1.89</f>
        <v>2896.23184416</v>
      </c>
      <c r="P28" s="16">
        <f>((((P22*0.00314)*0.22)*'Технический лист'!$M$10)+100+(((P23*0.00314)*0.21)*'Технический лист'!$O$5)+(((P22+30)*(P22+30)/1000000)*'Технический лист'!$E$20))*1.89</f>
        <v>3010.8430987199995</v>
      </c>
      <c r="Q28" s="16">
        <f>((((Q22*0.00314)*0.22)*'Технический лист'!$M$10)+100+(((Q23*0.00314)*0.21)*'Технический лист'!$O$5)+(((Q22+30)*(Q22+30)/1000000)*'Технический лист'!$E$20))*1.89</f>
        <v>3126.96635328</v>
      </c>
      <c r="R28" s="16">
        <f>((((R22*0.00314)*0.22)*'Технический лист'!$M$10)+100+(((R23*0.00314)*0.21)*'Технический лист'!$O$5)+(((R22+30)*(R22+30)/1000000)*'Технический лист'!$E$20))*1.89</f>
        <v>3244.601607839999</v>
      </c>
      <c r="S28" s="16">
        <f>((((S22*0.00314)*0.22)*'Технический лист'!$M$10)+100+(((S23*0.00314)*0.21)*'Технический лист'!$O$5)+(((S22+30)*(S22+30)/1000000)*'Технический лист'!$E$20))*1.89</f>
        <v>3363.7488623999993</v>
      </c>
    </row>
    <row r="29" spans="1:19" ht="15">
      <c r="A29" s="4" t="s">
        <v>7</v>
      </c>
      <c r="B29" s="9">
        <f>(B28*2.2)+24</f>
        <v>2813.7842966400003</v>
      </c>
      <c r="C29" s="9">
        <f aca="true" t="shared" si="7" ref="C29:S29">(C28*2.2)+24</f>
        <v>3012.706656672</v>
      </c>
      <c r="D29" s="9">
        <f t="shared" si="7"/>
        <v>3113.4152366880003</v>
      </c>
      <c r="E29" s="9">
        <f t="shared" si="7"/>
        <v>3214.955416704</v>
      </c>
      <c r="F29" s="9">
        <f t="shared" si="7"/>
        <v>3317.32719672</v>
      </c>
      <c r="G29" s="9">
        <f t="shared" si="7"/>
        <v>3420.5305767359996</v>
      </c>
      <c r="H29" s="9">
        <f t="shared" si="7"/>
        <v>3629.432136768</v>
      </c>
      <c r="I29" s="9">
        <f t="shared" si="7"/>
        <v>3841.6600968</v>
      </c>
      <c r="J29" s="9">
        <f t="shared" si="7"/>
        <v>4057.2144568319995</v>
      </c>
      <c r="K29" s="9">
        <f t="shared" si="7"/>
        <v>4498.302376896</v>
      </c>
      <c r="L29" s="9">
        <f t="shared" si="7"/>
        <v>4952.69589696</v>
      </c>
      <c r="M29" s="9">
        <f t="shared" si="7"/>
        <v>5420.395017023999</v>
      </c>
      <c r="N29" s="9">
        <f t="shared" si="7"/>
        <v>6146.891697120001</v>
      </c>
      <c r="O29" s="9">
        <f t="shared" si="7"/>
        <v>6395.710057152</v>
      </c>
      <c r="P29" s="9">
        <f t="shared" si="7"/>
        <v>6647.854817183999</v>
      </c>
      <c r="Q29" s="9">
        <f t="shared" si="7"/>
        <v>6903.325977216001</v>
      </c>
      <c r="R29" s="9">
        <f t="shared" si="7"/>
        <v>7162.123537247998</v>
      </c>
      <c r="S29" s="9">
        <f t="shared" si="7"/>
        <v>7424.247497279999</v>
      </c>
    </row>
    <row r="30" spans="1:19" ht="15">
      <c r="A30" s="4" t="s">
        <v>8</v>
      </c>
      <c r="B30" s="16">
        <f>((((B22*0.00314)*0.2)*'Технический лист'!$M$10)+50+(((B23*0.00314)*0.22)*'Технический лист'!$O$5))*1.9</f>
        <v>1034.3899341298702</v>
      </c>
      <c r="C30" s="16">
        <f>((((C22*0.00314)*0.2)*'Технический лист'!$M$10)+50+(((C23*0.00314)*0.22)*'Технический лист'!$O$5))*1.9</f>
        <v>1101.868524342857</v>
      </c>
      <c r="D30" s="16">
        <f>((((D22*0.00314)*0.2)*'Технический лист'!$M$10)+50+(((D23*0.00314)*0.22)*'Технический лист'!$O$5))*1.9</f>
        <v>1135.6078194493505</v>
      </c>
      <c r="E30" s="16">
        <f>((((E22*0.00314)*0.2)*'Технический лист'!$M$10)+50+(((E23*0.00314)*0.22)*'Технический лист'!$O$5))*1.9</f>
        <v>1169.3471145558442</v>
      </c>
      <c r="F30" s="16">
        <f>((((F22*0.00314)*0.2)*'Технический лист'!$M$10)+50+(((F23*0.00314)*0.22)*'Технический лист'!$O$5))*1.9</f>
        <v>1203.0864096623377</v>
      </c>
      <c r="G30" s="16">
        <f>((((G22*0.00314)*0.2)*'Технический лист'!$M$10)+50+(((G23*0.00314)*0.22)*'Технический лист'!$O$5))*1.9</f>
        <v>1236.825704768831</v>
      </c>
      <c r="H30" s="16">
        <f>((((H22*0.00314)*0.2)*'Технический лист'!$M$10)+50+(((H23*0.00314)*0.22)*'Технический лист'!$O$5))*1.9</f>
        <v>1304.304294981818</v>
      </c>
      <c r="I30" s="16">
        <f>((((I22*0.00314)*0.2)*'Технический лист'!$M$10)+50+(((I23*0.00314)*0.22)*'Технический лист'!$O$5))*1.9</f>
        <v>1371.7828851948052</v>
      </c>
      <c r="J30" s="16">
        <f>((((J22*0.00314)*0.2)*'Технический лист'!$M$10)+50+(((J23*0.00314)*0.22)*'Технический лист'!$O$5))*1.9</f>
        <v>1439.2614754077922</v>
      </c>
      <c r="K30" s="16">
        <f>((((K22*0.00314)*0.2)*'Технический лист'!$M$10)+50+(((K23*0.00314)*0.22)*'Технический лист'!$O$5))*1.9</f>
        <v>1574.2186558337662</v>
      </c>
      <c r="L30" s="16">
        <f>((((L22*0.00314)*0.2)*'Технический лист'!$M$10)+50+(((L23*0.00314)*0.22)*'Технический лист'!$O$5))*1.9</f>
        <v>1709.1758362597402</v>
      </c>
      <c r="M30" s="16">
        <f>((((M22*0.00314)*0.2)*'Технический лист'!$M$10)+50+(((M23*0.00314)*0.22)*'Технический лист'!$O$5))*1.9</f>
        <v>1844.133016685714</v>
      </c>
      <c r="N30" s="16">
        <f>((((N22*0.00314)*0.2)*'Технический лист'!$M$10)+50+(((N23*0.00314)*0.22)*'Технический лист'!$O$5))*1.9</f>
        <v>2046.5687873246752</v>
      </c>
      <c r="O30" s="16">
        <f>((((O22*0.00314)*0.2)*'Технический лист'!$M$10)+50+(((O23*0.00314)*0.22)*'Технический лист'!$O$5))*1.9</f>
        <v>2114.0473775376627</v>
      </c>
      <c r="P30" s="16">
        <f>((((P22*0.00314)*0.2)*'Технический лист'!$M$10)+50+(((P23*0.00314)*0.22)*'Технический лист'!$O$5))*1.9</f>
        <v>2181.525967750649</v>
      </c>
      <c r="Q30" s="16">
        <f>((((Q22*0.00314)*0.2)*'Технический лист'!$M$10)+50+(((Q23*0.00314)*0.22)*'Технический лист'!$O$5))*1.9</f>
        <v>2249.0045579636358</v>
      </c>
      <c r="R30" s="16">
        <f>((((R22*0.00314)*0.2)*'Технический лист'!$M$10)+50+(((R23*0.00314)*0.22)*'Технический лист'!$O$5))*1.9</f>
        <v>2316.483148176623</v>
      </c>
      <c r="S30" s="16">
        <f>((((S22*0.00314)*0.2)*'Технический лист'!$M$10)+50+(((S23*0.00314)*0.22)*'Технический лист'!$O$5))*1.9</f>
        <v>2383.96173838961</v>
      </c>
    </row>
    <row r="31" spans="1:19" ht="15">
      <c r="A31" s="4" t="s">
        <v>99</v>
      </c>
      <c r="B31" s="16">
        <v>3605</v>
      </c>
      <c r="C31" s="16">
        <v>3865</v>
      </c>
      <c r="D31" s="16">
        <v>3995</v>
      </c>
      <c r="E31" s="16">
        <v>4125</v>
      </c>
      <c r="F31" s="16">
        <v>4260</v>
      </c>
      <c r="G31" s="16">
        <v>4390</v>
      </c>
      <c r="H31" s="16">
        <v>4670</v>
      </c>
      <c r="I31" s="16">
        <v>4950</v>
      </c>
      <c r="J31" s="16">
        <v>5240</v>
      </c>
      <c r="K31" s="16">
        <v>5830</v>
      </c>
      <c r="L31" s="16">
        <v>6450</v>
      </c>
      <c r="M31" s="16">
        <v>7100</v>
      </c>
      <c r="N31" s="16">
        <v>8100</v>
      </c>
      <c r="O31" s="16">
        <v>8470</v>
      </c>
      <c r="P31" s="16">
        <v>8830</v>
      </c>
      <c r="Q31" s="16">
        <v>9195</v>
      </c>
      <c r="R31" s="16">
        <v>9565</v>
      </c>
      <c r="S31" s="16">
        <v>9940</v>
      </c>
    </row>
    <row r="32" spans="1:19" ht="15">
      <c r="A32" s="4" t="s">
        <v>102</v>
      </c>
      <c r="B32" s="16">
        <v>3605</v>
      </c>
      <c r="C32" s="16">
        <v>3865</v>
      </c>
      <c r="D32" s="16">
        <v>3995</v>
      </c>
      <c r="E32" s="16">
        <v>4125</v>
      </c>
      <c r="F32" s="16">
        <v>4260</v>
      </c>
      <c r="G32" s="16">
        <v>4390</v>
      </c>
      <c r="H32" s="16">
        <v>4670</v>
      </c>
      <c r="I32" s="16">
        <v>4950</v>
      </c>
      <c r="J32" s="16">
        <v>5240</v>
      </c>
      <c r="K32" s="16">
        <v>5830</v>
      </c>
      <c r="L32" s="16">
        <v>6450</v>
      </c>
      <c r="M32" s="16">
        <v>7100</v>
      </c>
      <c r="N32" s="16">
        <v>8100</v>
      </c>
      <c r="O32" s="16">
        <v>8470</v>
      </c>
      <c r="P32" s="16">
        <v>8830</v>
      </c>
      <c r="Q32" s="16">
        <v>9195</v>
      </c>
      <c r="R32" s="16">
        <v>9565</v>
      </c>
      <c r="S32" s="16">
        <v>9940</v>
      </c>
    </row>
    <row r="33" spans="1:19" ht="15">
      <c r="A33" s="4" t="s">
        <v>9</v>
      </c>
      <c r="B33" s="9">
        <f>((((B22*0.00314)*((B22+545)/1000))*'Технический лист'!$K$10)+370+((B23*0.00314)*((B23+450)/1000))*'Технический лист'!$K$5)*1.97</f>
        <v>3589.6730348961037</v>
      </c>
      <c r="C33" s="9">
        <f>((((C22*0.00314)*((C22+545)/1000))*'Технический лист'!$K$10)+370+((C23*0.00314)*((C23+450)/1000))*'Технический лист'!$K$5)*1.97</f>
        <v>3844.0668475228576</v>
      </c>
      <c r="D33" s="9">
        <f>((((D22*0.00314)*((D22+545)/1000))*'Технический лист'!$K$10)+370+((D23*0.00314)*((D23+450)/1000))*'Технический лист'!$K$5)*1.97</f>
        <v>3973.663996872857</v>
      </c>
      <c r="E33" s="9">
        <f>((((E22*0.00314)*((E22+545)/1000))*'Технический лист'!$K$10)+370+((E23*0.00314)*((E23+450)/1000))*'Технический лист'!$K$5)*1.97</f>
        <v>4104.861308247273</v>
      </c>
      <c r="F33" s="9">
        <f>((((F22*0.00314)*((F22+545)/1000))*'Технический лист'!$K$10)+370+((F23*0.00314)*((F23+450)/1000))*'Технический лист'!$K$5)*1.97</f>
        <v>4237.658781646103</v>
      </c>
      <c r="G33" s="9">
        <f>((((G22*0.00314)*((G22+545)/1000))*'Технический лист'!$K$10)+370+((G23*0.00314)*((G23+450)/1000))*'Технический лист'!$K$5)*1.97</f>
        <v>4372.056417069351</v>
      </c>
      <c r="H33" s="9">
        <f>((((H22*0.00314)*((H22+545)/1000))*'Технический лист'!$K$10)+370+((H23*0.00314)*((H23+450)/1000))*'Технический лист'!$K$5)*1.97</f>
        <v>4645.652173989091</v>
      </c>
      <c r="I33" s="9">
        <f>((((I22*0.00314)*((I22+545)/1000))*'Технический лист'!$K$10)+370+((I23*0.00314)*((I23+450)/1000))*'Технический лист'!$K$5)*1.97</f>
        <v>4925.6485790064935</v>
      </c>
      <c r="J33" s="9">
        <f>((((J22*0.00314)*((J22+545)/1000))*'Технический лист'!$K$10)+370+((J23*0.00314)*((J23+450)/1000))*'Технический лист'!$K$5)*1.97</f>
        <v>5212.045632121558</v>
      </c>
      <c r="K33" s="9">
        <f>((((K22*0.00314)*((K22+545)/1000))*'Технический лист'!$K$10)+370+((K23*0.00314)*((K23+450)/1000))*'Технический лист'!$K$5)*1.97</f>
        <v>5804.041682644676</v>
      </c>
      <c r="L33" s="9">
        <f>((((L22*0.00314)*((L22+545)/1000))*'Технический лист'!$K$10)+370+((L23*0.00314)*((L23+450)/1000))*'Технический лист'!$K$5)*1.97</f>
        <v>6421.640325558442</v>
      </c>
      <c r="M33" s="9">
        <f>((((M22*0.00314)*((M22+545)/1000))*'Технический лист'!$K$10)+370+((M23*0.00314)*((M23+450)/1000))*'Технический лист'!$K$5)*1.97</f>
        <v>7064.841560862857</v>
      </c>
      <c r="N33" s="9">
        <f>((((N22*0.00314)*((N22+545)/1000))*'Технический лист'!$K$10)+370+((N23*0.00314)*((N23+450)/1000))*'Технический лист'!$K$5)*1.97</f>
        <v>8077.648274551948</v>
      </c>
      <c r="O33" s="9">
        <f>((((O22*0.00314)*((O22+545)/1000))*'Технический лист'!$K$10)+370+((O23*0.00314)*((O23+450)/1000))*'Технический лист'!$K$5)*1.97</f>
        <v>8428.051808643637</v>
      </c>
      <c r="P33" s="9">
        <f>((((P22*0.00314)*((P22+545)/1000))*'Технический лист'!$K$10)+370+((P23*0.00314)*((P23+450)/1000))*'Технический лист'!$K$5)*1.97</f>
        <v>8784.855990832984</v>
      </c>
      <c r="Q33" s="9">
        <f>((((Q22*0.00314)*((Q22+545)/1000))*'Технический лист'!$K$10)+370+((Q23*0.00314)*((Q23+450)/1000))*'Технический лист'!$K$5)*1.97</f>
        <v>9148.06082112</v>
      </c>
      <c r="R33" s="9">
        <f>((((R22*0.00314)*((R22+545)/1000))*'Технический лист'!$K$10)+370+((R23*0.00314)*((R23+450)/1000))*'Технический лист'!$K$5)*1.97</f>
        <v>9517.666299504674</v>
      </c>
      <c r="S33" s="9">
        <f>((((S22*0.00314)*((S22+545)/1000))*'Технический лист'!$K$10)+370+((S23*0.00314)*((S23+450)/1000))*'Технический лист'!$K$5)*1.97</f>
        <v>9893.672425987013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R38" sqref="R38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S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t="shared" si="0"/>
        <v>360</v>
      </c>
      <c r="P7" s="10">
        <f t="shared" si="0"/>
        <v>370</v>
      </c>
      <c r="Q7" s="10">
        <f t="shared" si="0"/>
        <v>380</v>
      </c>
      <c r="R7" s="10">
        <f t="shared" si="0"/>
        <v>390</v>
      </c>
      <c r="S7" s="10">
        <f t="shared" si="0"/>
        <v>400</v>
      </c>
    </row>
    <row r="8" spans="1:19" ht="15">
      <c r="A8" s="4" t="s">
        <v>4</v>
      </c>
      <c r="B8" s="16">
        <f>(((B6*0.00314)*'Технический лист'!$G$8)+365+((B7*0.00314)*'Технический лист'!$G$11))*1.83</f>
        <v>2257.2195683116884</v>
      </c>
      <c r="C8" s="16">
        <f>(((C6*0.00314)*'Технический лист'!$G$8)+365+((C7*0.00314)*'Технический лист'!$G$11))*1.83</f>
        <v>2395.8241311428565</v>
      </c>
      <c r="D8" s="16">
        <f>(((D6*0.00314)*'Технический лист'!$G$8)+365+((D7*0.00314)*'Технический лист'!$G$11))*1.83</f>
        <v>2465.126412558441</v>
      </c>
      <c r="E8" s="16">
        <f>(((E6*0.00314)*'Технический лист'!$G$8)+365+((E7*0.00314)*'Технический лист'!$G$11))*1.83</f>
        <v>2534.4286939740264</v>
      </c>
      <c r="F8" s="16">
        <f>(((F6*0.00314)*'Технический лист'!$G$8)+365+((F7*0.00314)*'Технический лист'!$G$11))*1.83</f>
        <v>2603.73097538961</v>
      </c>
      <c r="G8" s="16">
        <f>(((G6*0.00314)*'Технический лист'!$G$8)+365+((G7*0.00314)*'Технический лист'!$G$11))*1.83</f>
        <v>2673.0332568051945</v>
      </c>
      <c r="H8" s="16">
        <f>(((H6*0.00314)*'Технический лист'!$G$8)+365+((H7*0.00314)*'Технический лист'!$G$11))*1.83</f>
        <v>2811.6378196363635</v>
      </c>
      <c r="I8" s="16">
        <f>(((I6*0.00314)*'Технический лист'!$G$8)+365+((I7*0.00314)*'Технический лист'!$G$11))*1.83</f>
        <v>2950.2423824675325</v>
      </c>
      <c r="J8" s="16">
        <f>(((J6*0.00314)*'Технический лист'!$G$8)+365+((J7*0.00314)*'Технический лист'!$G$11))*1.83</f>
        <v>3088.846945298701</v>
      </c>
      <c r="K8" s="16">
        <f>(((K6*0.00314)*'Технический лист'!$G$8)+365+((K7*0.00314)*'Технический лист'!$G$11))*1.83</f>
        <v>3366.056070961039</v>
      </c>
      <c r="L8" s="16">
        <f>(((L6*0.00314)*'Технический лист'!$G$8)+365+((L7*0.00314)*'Технический лист'!$G$11))*1.83</f>
        <v>3643.2651966233766</v>
      </c>
      <c r="M8" s="16">
        <f>(((M6*0.00314)*'Технический лист'!$G$8)+365+((M7*0.00314)*'Технический лист'!$G$11))*1.83</f>
        <v>3920.474322285714</v>
      </c>
      <c r="N8" s="16">
        <f>(((N6*0.00314)*'Технический лист'!$G$8)+365+((N7*0.00314)*'Технический лист'!$G$11))*1.83</f>
        <v>4336.28801077922</v>
      </c>
      <c r="O8" s="16">
        <f>(((O6*0.00314)*'Технический лист'!$G$8)+365+((O7*0.00314)*'Технический лист'!$G$11))*1.83</f>
        <v>4474.89257361039</v>
      </c>
      <c r="P8" s="16">
        <f>(((P6*0.00314)*'Технический лист'!$G$8)+365+((P7*0.00314)*'Технический лист'!$G$11))*1.83</f>
        <v>4613.497136441559</v>
      </c>
      <c r="Q8" s="16">
        <f>(((Q6*0.00314)*'Технический лист'!$G$8)+365+((Q7*0.00314)*'Технический лист'!$G$11))*1.83</f>
        <v>4752.101699272727</v>
      </c>
      <c r="R8" s="16">
        <f>(((R6*0.00314)*'Технический лист'!$G$8)+365+((R7*0.00314)*'Технический лист'!$G$11))*1.83</f>
        <v>4890.706262103895</v>
      </c>
      <c r="S8" s="16">
        <f>(((S6*0.00314)*'Технический лист'!$G$8)+365+((S7*0.00314)*'Технический лист'!$G$11))*1.83</f>
        <v>5029.310824935064</v>
      </c>
    </row>
    <row r="9" spans="1:19" ht="15">
      <c r="A9" s="4" t="s">
        <v>3</v>
      </c>
      <c r="B9" s="9">
        <f>((B8/2)*1.07)-10</f>
        <v>1197.6124690467534</v>
      </c>
      <c r="C9" s="9">
        <f aca="true" t="shared" si="1" ref="C9:S9">((C8/2)*1.07)-10</f>
        <v>1271.7659101614283</v>
      </c>
      <c r="D9" s="9">
        <f t="shared" si="1"/>
        <v>1308.842630718766</v>
      </c>
      <c r="E9" s="9">
        <f t="shared" si="1"/>
        <v>1345.9193512761042</v>
      </c>
      <c r="F9" s="9">
        <f t="shared" si="1"/>
        <v>1382.9960718334416</v>
      </c>
      <c r="G9" s="9">
        <f t="shared" si="1"/>
        <v>1420.0727923907791</v>
      </c>
      <c r="H9" s="9">
        <f t="shared" si="1"/>
        <v>1494.2262335054545</v>
      </c>
      <c r="I9" s="9">
        <f t="shared" si="1"/>
        <v>1568.37967462013</v>
      </c>
      <c r="J9" s="9">
        <f t="shared" si="1"/>
        <v>1642.533115734805</v>
      </c>
      <c r="K9" s="9">
        <f t="shared" si="1"/>
        <v>1790.839997964156</v>
      </c>
      <c r="L9" s="9">
        <f t="shared" si="1"/>
        <v>1939.1468801935066</v>
      </c>
      <c r="M9" s="9">
        <f t="shared" si="1"/>
        <v>2087.4537624228574</v>
      </c>
      <c r="N9" s="9">
        <f t="shared" si="1"/>
        <v>2309.9140857668826</v>
      </c>
      <c r="O9" s="9">
        <f t="shared" si="1"/>
        <v>2384.067526881559</v>
      </c>
      <c r="P9" s="9">
        <f t="shared" si="1"/>
        <v>2458.220967996234</v>
      </c>
      <c r="Q9" s="9">
        <f t="shared" si="1"/>
        <v>2532.3744091109093</v>
      </c>
      <c r="R9" s="9">
        <f t="shared" si="1"/>
        <v>2606.5278502255837</v>
      </c>
      <c r="S9" s="9">
        <f t="shared" si="1"/>
        <v>2680.6812913402596</v>
      </c>
    </row>
    <row r="10" spans="1:19" ht="15">
      <c r="A10" s="4" t="s">
        <v>5</v>
      </c>
      <c r="B10" s="16">
        <f>((((B6*0.00314)*0.5)*'Технический лист'!$I$8)+310+(((B7*0.00314)*0.5)*'Технический лист'!$I$11))*1.89</f>
        <v>1857.6179836363635</v>
      </c>
      <c r="C10" s="16">
        <f>((((C6*0.00314)*0.5)*'Технический лист'!$I$8)+310+(((C7*0.00314)*0.5)*'Технический лист'!$I$11))*1.89</f>
        <v>1964.6517059999996</v>
      </c>
      <c r="D10" s="16">
        <f>((((D6*0.00314)*0.5)*'Технический лист'!$I$8)+310+(((D7*0.00314)*0.5)*'Технический лист'!$I$11))*1.89</f>
        <v>2018.1685671818182</v>
      </c>
      <c r="E10" s="16">
        <f>((((E6*0.00314)*0.5)*'Технический лист'!$I$8)+310+(((E7*0.00314)*0.5)*'Технический лист'!$I$11))*1.89</f>
        <v>2071.685428363636</v>
      </c>
      <c r="F10" s="16">
        <f>((((F6*0.00314)*0.5)*'Технический лист'!$I$8)+310+(((F7*0.00314)*0.5)*'Технический лист'!$I$11))*1.89</f>
        <v>2125.2022895454547</v>
      </c>
      <c r="G10" s="16">
        <f>((((G6*0.00314)*0.5)*'Технический лист'!$I$8)+310+(((G7*0.00314)*0.5)*'Технический лист'!$I$11))*1.89</f>
        <v>2178.7191507272723</v>
      </c>
      <c r="H10" s="16">
        <f>((((H6*0.00314)*0.5)*'Технический лист'!$I$8)+310+(((H7*0.00314)*0.5)*'Технический лист'!$I$11))*1.89</f>
        <v>2285.752873090909</v>
      </c>
      <c r="I10" s="16">
        <f>((((I6*0.00314)*0.5)*'Технический лист'!$I$8)+310+(((I7*0.00314)*0.5)*'Технический лист'!$I$11))*1.89</f>
        <v>2392.786595454545</v>
      </c>
      <c r="J10" s="16">
        <f>((((J6*0.00314)*0.5)*'Технический лист'!$I$8)+310+(((J7*0.00314)*0.5)*'Технический лист'!$I$11))*1.89</f>
        <v>2499.8203178181816</v>
      </c>
      <c r="K10" s="16">
        <f>((((K6*0.00314)*0.5)*'Технический лист'!$I$8)+310+(((K7*0.00314)*0.5)*'Технический лист'!$I$11))*1.89</f>
        <v>2713.8877625454543</v>
      </c>
      <c r="L10" s="16">
        <f>((((L6*0.00314)*0.5)*'Технический лист'!$I$8)+310+(((L7*0.00314)*0.5)*'Технический лист'!$I$11))*1.89</f>
        <v>2927.9552072727274</v>
      </c>
      <c r="M10" s="16">
        <f>((((M6*0.00314)*0.5)*'Технический лист'!$I$8)+310+(((M7*0.00314)*0.5)*'Технический лист'!$I$11))*1.89</f>
        <v>3142.022651999999</v>
      </c>
      <c r="N10" s="16">
        <f>((((N6*0.00314)*0.5)*'Технический лист'!$I$8)+310+(((N7*0.00314)*0.5)*'Технический лист'!$I$11))*1.89</f>
        <v>3463.123819090909</v>
      </c>
      <c r="O10" s="16">
        <f>((((O6*0.00314)*0.5)*'Технический лист'!$I$8)+310+(((O7*0.00314)*0.5)*'Технический лист'!$I$11))*1.89</f>
        <v>3570.1575414545455</v>
      </c>
      <c r="P10" s="16">
        <f>((((P6*0.00314)*0.5)*'Технический лист'!$I$8)+310+(((P7*0.00314)*0.5)*'Технический лист'!$I$11))*1.89</f>
        <v>3677.1912638181816</v>
      </c>
      <c r="Q10" s="16">
        <f>((((Q6*0.00314)*0.5)*'Технический лист'!$I$8)+310+(((Q7*0.00314)*0.5)*'Технический лист'!$I$11))*1.89</f>
        <v>3784.2249861818177</v>
      </c>
      <c r="R10" s="16">
        <f>((((R6*0.00314)*0.5)*'Технический лист'!$I$8)+310+(((R7*0.00314)*0.5)*'Технический лист'!$I$11))*1.89</f>
        <v>3891.2587085454543</v>
      </c>
      <c r="S10" s="16">
        <f>((((S6*0.00314)*0.5)*'Технический лист'!$I$8)+310+(((S7*0.00314)*0.5)*'Технический лист'!$I$11))*1.89</f>
        <v>3998.2924309090904</v>
      </c>
    </row>
    <row r="11" spans="1:19" ht="15">
      <c r="A11" s="4" t="s">
        <v>96</v>
      </c>
      <c r="B11" s="9">
        <f>((B10*2)/3)-6</f>
        <v>1232.411989090909</v>
      </c>
      <c r="C11" s="9">
        <f aca="true" t="shared" si="2" ref="C11:S11">((C10*2)/3)-6</f>
        <v>1303.7678039999998</v>
      </c>
      <c r="D11" s="9">
        <f t="shared" si="2"/>
        <v>1339.4457114545455</v>
      </c>
      <c r="E11" s="9">
        <f t="shared" si="2"/>
        <v>1375.1236189090907</v>
      </c>
      <c r="F11" s="9">
        <f t="shared" si="2"/>
        <v>1410.8015263636364</v>
      </c>
      <c r="G11" s="9">
        <f t="shared" si="2"/>
        <v>1446.4794338181816</v>
      </c>
      <c r="H11" s="9">
        <f t="shared" si="2"/>
        <v>1517.8352487272725</v>
      </c>
      <c r="I11" s="9">
        <f t="shared" si="2"/>
        <v>1589.1910636363634</v>
      </c>
      <c r="J11" s="9">
        <f t="shared" si="2"/>
        <v>1660.5468785454543</v>
      </c>
      <c r="K11" s="9">
        <f t="shared" si="2"/>
        <v>1803.258508363636</v>
      </c>
      <c r="L11" s="9">
        <f t="shared" si="2"/>
        <v>1945.9701381818184</v>
      </c>
      <c r="M11" s="9">
        <f t="shared" si="2"/>
        <v>2088.6817679999995</v>
      </c>
      <c r="N11" s="9">
        <f t="shared" si="2"/>
        <v>2302.7492127272726</v>
      </c>
      <c r="O11" s="9">
        <f t="shared" si="2"/>
        <v>2374.1050276363635</v>
      </c>
      <c r="P11" s="9">
        <f t="shared" si="2"/>
        <v>2445.4608425454544</v>
      </c>
      <c r="Q11" s="9">
        <f t="shared" si="2"/>
        <v>2516.8166574545453</v>
      </c>
      <c r="R11" s="9">
        <f t="shared" si="2"/>
        <v>2588.172472363636</v>
      </c>
      <c r="S11" s="9">
        <f t="shared" si="2"/>
        <v>2659.528287272727</v>
      </c>
    </row>
    <row r="12" spans="1:19" ht="15">
      <c r="A12" s="4" t="s">
        <v>6</v>
      </c>
      <c r="B12" s="16">
        <f>((((B6*0.00314)*0.22)*'Технический лист'!$M$8)+100+(((B7*0.00314)*0.21)*'Технический лист'!$O$11)+(((B6+30)*(B6+30)/1000000)*'Технический лист'!$E$20))*1.9</f>
        <v>1009.8380354285713</v>
      </c>
      <c r="C12" s="16">
        <f>((((C6*0.00314)*0.22)*'Технический лист'!$M$8)+100+(((C7*0.00314)*0.21)*'Технический лист'!$O$11)+(((C6+30)*(C6+30)/1000000)*'Технический лист'!$E$20))*1.9</f>
        <v>1085.9836557714286</v>
      </c>
      <c r="D12" s="16">
        <f>((((D6*0.00314)*0.22)*'Технический лист'!$M$8)+100+(((D7*0.00314)*0.21)*'Технический лист'!$O$11)+(((D6+30)*(D6+30)/1000000)*'Технический лист'!$E$20))*1.9</f>
        <v>1124.6264659428573</v>
      </c>
      <c r="E12" s="16">
        <f>((((E6*0.00314)*0.22)*'Технический лист'!$M$8)+100+(((E7*0.00314)*0.21)*'Технический лист'!$O$11)+(((E6+30)*(E6+30)/1000000)*'Технический лист'!$E$20))*1.9</f>
        <v>1163.6492761142856</v>
      </c>
      <c r="F12" s="16">
        <f>((((F6*0.00314)*0.22)*'Технический лист'!$M$8)+100+(((F7*0.00314)*0.21)*'Технический лист'!$O$11)+(((F6+30)*(F6+30)/1000000)*'Технический лист'!$E$20))*1.9</f>
        <v>1203.0520862857145</v>
      </c>
      <c r="G12" s="16">
        <f>((((G6*0.00314)*0.22)*'Технический лист'!$M$8)+100+(((G7*0.00314)*0.21)*'Технический лист'!$O$11)+(((G6+30)*(G6+30)/1000000)*'Технический лист'!$E$20))*1.9</f>
        <v>1242.8348964571428</v>
      </c>
      <c r="H12" s="16">
        <f>((((H6*0.00314)*0.22)*'Технический лист'!$M$8)+100+(((H7*0.00314)*0.21)*'Технический лист'!$O$11)+(((H6+30)*(H6+30)/1000000)*'Технический лист'!$E$20))*1.9</f>
        <v>1323.5405168</v>
      </c>
      <c r="I12" s="16">
        <f>((((I6*0.00314)*0.22)*'Технический лист'!$M$8)+100+(((I7*0.00314)*0.21)*'Технический лист'!$O$11)+(((I6+30)*(I6+30)/1000000)*'Технический лист'!$E$20))*1.9</f>
        <v>1405.7661371428571</v>
      </c>
      <c r="J12" s="16">
        <f>((((J6*0.00314)*0.22)*'Технический лист'!$M$8)+100+(((J7*0.00314)*0.21)*'Технический лист'!$O$11)+(((J6+30)*(J6+30)/1000000)*'Технический лист'!$E$20))*1.9</f>
        <v>1489.511757485714</v>
      </c>
      <c r="K12" s="16">
        <f>((((K6*0.00314)*0.22)*'Технический лист'!$M$8)+100+(((K7*0.00314)*0.21)*'Технический лист'!$O$11)+(((K6+30)*(K6+30)/1000000)*'Технический лист'!$E$20))*1.9</f>
        <v>1661.5629981714283</v>
      </c>
      <c r="L12" s="16">
        <f>((((L6*0.00314)*0.22)*'Технический лист'!$M$8)+100+(((L7*0.00314)*0.21)*'Технический лист'!$O$11)+(((L6+30)*(L6+30)/1000000)*'Технический лист'!$E$20))*1.9</f>
        <v>1839.6942388571426</v>
      </c>
      <c r="M12" s="16">
        <f>((((M6*0.00314)*0.22)*'Технический лист'!$M$8)+100+(((M7*0.00314)*0.21)*'Технический лист'!$O$11)+(((M6+30)*(M6+30)/1000000)*'Технический лист'!$E$20))*1.9</f>
        <v>2023.9054795428574</v>
      </c>
      <c r="N12" s="16">
        <f>((((N6*0.00314)*0.22)*'Технический лист'!$M$8)+100+(((N7*0.00314)*0.21)*'Технический лист'!$O$11)+(((N6+30)*(N6+30)/1000000)*'Технический лист'!$E$20))*1.9</f>
        <v>2311.622340571428</v>
      </c>
      <c r="O12" s="16">
        <f>((((O6*0.00314)*0.22)*'Технический лист'!$M$8)+100+(((O7*0.00314)*0.21)*'Технический лист'!$O$11)+(((O6+30)*(O6+30)/1000000)*'Технический лист'!$E$20))*1.9</f>
        <v>2410.567960914286</v>
      </c>
      <c r="P12" s="16">
        <f>((((P6*0.00314)*0.22)*'Технический лист'!$M$8)+100+(((P7*0.00314)*0.21)*'Технический лист'!$O$11)+(((P6+30)*(P6+30)/1000000)*'Технический лист'!$E$20))*1.9</f>
        <v>2511.0335812571425</v>
      </c>
      <c r="Q12" s="16">
        <f>((((Q6*0.00314)*0.22)*'Технический лист'!$M$8)+100+(((Q7*0.00314)*0.21)*'Технический лист'!$O$11)+(((Q6+30)*(Q6+30)/1000000)*'Технический лист'!$E$20))*1.9</f>
        <v>2613.0192015999996</v>
      </c>
      <c r="R12" s="16">
        <f>((((R6*0.00314)*0.22)*'Технический лист'!$M$8)+100+(((R7*0.00314)*0.21)*'Технический лист'!$O$11)+(((R6+30)*(R6+30)/1000000)*'Технический лист'!$E$20))*1.9</f>
        <v>2716.5248219428568</v>
      </c>
      <c r="S12" s="16">
        <f>((((S6*0.00314)*0.22)*'Технический лист'!$M$8)+100+(((S7*0.00314)*0.21)*'Технический лист'!$O$11)+(((S6+30)*(S6+30)/1000000)*'Технический лист'!$E$20))*1.9</f>
        <v>2821.5504422857134</v>
      </c>
    </row>
    <row r="13" spans="1:19" ht="15">
      <c r="A13" s="4" t="s">
        <v>7</v>
      </c>
      <c r="B13" s="9">
        <f>(B12*2.2)+24</f>
        <v>2245.643677942857</v>
      </c>
      <c r="C13" s="9">
        <f aca="true" t="shared" si="3" ref="C13:S13">(C12*2.2)+24</f>
        <v>2413.164042697143</v>
      </c>
      <c r="D13" s="9">
        <f t="shared" si="3"/>
        <v>2498.1782250742863</v>
      </c>
      <c r="E13" s="9">
        <f t="shared" si="3"/>
        <v>2584.0284074514284</v>
      </c>
      <c r="F13" s="9">
        <f t="shared" si="3"/>
        <v>2670.714589828572</v>
      </c>
      <c r="G13" s="9">
        <f t="shared" si="3"/>
        <v>2758.2367722057143</v>
      </c>
      <c r="H13" s="9">
        <f t="shared" si="3"/>
        <v>2935.78913696</v>
      </c>
      <c r="I13" s="9">
        <f t="shared" si="3"/>
        <v>3116.685501714286</v>
      </c>
      <c r="J13" s="9">
        <f t="shared" si="3"/>
        <v>3300.9258664685713</v>
      </c>
      <c r="K13" s="9">
        <f t="shared" si="3"/>
        <v>3679.4385959771425</v>
      </c>
      <c r="L13" s="9">
        <f t="shared" si="3"/>
        <v>4071.327325485714</v>
      </c>
      <c r="M13" s="9">
        <f t="shared" si="3"/>
        <v>4476.592054994287</v>
      </c>
      <c r="N13" s="9">
        <f t="shared" si="3"/>
        <v>5109.569149257142</v>
      </c>
      <c r="O13" s="9">
        <f t="shared" si="3"/>
        <v>5327.249514011429</v>
      </c>
      <c r="P13" s="9">
        <f t="shared" si="3"/>
        <v>5548.273878765714</v>
      </c>
      <c r="Q13" s="9">
        <f t="shared" si="3"/>
        <v>5772.642243519999</v>
      </c>
      <c r="R13" s="9">
        <f t="shared" si="3"/>
        <v>6000.354608274285</v>
      </c>
      <c r="S13" s="9">
        <f t="shared" si="3"/>
        <v>6231.41097302857</v>
      </c>
    </row>
    <row r="14" spans="1:19" ht="15">
      <c r="A14" s="4" t="s">
        <v>8</v>
      </c>
      <c r="B14" s="16">
        <f>((((B6*0.00314)*0.2)*'Технический лист'!$M$8)+50+(((B7*0.00314)*0.22)*'Технический лист'!$O$11))*1.89</f>
        <v>756.9803742545454</v>
      </c>
      <c r="C14" s="16">
        <f>((((C6*0.00314)*0.2)*'Технический лист'!$M$8)+50+(((C7*0.00314)*0.22)*'Технический лист'!$O$11))*1.89</f>
        <v>809.1452102399999</v>
      </c>
      <c r="D14" s="16">
        <f>((((D6*0.00314)*0.2)*'Технический лист'!$M$8)+50+(((D7*0.00314)*0.22)*'Технический лист'!$O$11))*1.89</f>
        <v>835.2276282327273</v>
      </c>
      <c r="E14" s="16">
        <f>((((E6*0.00314)*0.2)*'Технический лист'!$M$8)+50+(((E7*0.00314)*0.22)*'Технический лист'!$O$11))*1.89</f>
        <v>861.3100462254547</v>
      </c>
      <c r="F14" s="16">
        <f>((((F6*0.00314)*0.2)*'Технический лист'!$M$8)+50+(((F7*0.00314)*0.22)*'Технический лист'!$O$11))*1.89</f>
        <v>887.392464218182</v>
      </c>
      <c r="G14" s="16">
        <f>((((G6*0.00314)*0.2)*'Технический лист'!$M$8)+50+(((G7*0.00314)*0.22)*'Технический лист'!$O$11))*1.89</f>
        <v>913.4748822109091</v>
      </c>
      <c r="H14" s="16">
        <f>((((H6*0.00314)*0.2)*'Технический лист'!$M$8)+50+(((H7*0.00314)*0.22)*'Технический лист'!$O$11))*1.89</f>
        <v>965.6397181963636</v>
      </c>
      <c r="I14" s="16">
        <f>((((I6*0.00314)*0.2)*'Технический лист'!$M$8)+50+(((I7*0.00314)*0.22)*'Технический лист'!$O$11))*1.89</f>
        <v>1017.804554181818</v>
      </c>
      <c r="J14" s="16">
        <f>((((J6*0.00314)*0.2)*'Технический лист'!$M$8)+50+(((J7*0.00314)*0.22)*'Технический лист'!$O$11))*1.89</f>
        <v>1069.9693901672726</v>
      </c>
      <c r="K14" s="16">
        <f>((((K6*0.00314)*0.2)*'Технический лист'!$M$8)+50+(((K7*0.00314)*0.22)*'Технический лист'!$O$11))*1.89</f>
        <v>1174.2990621381819</v>
      </c>
      <c r="L14" s="16">
        <f>((((L6*0.00314)*0.2)*'Технический лист'!$M$8)+50+(((L7*0.00314)*0.22)*'Технический лист'!$O$11))*1.89</f>
        <v>1278.628734109091</v>
      </c>
      <c r="M14" s="16">
        <f>((((M6*0.00314)*0.2)*'Технический лист'!$M$8)+50+(((M7*0.00314)*0.22)*'Технический лист'!$O$11))*1.89</f>
        <v>1382.9584060799998</v>
      </c>
      <c r="N14" s="16">
        <f>((((N6*0.00314)*0.2)*'Технический лист'!$M$8)+50+(((N7*0.00314)*0.22)*'Технический лист'!$O$11))*1.89</f>
        <v>1539.4529140363638</v>
      </c>
      <c r="O14" s="16">
        <f>((((O6*0.00314)*0.2)*'Технический лист'!$M$8)+50+(((O7*0.00314)*0.22)*'Технический лист'!$O$11))*1.89</f>
        <v>1591.617750021818</v>
      </c>
      <c r="P14" s="16">
        <f>((((P6*0.00314)*0.2)*'Технический лист'!$M$8)+50+(((P7*0.00314)*0.22)*'Технический лист'!$O$11))*1.89</f>
        <v>1643.7825860072728</v>
      </c>
      <c r="Q14" s="16">
        <f>((((Q6*0.00314)*0.2)*'Технический лист'!$M$8)+50+(((Q7*0.00314)*0.22)*'Технический лист'!$O$11))*1.89</f>
        <v>1695.9474219927272</v>
      </c>
      <c r="R14" s="16">
        <f>((((R6*0.00314)*0.2)*'Технический лист'!$M$8)+50+(((R7*0.00314)*0.22)*'Технический лист'!$O$11))*1.89</f>
        <v>1748.1122579781818</v>
      </c>
      <c r="S14" s="16">
        <f>((((S6*0.00314)*0.2)*'Технический лист'!$M$8)+50+(((S7*0.00314)*0.22)*'Технический лист'!$O$11))*1.89</f>
        <v>1800.2770939636364</v>
      </c>
    </row>
    <row r="15" spans="1:19" ht="15">
      <c r="A15" s="4" t="s">
        <v>99</v>
      </c>
      <c r="B15" s="16">
        <v>2470</v>
      </c>
      <c r="C15" s="16">
        <v>2645</v>
      </c>
      <c r="D15" s="16">
        <v>2730</v>
      </c>
      <c r="E15" s="16">
        <v>2825</v>
      </c>
      <c r="F15" s="16">
        <v>2915</v>
      </c>
      <c r="G15" s="16">
        <v>3005</v>
      </c>
      <c r="H15" s="16">
        <v>3195</v>
      </c>
      <c r="I15" s="16">
        <v>3390</v>
      </c>
      <c r="J15" s="16">
        <v>3590</v>
      </c>
      <c r="K15" s="16">
        <v>3990</v>
      </c>
      <c r="L15" s="16">
        <v>4420</v>
      </c>
      <c r="M15" s="16">
        <v>4860</v>
      </c>
      <c r="N15" s="16">
        <v>5570</v>
      </c>
      <c r="O15" s="16">
        <v>5810</v>
      </c>
      <c r="P15" s="16">
        <v>6060</v>
      </c>
      <c r="Q15" s="16">
        <v>6310</v>
      </c>
      <c r="R15" s="16">
        <v>6570</v>
      </c>
      <c r="S15" s="16">
        <v>6830</v>
      </c>
    </row>
    <row r="16" spans="1:19" ht="15">
      <c r="A16" s="4" t="s">
        <v>102</v>
      </c>
      <c r="B16" s="16">
        <v>2470</v>
      </c>
      <c r="C16" s="16">
        <v>2645</v>
      </c>
      <c r="D16" s="16">
        <v>2730</v>
      </c>
      <c r="E16" s="16">
        <v>2825</v>
      </c>
      <c r="F16" s="16">
        <v>2915</v>
      </c>
      <c r="G16" s="16">
        <v>3005</v>
      </c>
      <c r="H16" s="16">
        <v>3195</v>
      </c>
      <c r="I16" s="16">
        <v>3390</v>
      </c>
      <c r="J16" s="16">
        <v>3590</v>
      </c>
      <c r="K16" s="16">
        <v>3990</v>
      </c>
      <c r="L16" s="16">
        <v>4420</v>
      </c>
      <c r="M16" s="16">
        <v>4860</v>
      </c>
      <c r="N16" s="16">
        <v>5570</v>
      </c>
      <c r="O16" s="16">
        <v>5810</v>
      </c>
      <c r="P16" s="16">
        <v>6060</v>
      </c>
      <c r="Q16" s="16">
        <v>6310</v>
      </c>
      <c r="R16" s="16">
        <v>6570</v>
      </c>
      <c r="S16" s="16">
        <v>6830</v>
      </c>
    </row>
    <row r="17" spans="1:19" ht="15">
      <c r="A17" s="4" t="s">
        <v>9</v>
      </c>
      <c r="B17" s="9">
        <f>((((B6*0.00314)*((B6+545)/1000))*'Технический лист'!$K$8)+370+((B7*0.00314)*((B7+450)/1000))*'Технический лист'!$K$11)*1.98</f>
        <v>2467.485706285714</v>
      </c>
      <c r="C17" s="9">
        <f>((((C6*0.00314)*((C6+545)/1000))*'Технический лист'!$K$8)+370+((C7*0.00314)*((C7+450)/1000))*'Технический лист'!$K$11)*1.98</f>
        <v>2642.641433897143</v>
      </c>
      <c r="D17" s="9">
        <f>((((D6*0.00314)*((D6+545)/1000))*'Технический лист'!$K$8)+370+((D7*0.00314)*((D7+450)/1000))*'Технический лист'!$K$11)*1.98</f>
        <v>2731.915244897143</v>
      </c>
      <c r="E17" s="9">
        <f>((((E6*0.00314)*((E6+545)/1000))*'Технический лист'!$K$8)+370+((E7*0.00314)*((E7+450)/1000))*'Технический лист'!$K$11)*1.98</f>
        <v>2822.3196873599995</v>
      </c>
      <c r="F17" s="9">
        <f>((((F6*0.00314)*((F6+545)/1000))*'Технический лист'!$K$8)+370+((F7*0.00314)*((F7+450)/1000))*'Технический лист'!$K$11)*1.98</f>
        <v>2913.8547612857137</v>
      </c>
      <c r="G17" s="9">
        <f>((((G6*0.00314)*((G6+545)/1000))*'Технический лист'!$K$8)+370+((G7*0.00314)*((G7+450)/1000))*'Технический лист'!$K$11)*1.98</f>
        <v>3006.520466674286</v>
      </c>
      <c r="H17" s="9">
        <f>((((H6*0.00314)*((H6+545)/1000))*'Технический лист'!$K$8)+370+((H7*0.00314)*((H7+450)/1000))*'Технический лист'!$K$11)*1.98</f>
        <v>3195.24377184</v>
      </c>
      <c r="I17" s="9">
        <f>((((I6*0.00314)*((I6+545)/1000))*'Технический лист'!$K$8)+370+((I7*0.00314)*((I7+450)/1000))*'Технический лист'!$K$11)*1.98</f>
        <v>3388.4896028571425</v>
      </c>
      <c r="J17" s="9">
        <f>((((J6*0.00314)*((J6+545)/1000))*'Технический лист'!$K$8)+370+((J7*0.00314)*((J7+450)/1000))*'Технический лист'!$K$11)*1.98</f>
        <v>3586.2579597257136</v>
      </c>
      <c r="K17" s="9">
        <f>((((K6*0.00314)*((K6+545)/1000))*'Технический лист'!$K$8)+370+((K7*0.00314)*((K7+450)/1000))*'Технический лист'!$K$11)*1.98</f>
        <v>3995.362251017142</v>
      </c>
      <c r="L17" s="9">
        <f>((((L6*0.00314)*((L6+545)/1000))*'Технический лист'!$K$8)+370+((L7*0.00314)*((L7+450)/1000))*'Технический лист'!$K$11)*1.98</f>
        <v>4422.556645714285</v>
      </c>
      <c r="M17" s="9">
        <f>((((M6*0.00314)*((M6+545)/1000))*'Технический лист'!$K$8)+370+((M7*0.00314)*((M7+450)/1000))*'Технический лист'!$K$11)*1.98</f>
        <v>4867.841143817142</v>
      </c>
      <c r="N17" s="9">
        <f>((((N6*0.00314)*((N6+545)/1000))*'Технический лист'!$K$8)+370+((N7*0.00314)*((N7+450)/1000))*'Технический лист'!$K$11)*1.98</f>
        <v>5569.6868348571425</v>
      </c>
      <c r="O17" s="9">
        <f>((((O6*0.00314)*((O6+545)/1000))*'Технический лист'!$K$8)+370+((O7*0.00314)*((O7+450)/1000))*'Технический лист'!$K$11)*1.98</f>
        <v>5812.68045024</v>
      </c>
      <c r="P17" s="9">
        <f>((((P6*0.00314)*((P6+545)/1000))*'Технический лист'!$K$8)+370+((P7*0.00314)*((P7+450)/1000))*'Технический лист'!$K$11)*1.98</f>
        <v>6060.196591474285</v>
      </c>
      <c r="Q17" s="9">
        <f>((((Q6*0.00314)*((Q6+545)/1000))*'Технический лист'!$K$8)+370+((Q7*0.00314)*((Q7+450)/1000))*'Технический лист'!$K$11)*1.98</f>
        <v>6312.235258559999</v>
      </c>
      <c r="R17" s="9">
        <f>((((R6*0.00314)*((R6+545)/1000))*'Технический лист'!$K$8)+370+((R7*0.00314)*((R7+450)/1000))*'Технический лист'!$K$11)*1.98</f>
        <v>6568.796451497142</v>
      </c>
      <c r="S17" s="9">
        <f>((((S6*0.00314)*((S6+545)/1000))*'Технический лист'!$K$8)+370+((S7*0.00314)*((S7+450)/1000))*'Технический лист'!$K$11)*1.98</f>
        <v>6829.880170285714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1000</v>
      </c>
      <c r="C19" s="16">
        <v>1000</v>
      </c>
      <c r="D19" s="16">
        <v>1000</v>
      </c>
      <c r="E19" s="16">
        <v>1000</v>
      </c>
      <c r="F19" s="16">
        <v>1000</v>
      </c>
      <c r="G19" s="16">
        <v>1000</v>
      </c>
      <c r="H19" s="16">
        <v>1000</v>
      </c>
      <c r="I19" s="16">
        <v>1000</v>
      </c>
      <c r="J19" s="16">
        <v>1000</v>
      </c>
      <c r="K19" s="16">
        <v>1000</v>
      </c>
      <c r="L19" s="16">
        <v>1100</v>
      </c>
      <c r="M19" s="16">
        <v>1100</v>
      </c>
      <c r="N19" s="16">
        <v>1100</v>
      </c>
      <c r="O19" s="16">
        <v>1100</v>
      </c>
      <c r="P19" s="16">
        <v>1100</v>
      </c>
      <c r="Q19" s="16">
        <v>1100</v>
      </c>
      <c r="R19" s="16">
        <v>1100</v>
      </c>
      <c r="S19" s="16">
        <v>1100</v>
      </c>
    </row>
    <row r="21" spans="1:14" ht="15">
      <c r="A21" s="41" t="s">
        <v>134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4" ref="C23:S23">C22+100</f>
        <v>210</v>
      </c>
      <c r="D23" s="10">
        <f t="shared" si="4"/>
        <v>215</v>
      </c>
      <c r="E23" s="10">
        <f t="shared" si="4"/>
        <v>220</v>
      </c>
      <c r="F23" s="10">
        <f t="shared" si="4"/>
        <v>225</v>
      </c>
      <c r="G23" s="10">
        <f t="shared" si="4"/>
        <v>230</v>
      </c>
      <c r="H23" s="10">
        <f t="shared" si="4"/>
        <v>240</v>
      </c>
      <c r="I23" s="10">
        <f t="shared" si="4"/>
        <v>250</v>
      </c>
      <c r="J23" s="10">
        <f t="shared" si="4"/>
        <v>260</v>
      </c>
      <c r="K23" s="10">
        <f t="shared" si="4"/>
        <v>280</v>
      </c>
      <c r="L23" s="10">
        <f t="shared" si="4"/>
        <v>300</v>
      </c>
      <c r="M23" s="10">
        <f t="shared" si="4"/>
        <v>320</v>
      </c>
      <c r="N23" s="10">
        <f t="shared" si="4"/>
        <v>350</v>
      </c>
      <c r="O23" s="10">
        <f t="shared" si="4"/>
        <v>360</v>
      </c>
      <c r="P23" s="10">
        <f t="shared" si="4"/>
        <v>370</v>
      </c>
      <c r="Q23" s="10">
        <f t="shared" si="4"/>
        <v>380</v>
      </c>
      <c r="R23" s="10">
        <f t="shared" si="4"/>
        <v>390</v>
      </c>
      <c r="S23" s="10">
        <f t="shared" si="4"/>
        <v>400</v>
      </c>
    </row>
    <row r="24" spans="1:19" ht="15">
      <c r="A24" s="4" t="s">
        <v>4</v>
      </c>
      <c r="B24" s="16">
        <f>(((B22*0.00314)*'Технический лист'!$G$8)+365+((B23*0.00314)*'Технический лист'!$G$5))*1.83</f>
        <v>3156.308328311688</v>
      </c>
      <c r="C24" s="16">
        <f>(((C22*0.00314)*'Технический лист'!$G$8)+365+((C23*0.00314)*'Технический лист'!$G$5))*1.83</f>
        <v>3339.8673291428568</v>
      </c>
      <c r="D24" s="16">
        <f>(((D22*0.00314)*'Технический лист'!$G$8)+365+((D23*0.00314)*'Технический лист'!$G$5))*1.83</f>
        <v>3431.646829558442</v>
      </c>
      <c r="E24" s="16">
        <f>(((E22*0.00314)*'Технический лист'!$G$8)+365+((E23*0.00314)*'Технический лист'!$G$5))*1.83</f>
        <v>3523.426329974026</v>
      </c>
      <c r="F24" s="16">
        <f>(((F22*0.00314)*'Технический лист'!$G$8)+365+((F23*0.00314)*'Технический лист'!$G$5))*1.83</f>
        <v>3615.2058303896106</v>
      </c>
      <c r="G24" s="16">
        <f>(((G22*0.00314)*'Технический лист'!$G$8)+365+((G23*0.00314)*'Технический лист'!$G$5))*1.83</f>
        <v>3706.9853308051943</v>
      </c>
      <c r="H24" s="16">
        <f>(((H22*0.00314)*'Технический лист'!$G$8)+365+((H23*0.00314)*'Технический лист'!$G$5))*1.83</f>
        <v>3890.5443316363635</v>
      </c>
      <c r="I24" s="16">
        <f>(((I22*0.00314)*'Технический лист'!$G$8)+365+((I23*0.00314)*'Технический лист'!$G$5))*1.83</f>
        <v>4074.1033324675323</v>
      </c>
      <c r="J24" s="16">
        <f>(((J22*0.00314)*'Технический лист'!$G$8)+365+((J23*0.00314)*'Технический лист'!$G$5))*1.83</f>
        <v>4257.662333298701</v>
      </c>
      <c r="K24" s="16">
        <f>(((K22*0.00314)*'Технический лист'!$G$8)+365+((K23*0.00314)*'Технический лист'!$G$5))*1.83</f>
        <v>4624.780334961039</v>
      </c>
      <c r="L24" s="16">
        <f>(((L22*0.00314)*'Технический лист'!$G$8)+365+((L23*0.00314)*'Технический лист'!$G$5))*1.83</f>
        <v>4991.898336623377</v>
      </c>
      <c r="M24" s="16">
        <f>(((M22*0.00314)*'Технический лист'!$G$8)+365+((M23*0.00314)*'Технический лист'!$G$5))*1.83</f>
        <v>5359.016338285714</v>
      </c>
      <c r="N24" s="16">
        <f>(((N22*0.00314)*'Технический лист'!$G$8)+365+((N23*0.00314)*'Технический лист'!$G$5))*1.83</f>
        <v>5909.69334077922</v>
      </c>
      <c r="O24" s="16">
        <f>(((O22*0.00314)*'Технический лист'!$G$8)+365+((O23*0.00314)*'Технический лист'!$G$5))*1.83</f>
        <v>6093.2523416103895</v>
      </c>
      <c r="P24" s="16">
        <f>(((P22*0.00314)*'Технический лист'!$G$8)+365+((P23*0.00314)*'Технический лист'!$G$5))*1.83</f>
        <v>6276.811342441559</v>
      </c>
      <c r="Q24" s="16">
        <f>(((Q22*0.00314)*'Технический лист'!$G$8)+365+((Q23*0.00314)*'Технический лист'!$G$5))*1.83</f>
        <v>6460.370343272728</v>
      </c>
      <c r="R24" s="16">
        <f>(((R22*0.00314)*'Технический лист'!$G$8)+365+((R23*0.00314)*'Технический лист'!$G$5))*1.83</f>
        <v>6643.929344103895</v>
      </c>
      <c r="S24" s="16">
        <f>(((S22*0.00314)*'Технический лист'!$G$8)+365+((S23*0.00314)*'Технический лист'!$G$5))*1.83</f>
        <v>6827.488344935065</v>
      </c>
    </row>
    <row r="25" spans="1:19" ht="15">
      <c r="A25" s="4" t="s">
        <v>3</v>
      </c>
      <c r="B25" s="9">
        <f>((B24/2)*1.07)-10</f>
        <v>1678.6249556467533</v>
      </c>
      <c r="C25" s="9">
        <f aca="true" t="shared" si="5" ref="C25:S25">((C24/2)*1.07)-10</f>
        <v>1776.8290210914286</v>
      </c>
      <c r="D25" s="9">
        <f t="shared" si="5"/>
        <v>1825.9310538137665</v>
      </c>
      <c r="E25" s="9">
        <f t="shared" si="5"/>
        <v>1875.033086536104</v>
      </c>
      <c r="F25" s="9">
        <f t="shared" si="5"/>
        <v>1924.1351192584418</v>
      </c>
      <c r="G25" s="9">
        <f t="shared" si="5"/>
        <v>1973.2371519807791</v>
      </c>
      <c r="H25" s="9">
        <f t="shared" si="5"/>
        <v>2071.4412174254544</v>
      </c>
      <c r="I25" s="9">
        <f t="shared" si="5"/>
        <v>2169.64528287013</v>
      </c>
      <c r="J25" s="9">
        <f t="shared" si="5"/>
        <v>2267.849348314805</v>
      </c>
      <c r="K25" s="9">
        <f t="shared" si="5"/>
        <v>2464.2574792041564</v>
      </c>
      <c r="L25" s="9">
        <f t="shared" si="5"/>
        <v>2660.665610093507</v>
      </c>
      <c r="M25" s="9">
        <f t="shared" si="5"/>
        <v>2857.073740982857</v>
      </c>
      <c r="N25" s="9">
        <f t="shared" si="5"/>
        <v>3151.685937316883</v>
      </c>
      <c r="O25" s="9">
        <f t="shared" si="5"/>
        <v>3249.8900027615587</v>
      </c>
      <c r="P25" s="9">
        <f t="shared" si="5"/>
        <v>3348.094068206234</v>
      </c>
      <c r="Q25" s="9">
        <f t="shared" si="5"/>
        <v>3446.2981336509097</v>
      </c>
      <c r="R25" s="9">
        <f t="shared" si="5"/>
        <v>3544.5021990955843</v>
      </c>
      <c r="S25" s="9">
        <f t="shared" si="5"/>
        <v>3642.70626454026</v>
      </c>
    </row>
    <row r="26" spans="1:19" ht="15">
      <c r="A26" s="4" t="s">
        <v>5</v>
      </c>
      <c r="B26" s="16">
        <f>((((B22*0.00314)*0.5)*'Технический лист'!$I$8)+310+(((B23*0.00314)*0.5)*'Технический лист'!$I$5))*1.9</f>
        <v>2528.0817168831168</v>
      </c>
      <c r="C26" s="16">
        <f>((((C22*0.00314)*0.5)*'Технический лист'!$I$8)+310+(((C23*0.00314)*0.5)*'Технический лист'!$I$5))*1.9</f>
        <v>2668.713508571428</v>
      </c>
      <c r="D26" s="16">
        <f>((((D22*0.00314)*0.5)*'Технический лист'!$I$8)+310+(((D23*0.00314)*0.5)*'Технический лист'!$I$5))*1.9</f>
        <v>2739.0294044155844</v>
      </c>
      <c r="E26" s="16">
        <f>((((E22*0.00314)*0.5)*'Технический лист'!$I$8)+310+(((E23*0.00314)*0.5)*'Технический лист'!$I$5))*1.9</f>
        <v>2809.3453002597403</v>
      </c>
      <c r="F26" s="16">
        <f>((((F22*0.00314)*0.5)*'Технический лист'!$I$8)+310+(((F23*0.00314)*0.5)*'Технический лист'!$I$5))*1.9</f>
        <v>2879.6611961038957</v>
      </c>
      <c r="G26" s="16">
        <f>((((G22*0.00314)*0.5)*'Технический лист'!$I$8)+310+(((G23*0.00314)*0.5)*'Технический лист'!$I$5))*1.9</f>
        <v>2949.9770919480516</v>
      </c>
      <c r="H26" s="16">
        <f>((((H22*0.00314)*0.5)*'Технический лист'!$I$8)+310+(((H23*0.00314)*0.5)*'Технический лист'!$I$5))*1.9</f>
        <v>3090.6088836363633</v>
      </c>
      <c r="I26" s="16">
        <f>((((I22*0.00314)*0.5)*'Технический лист'!$I$8)+310+(((I23*0.00314)*0.5)*'Технический лист'!$I$5))*1.9</f>
        <v>3231.240675324675</v>
      </c>
      <c r="J26" s="16">
        <f>((((J22*0.00314)*0.5)*'Технический лист'!$I$8)+310+(((J23*0.00314)*0.5)*'Технический лист'!$I$5))*1.9</f>
        <v>3371.872467012987</v>
      </c>
      <c r="K26" s="16">
        <f>((((K22*0.00314)*0.5)*'Технический лист'!$I$8)+310+(((K23*0.00314)*0.5)*'Технический лист'!$I$5))*1.9</f>
        <v>3653.1360503896103</v>
      </c>
      <c r="L26" s="16">
        <f>((((L22*0.00314)*0.5)*'Технический лист'!$I$8)+310+(((L23*0.00314)*0.5)*'Технический лист'!$I$5))*1.9</f>
        <v>3934.3996337662334</v>
      </c>
      <c r="M26" s="16">
        <f>((((M22*0.00314)*0.5)*'Технический лист'!$I$8)+310+(((M23*0.00314)*0.5)*'Технический лист'!$I$5))*1.9</f>
        <v>4215.663217142856</v>
      </c>
      <c r="N26" s="16">
        <f>((((N22*0.00314)*0.5)*'Технический лист'!$I$8)+310+(((N23*0.00314)*0.5)*'Технический лист'!$I$5))*1.9</f>
        <v>4637.558592207792</v>
      </c>
      <c r="O26" s="16">
        <f>((((O22*0.00314)*0.5)*'Технический лист'!$I$8)+310+(((O23*0.00314)*0.5)*'Технический лист'!$I$5))*1.9</f>
        <v>4778.190383896104</v>
      </c>
      <c r="P26" s="16">
        <f>((((P22*0.00314)*0.5)*'Технический лист'!$I$8)+310+(((P23*0.00314)*0.5)*'Технический лист'!$I$5))*1.9</f>
        <v>4918.822175584415</v>
      </c>
      <c r="Q26" s="16">
        <f>((((Q22*0.00314)*0.5)*'Технический лист'!$I$8)+310+(((Q23*0.00314)*0.5)*'Технический лист'!$I$5))*1.9</f>
        <v>5059.453967272727</v>
      </c>
      <c r="R26" s="16">
        <f>((((R22*0.00314)*0.5)*'Технический лист'!$I$8)+310+(((R23*0.00314)*0.5)*'Технический лист'!$I$5))*1.9</f>
        <v>5200.085758961039</v>
      </c>
      <c r="S26" s="16">
        <f>((((S22*0.00314)*0.5)*'Технический лист'!$I$8)+310+(((S23*0.00314)*0.5)*'Технический лист'!$I$5))*1.9</f>
        <v>5340.71755064935</v>
      </c>
    </row>
    <row r="27" spans="1:19" ht="15">
      <c r="A27" s="4" t="s">
        <v>96</v>
      </c>
      <c r="B27" s="9">
        <f>((B26*2)/3)-6</f>
        <v>1679.3878112554112</v>
      </c>
      <c r="C27" s="9">
        <f aca="true" t="shared" si="6" ref="C27:S27">((C26*2)/3)-6</f>
        <v>1773.1423390476186</v>
      </c>
      <c r="D27" s="9">
        <f t="shared" si="6"/>
        <v>1820.019602943723</v>
      </c>
      <c r="E27" s="9">
        <f t="shared" si="6"/>
        <v>1866.8968668398268</v>
      </c>
      <c r="F27" s="9">
        <f t="shared" si="6"/>
        <v>1913.7741307359304</v>
      </c>
      <c r="G27" s="9">
        <f t="shared" si="6"/>
        <v>1960.6513946320345</v>
      </c>
      <c r="H27" s="9">
        <f t="shared" si="6"/>
        <v>2054.4059224242424</v>
      </c>
      <c r="I27" s="9">
        <f t="shared" si="6"/>
        <v>2148.16045021645</v>
      </c>
      <c r="J27" s="9">
        <f t="shared" si="6"/>
        <v>2241.9149780086577</v>
      </c>
      <c r="K27" s="9">
        <f t="shared" si="6"/>
        <v>2429.4240335930735</v>
      </c>
      <c r="L27" s="9">
        <f t="shared" si="6"/>
        <v>2616.933089177489</v>
      </c>
      <c r="M27" s="9">
        <f t="shared" si="6"/>
        <v>2804.4421447619043</v>
      </c>
      <c r="N27" s="9">
        <f t="shared" si="6"/>
        <v>3085.705728138528</v>
      </c>
      <c r="O27" s="9">
        <f t="shared" si="6"/>
        <v>3179.4602559307364</v>
      </c>
      <c r="P27" s="9">
        <f t="shared" si="6"/>
        <v>3273.2147837229436</v>
      </c>
      <c r="Q27" s="9">
        <f t="shared" si="6"/>
        <v>3366.9693115151513</v>
      </c>
      <c r="R27" s="9">
        <f t="shared" si="6"/>
        <v>3460.723839307359</v>
      </c>
      <c r="S27" s="9">
        <f t="shared" si="6"/>
        <v>3554.478367099567</v>
      </c>
    </row>
    <row r="28" spans="1:19" ht="15">
      <c r="A28" s="4" t="s">
        <v>6</v>
      </c>
      <c r="B28" s="16">
        <f>((((B22*0.00314)*0.22)*'Технический лист'!$M$8)+100+(((B23*0.00314)*0.21)*'Технический лист'!$O$5)+(((B22+30)*(B22+30)/1000000)*'Технический лист'!$E$20))*1.9</f>
        <v>1244.7075234285712</v>
      </c>
      <c r="C28" s="16">
        <f>((((C22*0.00314)*0.22)*'Технический лист'!$M$8)+100+(((C23*0.00314)*0.21)*'Технический лист'!$O$5)+(((C22+30)*(C22+30)/1000000)*'Технический лист'!$E$20))*1.9</f>
        <v>1332.5966181714282</v>
      </c>
      <c r="D28" s="16">
        <f>((((D22*0.00314)*0.22)*'Технический лист'!$M$8)+100+(((D23*0.00314)*0.21)*'Технический лист'!$O$5)+(((D22+30)*(D22+30)/1000000)*'Технический лист'!$E$20))*1.9</f>
        <v>1377.1111655428572</v>
      </c>
      <c r="E28" s="16">
        <f>((((E22*0.00314)*0.22)*'Технический лист'!$M$8)+100+(((E23*0.00314)*0.21)*'Технический лист'!$O$5)+(((E22+30)*(E22+30)/1000000)*'Технический лист'!$E$20))*1.9</f>
        <v>1422.0057129142856</v>
      </c>
      <c r="F28" s="16">
        <f>((((F22*0.00314)*0.22)*'Технический лист'!$M$8)+100+(((F23*0.00314)*0.21)*'Технический лист'!$O$5)+(((F22+30)*(F22+30)/1000000)*'Технический лист'!$E$20))*1.9</f>
        <v>1467.2802602857143</v>
      </c>
      <c r="G28" s="16">
        <f>((((G22*0.00314)*0.22)*'Технический лист'!$M$8)+100+(((G23*0.00314)*0.21)*'Технический лист'!$O$5)+(((G22+30)*(G22+30)/1000000)*'Технический лист'!$E$20))*1.9</f>
        <v>1512.9348076571428</v>
      </c>
      <c r="H28" s="16">
        <f>((((H22*0.00314)*0.22)*'Технический лист'!$M$8)+100+(((H23*0.00314)*0.21)*'Технический лист'!$O$5)+(((H22+30)*(H22+30)/1000000)*'Технический лист'!$E$20))*1.9</f>
        <v>1605.3839024</v>
      </c>
      <c r="I28" s="16">
        <f>((((I22*0.00314)*0.22)*'Технический лист'!$M$8)+100+(((I23*0.00314)*0.21)*'Технический лист'!$O$5)+(((I22+30)*(I22+30)/1000000)*'Технический лист'!$E$20))*1.9</f>
        <v>1699.352997142857</v>
      </c>
      <c r="J28" s="16">
        <f>((((J22*0.00314)*0.22)*'Технический лист'!$M$8)+100+(((J23*0.00314)*0.21)*'Технический лист'!$O$5)+(((J22+30)*(J22+30)/1000000)*'Технический лист'!$E$20))*1.9</f>
        <v>1794.842091885714</v>
      </c>
      <c r="K28" s="16">
        <f>((((K22*0.00314)*0.22)*'Технический лист'!$M$8)+100+(((K23*0.00314)*0.21)*'Технический лист'!$O$5)+(((K22+30)*(K22+30)/1000000)*'Технический лист'!$E$20))*1.9</f>
        <v>1990.3802813714283</v>
      </c>
      <c r="L28" s="16">
        <f>((((L22*0.00314)*0.22)*'Технический лист'!$M$8)+100+(((L23*0.00314)*0.21)*'Технический лист'!$O$5)+(((L22+30)*(L22+30)/1000000)*'Технический лист'!$E$20))*1.9</f>
        <v>2191.9984708571424</v>
      </c>
      <c r="M28" s="16">
        <f>((((M22*0.00314)*0.22)*'Технический лист'!$M$8)+100+(((M23*0.00314)*0.21)*'Технический лист'!$O$5)+(((M22+30)*(M22+30)/1000000)*'Технический лист'!$E$20))*1.9</f>
        <v>2399.696660342857</v>
      </c>
      <c r="N28" s="16">
        <f>((((N22*0.00314)*0.22)*'Технический лист'!$M$8)+100+(((N23*0.00314)*0.21)*'Технический лист'!$O$5)+(((N22+30)*(N22+30)/1000000)*'Технический лист'!$E$20))*1.9</f>
        <v>2722.643944571428</v>
      </c>
      <c r="O28" s="16">
        <f>((((O22*0.00314)*0.22)*'Технический лист'!$M$8)+100+(((O23*0.00314)*0.21)*'Технический лист'!$O$5)+(((O22+30)*(O22+30)/1000000)*'Технический лист'!$E$20))*1.9</f>
        <v>2833.333039314286</v>
      </c>
      <c r="P28" s="16">
        <f>((((P22*0.00314)*0.22)*'Технический лист'!$M$8)+100+(((P23*0.00314)*0.21)*'Технический лист'!$O$5)+(((P22+30)*(P22+30)/1000000)*'Технический лист'!$E$20))*1.9</f>
        <v>2945.5421340571424</v>
      </c>
      <c r="Q28" s="16">
        <f>((((Q22*0.00314)*0.22)*'Технический лист'!$M$8)+100+(((Q23*0.00314)*0.21)*'Технический лист'!$O$5)+(((Q22+30)*(Q22+30)/1000000)*'Технический лист'!$E$20))*1.9</f>
        <v>3059.2712288</v>
      </c>
      <c r="R28" s="16">
        <f>((((R22*0.00314)*0.22)*'Технический лист'!$M$8)+100+(((R23*0.00314)*0.21)*'Технический лист'!$O$5)+(((R22+30)*(R22+30)/1000000)*'Технический лист'!$E$20))*1.9</f>
        <v>3174.5203235428567</v>
      </c>
      <c r="S28" s="16">
        <f>((((S22*0.00314)*0.22)*'Технический лист'!$M$8)+100+(((S23*0.00314)*0.21)*'Технический лист'!$O$5)+(((S22+30)*(S22+30)/1000000)*'Технический лист'!$E$20))*1.9</f>
        <v>3291.2894182857135</v>
      </c>
    </row>
    <row r="29" spans="1:19" ht="15">
      <c r="A29" s="4" t="s">
        <v>7</v>
      </c>
      <c r="B29" s="9">
        <f>(B28*2.2)+24</f>
        <v>2762.356551542857</v>
      </c>
      <c r="C29" s="9">
        <f aca="true" t="shared" si="7" ref="C29:S29">(C28*2.2)+24</f>
        <v>2955.712559977142</v>
      </c>
      <c r="D29" s="9">
        <f t="shared" si="7"/>
        <v>3053.644564194286</v>
      </c>
      <c r="E29" s="9">
        <f t="shared" si="7"/>
        <v>3152.4125684114288</v>
      </c>
      <c r="F29" s="9">
        <f t="shared" si="7"/>
        <v>3252.016572628572</v>
      </c>
      <c r="G29" s="9">
        <f t="shared" si="7"/>
        <v>3352.456576845714</v>
      </c>
      <c r="H29" s="9">
        <f t="shared" si="7"/>
        <v>3555.84458528</v>
      </c>
      <c r="I29" s="9">
        <f t="shared" si="7"/>
        <v>3762.5765937142855</v>
      </c>
      <c r="J29" s="9">
        <f t="shared" si="7"/>
        <v>3972.652602148571</v>
      </c>
      <c r="K29" s="9">
        <f t="shared" si="7"/>
        <v>4402.836619017143</v>
      </c>
      <c r="L29" s="9">
        <f t="shared" si="7"/>
        <v>4846.396635885713</v>
      </c>
      <c r="M29" s="9">
        <f t="shared" si="7"/>
        <v>5303.332652754286</v>
      </c>
      <c r="N29" s="9">
        <f t="shared" si="7"/>
        <v>6013.816678057143</v>
      </c>
      <c r="O29" s="9">
        <f t="shared" si="7"/>
        <v>6257.33268649143</v>
      </c>
      <c r="P29" s="9">
        <f t="shared" si="7"/>
        <v>6504.192694925714</v>
      </c>
      <c r="Q29" s="9">
        <f t="shared" si="7"/>
        <v>6754.39670336</v>
      </c>
      <c r="R29" s="9">
        <f t="shared" si="7"/>
        <v>7007.9447117942855</v>
      </c>
      <c r="S29" s="9">
        <f t="shared" si="7"/>
        <v>7264.83672022857</v>
      </c>
    </row>
    <row r="30" spans="1:19" ht="15">
      <c r="A30" s="4" t="s">
        <v>8</v>
      </c>
      <c r="B30" s="16">
        <f>((((B22*0.00314)*0.2)*'Технический лист'!$M$8)+50+(((B23*0.00314)*0.22)*'Технический лист'!$O$5))*1.88</f>
        <v>996.4388969558441</v>
      </c>
      <c r="C30" s="16">
        <f>((((C22*0.00314)*0.2)*'Технический лист'!$M$8)+50+(((C23*0.00314)*0.22)*'Технический лист'!$O$5))*1.88</f>
        <v>1060.5009140114284</v>
      </c>
      <c r="D30" s="16">
        <f>((((D22*0.00314)*0.2)*'Технический лист'!$M$8)+50+(((D23*0.00314)*0.22)*'Технический лист'!$O$5))*1.88</f>
        <v>1092.531922539221</v>
      </c>
      <c r="E30" s="16">
        <f>((((E22*0.00314)*0.2)*'Технический лист'!$M$8)+50+(((E23*0.00314)*0.22)*'Технический лист'!$O$5))*1.88</f>
        <v>1124.562931067013</v>
      </c>
      <c r="F30" s="16">
        <f>((((F22*0.00314)*0.2)*'Технический лист'!$M$8)+50+(((F23*0.00314)*0.22)*'Технический лист'!$O$5))*1.88</f>
        <v>1156.5939395948053</v>
      </c>
      <c r="G30" s="16">
        <f>((((G22*0.00314)*0.2)*'Технический лист'!$M$8)+50+(((G23*0.00314)*0.22)*'Технический лист'!$O$5))*1.88</f>
        <v>1188.6249481225973</v>
      </c>
      <c r="H30" s="16">
        <f>((((H22*0.00314)*0.2)*'Технический лист'!$M$8)+50+(((H23*0.00314)*0.22)*'Технический лист'!$O$5))*1.88</f>
        <v>1252.6869651781817</v>
      </c>
      <c r="I30" s="16">
        <f>((((I22*0.00314)*0.2)*'Технический лист'!$M$8)+50+(((I23*0.00314)*0.22)*'Технический лист'!$O$5))*1.88</f>
        <v>1316.7489822337661</v>
      </c>
      <c r="J30" s="16">
        <f>((((J22*0.00314)*0.2)*'Технический лист'!$M$8)+50+(((J23*0.00314)*0.22)*'Технический лист'!$O$5))*1.88</f>
        <v>1380.8109992893505</v>
      </c>
      <c r="K30" s="16">
        <f>((((K22*0.00314)*0.2)*'Технический лист'!$M$8)+50+(((K23*0.00314)*0.22)*'Технический лист'!$O$5))*1.88</f>
        <v>1508.9350334005194</v>
      </c>
      <c r="L30" s="16">
        <f>((((L22*0.00314)*0.2)*'Технический лист'!$M$8)+50+(((L23*0.00314)*0.22)*'Технический лист'!$O$5))*1.88</f>
        <v>1637.0590675116882</v>
      </c>
      <c r="M30" s="16">
        <f>((((M22*0.00314)*0.2)*'Технический лист'!$M$8)+50+(((M23*0.00314)*0.22)*'Технический лист'!$O$5))*1.88</f>
        <v>1765.1831016228568</v>
      </c>
      <c r="N30" s="16">
        <f>((((N22*0.00314)*0.2)*'Технический лист'!$M$8)+50+(((N23*0.00314)*0.22)*'Технический лист'!$O$5))*1.88</f>
        <v>1957.3691527896106</v>
      </c>
      <c r="O30" s="16">
        <f>((((O22*0.00314)*0.2)*'Технический лист'!$M$8)+50+(((O23*0.00314)*0.22)*'Технический лист'!$O$5))*1.88</f>
        <v>2021.4311698451947</v>
      </c>
      <c r="P30" s="16">
        <f>((((P22*0.00314)*0.2)*'Технический лист'!$M$8)+50+(((P23*0.00314)*0.22)*'Технический лист'!$O$5))*1.88</f>
        <v>2085.493186900779</v>
      </c>
      <c r="Q30" s="16">
        <f>((((Q22*0.00314)*0.2)*'Технический лист'!$M$8)+50+(((Q23*0.00314)*0.22)*'Технический лист'!$O$5))*1.88</f>
        <v>2149.555203956363</v>
      </c>
      <c r="R30" s="16">
        <f>((((R22*0.00314)*0.2)*'Технический лист'!$M$8)+50+(((R23*0.00314)*0.22)*'Технический лист'!$O$5))*1.88</f>
        <v>2213.6172210119475</v>
      </c>
      <c r="S30" s="16">
        <f>((((S22*0.00314)*0.2)*'Технический лист'!$M$8)+50+(((S23*0.00314)*0.22)*'Технический лист'!$O$5))*1.88</f>
        <v>2277.6792380675324</v>
      </c>
    </row>
    <row r="31" spans="1:19" ht="15">
      <c r="A31" s="4" t="s">
        <v>99</v>
      </c>
      <c r="B31" s="16">
        <v>3510</v>
      </c>
      <c r="C31" s="16">
        <v>3750</v>
      </c>
      <c r="D31" s="16">
        <v>3875</v>
      </c>
      <c r="E31" s="16">
        <v>4005</v>
      </c>
      <c r="F31" s="16">
        <v>4130</v>
      </c>
      <c r="G31" s="16">
        <v>4260</v>
      </c>
      <c r="H31" s="16">
        <v>4520</v>
      </c>
      <c r="I31" s="16">
        <v>4790</v>
      </c>
      <c r="J31" s="16">
        <v>5065</v>
      </c>
      <c r="K31" s="16">
        <v>5630</v>
      </c>
      <c r="L31" s="16">
        <v>6220</v>
      </c>
      <c r="M31" s="16">
        <v>6840</v>
      </c>
      <c r="N31" s="16">
        <v>7810</v>
      </c>
      <c r="O31" s="16">
        <v>8140</v>
      </c>
      <c r="P31" s="16">
        <v>8490</v>
      </c>
      <c r="Q31" s="16">
        <v>8840</v>
      </c>
      <c r="R31" s="16">
        <v>9190</v>
      </c>
      <c r="S31" s="16">
        <v>9550</v>
      </c>
    </row>
    <row r="32" spans="1:19" ht="15">
      <c r="A32" s="4" t="s">
        <v>102</v>
      </c>
      <c r="B32" s="16">
        <v>3510</v>
      </c>
      <c r="C32" s="16">
        <v>3750</v>
      </c>
      <c r="D32" s="16">
        <v>3875</v>
      </c>
      <c r="E32" s="16">
        <v>4005</v>
      </c>
      <c r="F32" s="16">
        <v>4130</v>
      </c>
      <c r="G32" s="16">
        <v>4260</v>
      </c>
      <c r="H32" s="16">
        <v>4520</v>
      </c>
      <c r="I32" s="16">
        <v>4790</v>
      </c>
      <c r="J32" s="16">
        <v>5065</v>
      </c>
      <c r="K32" s="16">
        <v>5630</v>
      </c>
      <c r="L32" s="16">
        <v>6220</v>
      </c>
      <c r="M32" s="16">
        <v>6840</v>
      </c>
      <c r="N32" s="16">
        <v>7810</v>
      </c>
      <c r="O32" s="16">
        <v>8140</v>
      </c>
      <c r="P32" s="16">
        <v>8490</v>
      </c>
      <c r="Q32" s="16">
        <v>8840</v>
      </c>
      <c r="R32" s="16">
        <v>9190</v>
      </c>
      <c r="S32" s="16">
        <v>9550</v>
      </c>
    </row>
    <row r="33" spans="1:19" ht="15">
      <c r="A33" s="4" t="s">
        <v>9</v>
      </c>
      <c r="B33" s="9">
        <f>((((B22*0.00314)*((B22+545)/1000))*'Технический лист'!$K$8)+370+((B23*0.00314)*((B23+450)/1000))*'Технический лист'!$K$5)*1.97</f>
        <v>3490.237906597403</v>
      </c>
      <c r="C33" s="9">
        <f>((((C22*0.00314)*((C22+545)/1000))*'Технический лист'!$K$8)+370+((C23*0.00314)*((C23+450)/1000))*'Технический лист'!$K$5)*1.97</f>
        <v>3732.9924135085716</v>
      </c>
      <c r="D33" s="9">
        <f>((((D22*0.00314)*((D22+545)/1000))*'Технический лист'!$K$8)+370+((D23*0.00314)*((D23+450)/1000))*'Технический лист'!$K$5)*1.97</f>
        <v>3856.6542877585716</v>
      </c>
      <c r="E33" s="9">
        <f>((((E22*0.00314)*((E22+545)/1000))*'Технический лист'!$K$8)+370+((E23*0.00314)*((E23+450)/1000))*'Технический лист'!$K$5)*1.97</f>
        <v>3981.8392425381817</v>
      </c>
      <c r="F33" s="9">
        <f>((((F22*0.00314)*((F22+545)/1000))*'Технический лист'!$K$8)+370+((F23*0.00314)*((F23+450)/1000))*'Технический лист'!$K$5)*1.97</f>
        <v>4108.547277847402</v>
      </c>
      <c r="G33" s="9">
        <f>((((G22*0.00314)*((G22+545)/1000))*'Технический лист'!$K$8)+370+((G23*0.00314)*((G23+450)/1000))*'Технический лист'!$K$5)*1.97</f>
        <v>4236.778393686234</v>
      </c>
      <c r="H33" s="9">
        <f>((((H22*0.00314)*((H22+545)/1000))*'Технический лист'!$K$8)+370+((H23*0.00314)*((H23+450)/1000))*'Технический лист'!$K$5)*1.97</f>
        <v>4497.809866952727</v>
      </c>
      <c r="I33" s="9">
        <f>((((I22*0.00314)*((I22+545)/1000))*'Технический лист'!$K$8)+370+((I23*0.00314)*((I23+450)/1000))*'Технический лист'!$K$5)*1.97</f>
        <v>4764.933662337662</v>
      </c>
      <c r="J33" s="9">
        <f>((((J22*0.00314)*((J22+545)/1000))*'Технический лист'!$K$8)+370+((J23*0.00314)*((J23+450)/1000))*'Технический лист'!$K$5)*1.97</f>
        <v>5038.149779841038</v>
      </c>
      <c r="K33" s="9">
        <f>((((K22*0.00314)*((K22+545)/1000))*'Технический лист'!$K$8)+370+((K23*0.00314)*((K23+450)/1000))*'Технический лист'!$K$5)*1.97</f>
        <v>5602.858981203117</v>
      </c>
      <c r="L33" s="9">
        <f>((((L22*0.00314)*((L22+545)/1000))*'Технический лист'!$K$8)+370+((L23*0.00314)*((L23+450)/1000))*'Технический лист'!$K$5)*1.97</f>
        <v>6191.93747103896</v>
      </c>
      <c r="M33" s="9">
        <f>((((M22*0.00314)*((M22+545)/1000))*'Технический лист'!$K$8)+370+((M23*0.00314)*((M23+450)/1000))*'Технический лист'!$K$5)*1.97</f>
        <v>6805.385249348571</v>
      </c>
      <c r="N33" s="9">
        <f>((((N22*0.00314)*((N22+545)/1000))*'Технический лист'!$K$8)+370+((N23*0.00314)*((N23+450)/1000))*'Технический лист'!$K$5)*1.97</f>
        <v>7771.249332701299</v>
      </c>
      <c r="O33" s="9">
        <f>((((O22*0.00314)*((O22+545)/1000))*'Технический лист'!$K$8)+370+((O23*0.00314)*((O23+450)/1000))*'Технический лист'!$K$5)*1.97</f>
        <v>8105.388671389091</v>
      </c>
      <c r="P33" s="9">
        <f>((((P22*0.00314)*((P22+545)/1000))*'Технический лист'!$K$8)+370+((P23*0.00314)*((P23+450)/1000))*'Технический лист'!$K$5)*1.97</f>
        <v>8445.620332195323</v>
      </c>
      <c r="Q33" s="9">
        <f>((((Q22*0.00314)*((Q22+545)/1000))*'Технический лист'!$K$8)+370+((Q23*0.00314)*((Q23+450)/1000))*'Технический лист'!$K$5)*1.97</f>
        <v>8791.94431512</v>
      </c>
      <c r="R33" s="9">
        <f>((((R22*0.00314)*((R22+545)/1000))*'Технический лист'!$K$8)+370+((R23*0.00314)*((R23+450)/1000))*'Технический лист'!$K$5)*1.97</f>
        <v>9144.360620163116</v>
      </c>
      <c r="S33" s="9">
        <f>((((S22*0.00314)*((S22+545)/1000))*'Технический лист'!$K$8)+370+((S23*0.00314)*((S23+450)/1000))*'Технический лист'!$K$5)*1.97</f>
        <v>9502.869247324674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1100</v>
      </c>
      <c r="C35" s="16">
        <v>1100</v>
      </c>
      <c r="D35" s="16">
        <v>1100</v>
      </c>
      <c r="E35" s="16">
        <v>1100</v>
      </c>
      <c r="F35" s="16">
        <v>1100</v>
      </c>
      <c r="G35" s="16">
        <v>1100</v>
      </c>
      <c r="H35" s="16">
        <v>1100</v>
      </c>
      <c r="I35" s="16">
        <v>1100</v>
      </c>
      <c r="J35" s="16">
        <v>1100</v>
      </c>
      <c r="K35" s="16">
        <v>1100</v>
      </c>
      <c r="L35" s="16">
        <v>1200</v>
      </c>
      <c r="M35" s="16">
        <v>1200</v>
      </c>
      <c r="N35" s="16">
        <v>1200</v>
      </c>
      <c r="O35" s="16">
        <v>1200</v>
      </c>
      <c r="P35" s="16">
        <v>1200</v>
      </c>
      <c r="Q35" s="16">
        <v>1200</v>
      </c>
      <c r="R35" s="16">
        <v>1200</v>
      </c>
      <c r="S35" s="16">
        <v>1200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:C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S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t="shared" si="0"/>
        <v>330</v>
      </c>
      <c r="P7" s="10">
        <f t="shared" si="0"/>
        <v>340</v>
      </c>
      <c r="Q7" s="10">
        <f t="shared" si="0"/>
        <v>350</v>
      </c>
      <c r="R7" s="10">
        <f t="shared" si="0"/>
        <v>360</v>
      </c>
      <c r="S7" s="10">
        <f t="shared" si="0"/>
        <v>370</v>
      </c>
    </row>
    <row r="8" spans="1:19" ht="15">
      <c r="A8" s="4" t="s">
        <v>4</v>
      </c>
      <c r="B8" s="16">
        <f>(((B6*0.00314)*'Технический лист'!$G$10)+310+((B7*0.00314)*'Технический лист'!$G$11))*1.79</f>
        <v>2178.632700839827</v>
      </c>
      <c r="C8" s="16">
        <f>(((C6*0.00314)*'Технический лист'!$G$10)+310+((C7*0.00314)*'Технический лист'!$G$11))*1.79</f>
        <v>2327.091238857143</v>
      </c>
      <c r="D8" s="16">
        <f>(((D6*0.00314)*'Технический лист'!$G$10)+310+((D7*0.00314)*'Технический лист'!$G$11))*1.79</f>
        <v>2401.3205078658007</v>
      </c>
      <c r="E8" s="16">
        <f>(((E6*0.00314)*'Технический лист'!$G$10)+310+((E7*0.00314)*'Технический лист'!$G$11))*1.79</f>
        <v>2475.549776874459</v>
      </c>
      <c r="F8" s="16">
        <f>(((F6*0.00314)*'Технический лист'!$G$10)+310+((F7*0.00314)*'Технический лист'!$G$11))*1.79</f>
        <v>2549.779045883117</v>
      </c>
      <c r="G8" s="16">
        <f>(((G6*0.00314)*'Технический лист'!$G$10)+310+((G7*0.00314)*'Технический лист'!$G$11))*1.79</f>
        <v>2624.0083148917747</v>
      </c>
      <c r="H8" s="16">
        <f>(((H6*0.00314)*'Технический лист'!$G$10)+310+((H7*0.00314)*'Технический лист'!$G$11))*1.79</f>
        <v>2772.4668529090904</v>
      </c>
      <c r="I8" s="16">
        <f>(((I6*0.00314)*'Технический лист'!$G$10)+310+((I7*0.00314)*'Технический лист'!$G$11))*1.79</f>
        <v>2920.925390926407</v>
      </c>
      <c r="J8" s="16">
        <f>(((J6*0.00314)*'Технический лист'!$G$10)+310+((J7*0.00314)*'Технический лист'!$G$11))*1.79</f>
        <v>3069.3839289437224</v>
      </c>
      <c r="K8" s="16">
        <f>(((K6*0.00314)*'Технический лист'!$G$10)+310+((K7*0.00314)*'Технический лист'!$G$11))*1.79</f>
        <v>3366.3010049783547</v>
      </c>
      <c r="L8" s="16">
        <f>(((L6*0.00314)*'Технический лист'!$G$10)+310+((L7*0.00314)*'Технический лист'!$G$11))*1.79</f>
        <v>3663.218081012987</v>
      </c>
      <c r="M8" s="16">
        <f>(((M6*0.00314)*'Технический лист'!$G$10)+310+((M7*0.00314)*'Технический лист'!$G$11))*1.79</f>
        <v>3960.1351570476186</v>
      </c>
      <c r="N8" s="16">
        <f>(((N6*0.00314)*'Технический лист'!$G$10)+310+((N7*0.00314)*'Технический лист'!$G$11))*1.79</f>
        <v>4405.510771099567</v>
      </c>
      <c r="O8" s="16">
        <f>(((O6*0.00314)*'Технический лист'!$G$10)+310+((O7*0.00314)*'Технический лист'!$G$11))*1.79</f>
        <v>4553.969309116882</v>
      </c>
      <c r="P8" s="16">
        <f>(((P6*0.00314)*'Технический лист'!$G$10)+310+((P7*0.00314)*'Технический лист'!$G$11))*1.79</f>
        <v>4702.427847134199</v>
      </c>
      <c r="Q8" s="16">
        <f>(((Q6*0.00314)*'Технический лист'!$G$10)+310+((Q7*0.00314)*'Технический лист'!$G$11))*1.79</f>
        <v>4850.886385151514</v>
      </c>
      <c r="R8" s="16">
        <f>(((R6*0.00314)*'Технический лист'!$G$10)+310+((R7*0.00314)*'Технический лист'!$G$11))*1.79</f>
        <v>4999.344923168831</v>
      </c>
      <c r="S8" s="16">
        <f>(((S6*0.00314)*'Технический лист'!$G$10)+310+((S7*0.00314)*'Технический лист'!$G$11))*1.79</f>
        <v>5147.803461186147</v>
      </c>
    </row>
    <row r="9" spans="1:19" ht="15">
      <c r="A9" s="4" t="s">
        <v>3</v>
      </c>
      <c r="B9" s="9">
        <f>((B8/2)*1.07)-10</f>
        <v>1155.5684949493075</v>
      </c>
      <c r="C9" s="9">
        <f aca="true" t="shared" si="1" ref="C9:S9">((C8/2)*1.07)-10</f>
        <v>1234.9938127885714</v>
      </c>
      <c r="D9" s="9">
        <f t="shared" si="1"/>
        <v>1274.7064717082035</v>
      </c>
      <c r="E9" s="9">
        <f t="shared" si="1"/>
        <v>1314.4191306278356</v>
      </c>
      <c r="F9" s="9">
        <f t="shared" si="1"/>
        <v>1354.1317895474676</v>
      </c>
      <c r="G9" s="9">
        <f t="shared" si="1"/>
        <v>1393.8444484670995</v>
      </c>
      <c r="H9" s="9">
        <f t="shared" si="1"/>
        <v>1473.2697663063634</v>
      </c>
      <c r="I9" s="9">
        <f t="shared" si="1"/>
        <v>1552.6950841456278</v>
      </c>
      <c r="J9" s="9">
        <f t="shared" si="1"/>
        <v>1632.1204019848915</v>
      </c>
      <c r="K9" s="9">
        <f t="shared" si="1"/>
        <v>1790.9710376634198</v>
      </c>
      <c r="L9" s="9">
        <f t="shared" si="1"/>
        <v>1949.8216733419483</v>
      </c>
      <c r="M9" s="9">
        <f t="shared" si="1"/>
        <v>2108.672309020476</v>
      </c>
      <c r="N9" s="9">
        <f t="shared" si="1"/>
        <v>2346.9482625382684</v>
      </c>
      <c r="O9" s="9">
        <f t="shared" si="1"/>
        <v>2426.373580377532</v>
      </c>
      <c r="P9" s="9">
        <f t="shared" si="1"/>
        <v>2505.7988982167963</v>
      </c>
      <c r="Q9" s="9">
        <f t="shared" si="1"/>
        <v>2585.2242160560604</v>
      </c>
      <c r="R9" s="9">
        <f t="shared" si="1"/>
        <v>2664.6495338953246</v>
      </c>
      <c r="S9" s="9">
        <f t="shared" si="1"/>
        <v>2744.0748517345887</v>
      </c>
    </row>
    <row r="10" spans="1:19" ht="15">
      <c r="A10" s="4" t="s">
        <v>5</v>
      </c>
      <c r="B10" s="16">
        <f>((((B6*0.00314)*0.5)*'Технический лист'!$I$10)+310+(((B7*0.00314)*0.5)*'Технический лист'!$I$11))*1.87</f>
        <v>1845.4826550476191</v>
      </c>
      <c r="C10" s="16">
        <f>((((C6*0.00314)*0.5)*'Технический лист'!$I$10)+310+(((C7*0.00314)*0.5)*'Технический лист'!$I$11))*1.87</f>
        <v>1958.1134382857144</v>
      </c>
      <c r="D10" s="16">
        <f>((((D6*0.00314)*0.5)*'Технический лист'!$I$10)+310+(((D7*0.00314)*0.5)*'Технический лист'!$I$11))*1.87</f>
        <v>2014.4288299047616</v>
      </c>
      <c r="E10" s="16">
        <f>((((E6*0.00314)*0.5)*'Технический лист'!$I$10)+310+(((E7*0.00314)*0.5)*'Технический лист'!$I$11))*1.87</f>
        <v>2070.7442215238093</v>
      </c>
      <c r="F10" s="16">
        <f>((((F6*0.00314)*0.5)*'Технический лист'!$I$10)+310+(((F7*0.00314)*0.5)*'Технический лист'!$I$11))*1.87</f>
        <v>2127.0596131428574</v>
      </c>
      <c r="G10" s="16">
        <f>((((G6*0.00314)*0.5)*'Технический лист'!$I$10)+310+(((G7*0.00314)*0.5)*'Технический лист'!$I$11))*1.87</f>
        <v>2183.375004761905</v>
      </c>
      <c r="H10" s="16">
        <f>((((H6*0.00314)*0.5)*'Технический лист'!$I$10)+310+(((H7*0.00314)*0.5)*'Технический лист'!$I$11))*1.87</f>
        <v>2296.005788</v>
      </c>
      <c r="I10" s="16">
        <f>((((I6*0.00314)*0.5)*'Технический лист'!$I$10)+310+(((I7*0.00314)*0.5)*'Технический лист'!$I$11))*1.87</f>
        <v>2408.6365712380953</v>
      </c>
      <c r="J10" s="16">
        <f>((((J6*0.00314)*0.5)*'Технический лист'!$I$10)+310+(((J7*0.00314)*0.5)*'Технический лист'!$I$11))*1.87</f>
        <v>2521.2673544761906</v>
      </c>
      <c r="K10" s="16">
        <f>((((K6*0.00314)*0.5)*'Технический лист'!$I$10)+310+(((K7*0.00314)*0.5)*'Технический лист'!$I$11))*1.87</f>
        <v>2746.528920952381</v>
      </c>
      <c r="L10" s="16">
        <f>((((L6*0.00314)*0.5)*'Технический лист'!$I$10)+310+(((L7*0.00314)*0.5)*'Технический лист'!$I$11))*1.87</f>
        <v>2971.7904874285714</v>
      </c>
      <c r="M10" s="16">
        <f>((((M6*0.00314)*0.5)*'Технический лист'!$I$10)+310+(((M7*0.00314)*0.5)*'Технический лист'!$I$11))*1.87</f>
        <v>3197.052053904762</v>
      </c>
      <c r="N10" s="16">
        <f>((((N6*0.00314)*0.5)*'Технический лист'!$I$10)+310+(((N7*0.00314)*0.5)*'Технический лист'!$I$11))*1.87</f>
        <v>3534.9444036190475</v>
      </c>
      <c r="O10" s="16">
        <f>((((O6*0.00314)*0.5)*'Технический лист'!$I$10)+310+(((O7*0.00314)*0.5)*'Технический лист'!$I$11))*1.87</f>
        <v>3647.575186857143</v>
      </c>
      <c r="P10" s="16">
        <f>((((P6*0.00314)*0.5)*'Технический лист'!$I$10)+310+(((P7*0.00314)*0.5)*'Технический лист'!$I$11))*1.87</f>
        <v>3760.205970095238</v>
      </c>
      <c r="Q10" s="16">
        <f>((((Q6*0.00314)*0.5)*'Технический лист'!$I$10)+310+(((Q7*0.00314)*0.5)*'Технический лист'!$I$11))*1.87</f>
        <v>3872.836753333333</v>
      </c>
      <c r="R10" s="16">
        <f>((((R6*0.00314)*0.5)*'Технический лист'!$I$10)+310+(((R7*0.00314)*0.5)*'Технический лист'!$I$11))*1.87</f>
        <v>3985.467536571429</v>
      </c>
      <c r="S10" s="16">
        <f>((((S6*0.00314)*0.5)*'Технический лист'!$I$10)+310+(((S7*0.00314)*0.5)*'Технический лист'!$I$11))*1.87</f>
        <v>4098.098319809524</v>
      </c>
    </row>
    <row r="11" spans="1:19" ht="15">
      <c r="A11" s="4" t="s">
        <v>96</v>
      </c>
      <c r="B11" s="9">
        <f>((B10*2)/3)-6</f>
        <v>1224.3217700317462</v>
      </c>
      <c r="C11" s="9">
        <f aca="true" t="shared" si="2" ref="C11:S11">((C10*2)/3)-6</f>
        <v>1299.408958857143</v>
      </c>
      <c r="D11" s="9">
        <f t="shared" si="2"/>
        <v>1336.952553269841</v>
      </c>
      <c r="E11" s="9">
        <f t="shared" si="2"/>
        <v>1374.4961476825395</v>
      </c>
      <c r="F11" s="9">
        <f t="shared" si="2"/>
        <v>1412.0397420952384</v>
      </c>
      <c r="G11" s="9">
        <f t="shared" si="2"/>
        <v>1449.5833365079368</v>
      </c>
      <c r="H11" s="9">
        <f t="shared" si="2"/>
        <v>1524.6705253333332</v>
      </c>
      <c r="I11" s="9">
        <f t="shared" si="2"/>
        <v>1599.75771415873</v>
      </c>
      <c r="J11" s="9">
        <f t="shared" si="2"/>
        <v>1674.844902984127</v>
      </c>
      <c r="K11" s="9">
        <f t="shared" si="2"/>
        <v>1825.0192806349207</v>
      </c>
      <c r="L11" s="9">
        <f t="shared" si="2"/>
        <v>1975.1936582857143</v>
      </c>
      <c r="M11" s="9">
        <f t="shared" si="2"/>
        <v>2125.368035936508</v>
      </c>
      <c r="N11" s="9">
        <f t="shared" si="2"/>
        <v>2350.629602412698</v>
      </c>
      <c r="O11" s="9">
        <f t="shared" si="2"/>
        <v>2425.716791238095</v>
      </c>
      <c r="P11" s="9">
        <f t="shared" si="2"/>
        <v>2500.803980063492</v>
      </c>
      <c r="Q11" s="9">
        <f t="shared" si="2"/>
        <v>2575.891168888889</v>
      </c>
      <c r="R11" s="9">
        <f t="shared" si="2"/>
        <v>2650.9783577142857</v>
      </c>
      <c r="S11" s="9">
        <f t="shared" si="2"/>
        <v>2726.0655465396826</v>
      </c>
    </row>
    <row r="12" spans="1:19" ht="15">
      <c r="A12" s="4" t="s">
        <v>6</v>
      </c>
      <c r="B12" s="16">
        <f>((((B6*0.00314)*0.22)*'Технический лист'!$M$10)+100+(((B7*0.00314)*0.21)*'Технический лист'!$O$11)+(((B6+30)*(B6+30)/1000000)*'Технический лист'!$E$20))*1.8</f>
        <v>946.7821625142857</v>
      </c>
      <c r="C12" s="16">
        <f>((((C6*0.00314)*0.22)*'Технический лист'!$M$10)+100+(((C7*0.00314)*0.21)*'Технический лист'!$O$11)+(((C6+30)*(C6+30)/1000000)*'Технический лист'!$E$20))*1.8</f>
        <v>1021.7703414857143</v>
      </c>
      <c r="D12" s="16">
        <f>((((D6*0.00314)*0.22)*'Технический лист'!$M$10)+100+(((D7*0.00314)*0.21)*'Технический лист'!$O$11)+(((D6+30)*(D6+30)/1000000)*'Технический лист'!$E$20))*1.8</f>
        <v>1059.8044309714285</v>
      </c>
      <c r="E12" s="16">
        <f>((((E6*0.00314)*0.22)*'Технический лист'!$M$10)+100+(((E7*0.00314)*0.21)*'Технический лист'!$O$11)+(((E6+30)*(E6+30)/1000000)*'Технический лист'!$E$20))*1.8</f>
        <v>1098.198520457143</v>
      </c>
      <c r="F12" s="16">
        <f>((((F6*0.00314)*0.22)*'Технический лист'!$M$10)+100+(((F7*0.00314)*0.21)*'Технический лист'!$O$11)+(((F6+30)*(F6+30)/1000000)*'Технический лист'!$E$20))*1.8</f>
        <v>1136.9526099428572</v>
      </c>
      <c r="G12" s="16">
        <f>((((G6*0.00314)*0.22)*'Технический лист'!$M$10)+100+(((G7*0.00314)*0.21)*'Технический лист'!$O$11)+(((G6+30)*(G6+30)/1000000)*'Технический лист'!$E$20))*1.8</f>
        <v>1176.0666994285714</v>
      </c>
      <c r="H12" s="16">
        <f>((((H6*0.00314)*0.22)*'Технический лист'!$M$10)+100+(((H7*0.00314)*0.21)*'Технический лист'!$O$11)+(((H6+30)*(H6+30)/1000000)*'Технический лист'!$E$20))*1.8</f>
        <v>1255.3748784</v>
      </c>
      <c r="I12" s="16">
        <f>((((I6*0.00314)*0.22)*'Технический лист'!$M$10)+100+(((I7*0.00314)*0.21)*'Технический лист'!$O$11)+(((I6+30)*(I6+30)/1000000)*'Технический лист'!$E$20))*1.8</f>
        <v>1336.1230573714286</v>
      </c>
      <c r="J12" s="16">
        <f>((((J6*0.00314)*0.22)*'Технический лист'!$M$10)+100+(((J7*0.00314)*0.21)*'Технический лист'!$O$11)+(((J6+30)*(J6+30)/1000000)*'Технический лист'!$E$20))*1.8</f>
        <v>1418.311236342857</v>
      </c>
      <c r="K12" s="16">
        <f>((((K6*0.00314)*0.22)*'Технический лист'!$M$10)+100+(((K7*0.00314)*0.21)*'Технический лист'!$O$11)+(((K6+30)*(K6+30)/1000000)*'Технический лист'!$E$20))*1.8</f>
        <v>1587.0075942857145</v>
      </c>
      <c r="L12" s="16">
        <f>((((L6*0.00314)*0.22)*'Технический лист'!$M$10)+100+(((L7*0.00314)*0.21)*'Технический лист'!$O$11)+(((L6+30)*(L6+30)/1000000)*'Технический лист'!$E$20))*1.8</f>
        <v>1761.4639522285715</v>
      </c>
      <c r="M12" s="16">
        <f>((((M6*0.00314)*0.22)*'Технический лист'!$M$10)+100+(((M7*0.00314)*0.21)*'Технический лист'!$O$11)+(((M6+30)*(M6+30)/1000000)*'Технический лист'!$E$20))*1.8</f>
        <v>1941.6803101714283</v>
      </c>
      <c r="N12" s="16">
        <f>((((N6*0.00314)*0.22)*'Технический лист'!$M$10)+100+(((N7*0.00314)*0.21)*'Технический лист'!$O$11)+(((N6+30)*(N6+30)/1000000)*'Технический лист'!$E$20))*1.8</f>
        <v>2222.8048470857143</v>
      </c>
      <c r="O12" s="16">
        <f>((((O6*0.00314)*0.22)*'Технический лист'!$M$10)+100+(((O7*0.00314)*0.21)*'Технический лист'!$O$11)+(((O6+30)*(O6+30)/1000000)*'Технический лист'!$E$20))*1.8</f>
        <v>2319.393026057143</v>
      </c>
      <c r="P12" s="16">
        <f>((((P6*0.00314)*0.22)*'Технический лист'!$M$10)+100+(((P7*0.00314)*0.21)*'Технический лист'!$O$11)+(((P6+30)*(P6+30)/1000000)*'Технический лист'!$E$20))*1.8</f>
        <v>2417.4212050285714</v>
      </c>
      <c r="Q12" s="16">
        <f>((((Q6*0.00314)*0.22)*'Технический лист'!$M$10)+100+(((Q7*0.00314)*0.21)*'Технический лист'!$O$11)+(((Q6+30)*(Q6+30)/1000000)*'Технический лист'!$E$20))*1.8</f>
        <v>2516.889384</v>
      </c>
      <c r="R12" s="16">
        <f>((((R6*0.00314)*0.22)*'Технический лист'!$M$10)+100+(((R7*0.00314)*0.21)*'Технический лист'!$O$11)+(((R6+30)*(R6+30)/1000000)*'Технический лист'!$E$20))*1.8</f>
        <v>2617.7975629714283</v>
      </c>
      <c r="S12" s="16">
        <f>((((S6*0.00314)*0.22)*'Технический лист'!$M$10)+100+(((S7*0.00314)*0.21)*'Технический лист'!$O$11)+(((S6+30)*(S6+30)/1000000)*'Технический лист'!$E$20))*1.8</f>
        <v>2720.1457419428566</v>
      </c>
    </row>
    <row r="13" spans="1:19" ht="15">
      <c r="A13" s="4" t="s">
        <v>7</v>
      </c>
      <c r="B13" s="9">
        <f>(B12*2.2)+24</f>
        <v>2106.9207575314285</v>
      </c>
      <c r="C13" s="9">
        <f aca="true" t="shared" si="3" ref="C13:S13">(C12*2.2)+24</f>
        <v>2271.894751268572</v>
      </c>
      <c r="D13" s="9">
        <f t="shared" si="3"/>
        <v>2355.569748137143</v>
      </c>
      <c r="E13" s="9">
        <f t="shared" si="3"/>
        <v>2440.036745005715</v>
      </c>
      <c r="F13" s="9">
        <f t="shared" si="3"/>
        <v>2525.295741874286</v>
      </c>
      <c r="G13" s="9">
        <f t="shared" si="3"/>
        <v>2611.3467387428573</v>
      </c>
      <c r="H13" s="9">
        <f t="shared" si="3"/>
        <v>2785.82473248</v>
      </c>
      <c r="I13" s="9">
        <f t="shared" si="3"/>
        <v>2963.4707262171432</v>
      </c>
      <c r="J13" s="9">
        <f t="shared" si="3"/>
        <v>3144.2847199542857</v>
      </c>
      <c r="K13" s="9">
        <f t="shared" si="3"/>
        <v>3515.4167074285724</v>
      </c>
      <c r="L13" s="9">
        <f t="shared" si="3"/>
        <v>3899.2206949028578</v>
      </c>
      <c r="M13" s="9">
        <f t="shared" si="3"/>
        <v>4295.696682377143</v>
      </c>
      <c r="N13" s="9">
        <f t="shared" si="3"/>
        <v>4914.170663588572</v>
      </c>
      <c r="O13" s="9">
        <f t="shared" si="3"/>
        <v>5126.664657325715</v>
      </c>
      <c r="P13" s="9">
        <f t="shared" si="3"/>
        <v>5342.326651062857</v>
      </c>
      <c r="Q13" s="9">
        <f t="shared" si="3"/>
        <v>5561.1566448</v>
      </c>
      <c r="R13" s="9">
        <f t="shared" si="3"/>
        <v>5783.154638537143</v>
      </c>
      <c r="S13" s="9">
        <f t="shared" si="3"/>
        <v>6008.320632274285</v>
      </c>
    </row>
    <row r="14" spans="1:19" ht="15">
      <c r="A14" s="4" t="s">
        <v>8</v>
      </c>
      <c r="B14" s="16">
        <f>((((B6*0.00314)*0.2)*'Технический лист'!$M$10)+50+(((B7*0.00314)*0.22)*'Технический лист'!$O$11))*1.88</f>
        <v>738.0118477270996</v>
      </c>
      <c r="C14" s="16">
        <f>((((C6*0.00314)*0.2)*'Технический лист'!$M$10)+50+(((C7*0.00314)*0.22)*'Технический лист'!$O$11))*1.88</f>
        <v>792.6069514971429</v>
      </c>
      <c r="D14" s="16">
        <f>((((D6*0.00314)*0.2)*'Технический лист'!$M$10)+50+(((D7*0.00314)*0.22)*'Технический лист'!$O$11))*1.88</f>
        <v>819.9045033821644</v>
      </c>
      <c r="E14" s="16">
        <f>((((E6*0.00314)*0.2)*'Технический лист'!$M$10)+50+(((E7*0.00314)*0.22)*'Технический лист'!$O$11))*1.88</f>
        <v>847.2020552671861</v>
      </c>
      <c r="F14" s="16">
        <f>((((F6*0.00314)*0.2)*'Технический лист'!$M$10)+50+(((F7*0.00314)*0.22)*'Технический лист'!$O$11))*1.88</f>
        <v>874.4996071522079</v>
      </c>
      <c r="G14" s="16">
        <f>((((G6*0.00314)*0.2)*'Технический лист'!$M$10)+50+(((G7*0.00314)*0.22)*'Технический лист'!$O$11))*1.88</f>
        <v>901.7971590372294</v>
      </c>
      <c r="H14" s="16">
        <f>((((H6*0.00314)*0.2)*'Технический лист'!$M$10)+50+(((H7*0.00314)*0.22)*'Технический лист'!$O$11))*1.88</f>
        <v>956.3922628072726</v>
      </c>
      <c r="I14" s="16">
        <f>((((I6*0.00314)*0.2)*'Технический лист'!$M$10)+50+(((I7*0.00314)*0.22)*'Технический лист'!$O$11))*1.88</f>
        <v>1010.987366577316</v>
      </c>
      <c r="J14" s="16">
        <f>((((J6*0.00314)*0.2)*'Технический лист'!$M$10)+50+(((J7*0.00314)*0.22)*'Технический лист'!$O$11))*1.88</f>
        <v>1065.5824703473593</v>
      </c>
      <c r="K14" s="16">
        <f>((((K6*0.00314)*0.2)*'Технический лист'!$M$10)+50+(((K7*0.00314)*0.22)*'Технический лист'!$O$11))*1.88</f>
        <v>1174.772677887446</v>
      </c>
      <c r="L14" s="16">
        <f>((((L6*0.00314)*0.2)*'Технический лист'!$M$10)+50+(((L7*0.00314)*0.22)*'Технический лист'!$O$11))*1.88</f>
        <v>1283.9628854275325</v>
      </c>
      <c r="M14" s="16">
        <f>((((M6*0.00314)*0.2)*'Технический лист'!$M$10)+50+(((M7*0.00314)*0.22)*'Технический лист'!$O$11))*1.88</f>
        <v>1393.153092967619</v>
      </c>
      <c r="N14" s="16">
        <f>((((N6*0.00314)*0.2)*'Технический лист'!$M$10)+50+(((N7*0.00314)*0.22)*'Технический лист'!$O$11))*1.88</f>
        <v>1556.938404277749</v>
      </c>
      <c r="O14" s="16">
        <f>((((O6*0.00314)*0.2)*'Технический лист'!$M$10)+50+(((O7*0.00314)*0.22)*'Технический лист'!$O$11))*1.88</f>
        <v>1611.5335080477923</v>
      </c>
      <c r="P14" s="16">
        <f>((((P6*0.00314)*0.2)*'Технический лист'!$M$10)+50+(((P7*0.00314)*0.22)*'Технический лист'!$O$11))*1.88</f>
        <v>1666.1286118178355</v>
      </c>
      <c r="Q14" s="16">
        <f>((((Q6*0.00314)*0.2)*'Технический лист'!$M$10)+50+(((Q7*0.00314)*0.22)*'Технический лист'!$O$11))*1.88</f>
        <v>1720.7237155878786</v>
      </c>
      <c r="R14" s="16">
        <f>((((R6*0.00314)*0.2)*'Технический лист'!$M$10)+50+(((R7*0.00314)*0.22)*'Технический лист'!$O$11))*1.88</f>
        <v>1775.318819357922</v>
      </c>
      <c r="S14" s="16">
        <f>((((S6*0.00314)*0.2)*'Технический лист'!$M$10)+50+(((S7*0.00314)*0.22)*'Технический лист'!$O$11))*1.88</f>
        <v>1829.9139231279653</v>
      </c>
    </row>
    <row r="15" spans="1:19" ht="15">
      <c r="A15" s="4" t="s">
        <v>99</v>
      </c>
      <c r="B15" s="16">
        <v>2425</v>
      </c>
      <c r="C15" s="16">
        <v>2610</v>
      </c>
      <c r="D15" s="16">
        <v>2700</v>
      </c>
      <c r="E15" s="16">
        <v>2795</v>
      </c>
      <c r="F15" s="16">
        <v>2890</v>
      </c>
      <c r="G15" s="16">
        <v>2985</v>
      </c>
      <c r="H15" s="16">
        <v>3180</v>
      </c>
      <c r="I15" s="16">
        <v>3380</v>
      </c>
      <c r="J15" s="16">
        <v>3580</v>
      </c>
      <c r="K15" s="16">
        <v>4010</v>
      </c>
      <c r="L15" s="16">
        <v>4455</v>
      </c>
      <c r="M15" s="16">
        <v>4910</v>
      </c>
      <c r="N15" s="16">
        <v>5650</v>
      </c>
      <c r="O15" s="16">
        <v>5905</v>
      </c>
      <c r="P15" s="16">
        <v>6160</v>
      </c>
      <c r="Q15" s="16">
        <v>6420</v>
      </c>
      <c r="R15" s="16">
        <v>6690</v>
      </c>
      <c r="S15" s="16">
        <v>6960</v>
      </c>
    </row>
    <row r="16" spans="1:19" ht="15">
      <c r="A16" s="4" t="s">
        <v>102</v>
      </c>
      <c r="B16" s="16">
        <v>2425</v>
      </c>
      <c r="C16" s="16">
        <v>2610</v>
      </c>
      <c r="D16" s="16">
        <v>2700</v>
      </c>
      <c r="E16" s="16">
        <v>2795</v>
      </c>
      <c r="F16" s="16">
        <v>2890</v>
      </c>
      <c r="G16" s="16">
        <v>2985</v>
      </c>
      <c r="H16" s="16">
        <v>3180</v>
      </c>
      <c r="I16" s="16">
        <v>3380</v>
      </c>
      <c r="J16" s="16">
        <v>3580</v>
      </c>
      <c r="K16" s="16">
        <v>4010</v>
      </c>
      <c r="L16" s="16">
        <v>4455</v>
      </c>
      <c r="M16" s="16">
        <v>4910</v>
      </c>
      <c r="N16" s="16">
        <v>5650</v>
      </c>
      <c r="O16" s="16">
        <v>5905</v>
      </c>
      <c r="P16" s="16">
        <v>6160</v>
      </c>
      <c r="Q16" s="16">
        <v>6420</v>
      </c>
      <c r="R16" s="16">
        <v>6690</v>
      </c>
      <c r="S16" s="16">
        <v>6960</v>
      </c>
    </row>
    <row r="17" spans="1:19" ht="15">
      <c r="A17" s="4" t="s">
        <v>9</v>
      </c>
      <c r="B17" s="9">
        <f>((((B6*0.00314)*((B6+545)/1000))*'Технический лист'!$K$10)+370+((B7*0.00314)*((B7+450)/1000))*'Технический лист'!$K$11)*1.97</f>
        <v>2451.1856174027707</v>
      </c>
      <c r="C17" s="9">
        <f>((((C6*0.00314)*((C6+545)/1000))*'Технический лист'!$K$10)+370+((C7*0.00314)*((C7+450)/1000))*'Технический лист'!$K$11)*1.97</f>
        <v>2634.577168082857</v>
      </c>
      <c r="D17" s="9">
        <f>((((D6*0.00314)*((D6+545)/1000))*'Технический лист'!$K$10)+370+((D7*0.00314)*((D7+450)/1000))*'Технический лист'!$K$11)*1.97</f>
        <v>2728.0759474695233</v>
      </c>
      <c r="E17" s="9">
        <f>((((E6*0.00314)*((E6+545)/1000))*'Технический лист'!$K$10)+370+((E7*0.00314)*((E7+450)/1000))*'Технический лист'!$K$11)*1.97</f>
        <v>2822.7767295539393</v>
      </c>
      <c r="F17" s="9">
        <f>((((F6*0.00314)*((F6+545)/1000))*'Технический лист'!$K$10)+370+((F7*0.00314)*((F7+450)/1000))*'Технический лист'!$K$11)*1.97</f>
        <v>2918.6795143361037</v>
      </c>
      <c r="G17" s="9">
        <f>((((G6*0.00314)*((G6+545)/1000))*'Технический лист'!$K$10)+370+((G7*0.00314)*((G7+450)/1000))*'Технический лист'!$K$11)*1.97</f>
        <v>3015.784301816017</v>
      </c>
      <c r="H17" s="9">
        <f>((((H6*0.00314)*((H6+545)/1000))*'Технический лист'!$K$10)+370+((H7*0.00314)*((H7+450)/1000))*'Технический лист'!$K$11)*1.97</f>
        <v>3213.5998848690906</v>
      </c>
      <c r="I17" s="9">
        <f>((((I6*0.00314)*((I6+545)/1000))*'Технический лист'!$K$10)+370+((I7*0.00314)*((I7+450)/1000))*'Технический лист'!$K$11)*1.97</f>
        <v>3416.2234787131597</v>
      </c>
      <c r="J17" s="9">
        <f>((((J6*0.00314)*((J6+545)/1000))*'Технический лист'!$K$10)+370+((J7*0.00314)*((J7+450)/1000))*'Технический лист'!$K$11)*1.97</f>
        <v>3623.6550833482243</v>
      </c>
      <c r="K17" s="9">
        <f>((((K6*0.00314)*((K6+545)/1000))*'Технический лист'!$K$10)+370+((K7*0.00314)*((K7+450)/1000))*'Технический лист'!$K$11)*1.97</f>
        <v>4052.9423249913425</v>
      </c>
      <c r="L17" s="9">
        <f>((((L6*0.00314)*((L6+545)/1000))*'Технический лист'!$K$10)+370+((L7*0.00314)*((L7+450)/1000))*'Технический лист'!$K$11)*1.97</f>
        <v>4501.461609798442</v>
      </c>
      <c r="M17" s="9">
        <f>((((M6*0.00314)*((M6+545)/1000))*'Технический лист'!$K$10)+370+((M7*0.00314)*((M7+450)/1000))*'Технический лист'!$K$11)*1.97</f>
        <v>4969.212937769523</v>
      </c>
      <c r="N17" s="9">
        <f>((((N6*0.00314)*((N6+545)/1000))*'Технический лист'!$K$10)+370+((N7*0.00314)*((N7+450)/1000))*'Технический лист'!$K$11)*1.97</f>
        <v>5706.9000106586145</v>
      </c>
      <c r="O17" s="9">
        <f>((((O6*0.00314)*((O6+545)/1000))*'Технический лист'!$K$10)+370+((O7*0.00314)*((O7+450)/1000))*'Технический лист'!$K$11)*1.97</f>
        <v>5962.411723203636</v>
      </c>
      <c r="P17" s="9">
        <f>((((P6*0.00314)*((P6+545)/1000))*'Технический лист'!$K$10)+370+((P7*0.00314)*((P7+450)/1000))*'Технический лист'!$K$11)*1.97</f>
        <v>6222.731446539653</v>
      </c>
      <c r="Q17" s="9">
        <f>((((Q6*0.00314)*((Q6+545)/1000))*'Технический лист'!$K$10)+370+((Q7*0.00314)*((Q7+450)/1000))*'Технический лист'!$K$11)*1.97</f>
        <v>6487.859180666666</v>
      </c>
      <c r="R17" s="9">
        <f>((((R6*0.00314)*((R6+545)/1000))*'Технический лист'!$K$10)+370+((R7*0.00314)*((R7+450)/1000))*'Технический лист'!$K$11)*1.97</f>
        <v>6757.794925584674</v>
      </c>
      <c r="S17" s="9">
        <f>((((S6*0.00314)*((S6+545)/1000))*'Технический лист'!$K$10)+370+((S7*0.00314)*((S7+450)/1000))*'Технический лист'!$K$11)*1.97</f>
        <v>7032.538681293679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136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4" ref="C23:S23">C22+70</f>
        <v>180</v>
      </c>
      <c r="D23" s="10">
        <f t="shared" si="4"/>
        <v>185</v>
      </c>
      <c r="E23" s="10">
        <f t="shared" si="4"/>
        <v>190</v>
      </c>
      <c r="F23" s="10">
        <f t="shared" si="4"/>
        <v>195</v>
      </c>
      <c r="G23" s="10">
        <f t="shared" si="4"/>
        <v>200</v>
      </c>
      <c r="H23" s="10">
        <f t="shared" si="4"/>
        <v>210</v>
      </c>
      <c r="I23" s="10">
        <f t="shared" si="4"/>
        <v>220</v>
      </c>
      <c r="J23" s="10">
        <f t="shared" si="4"/>
        <v>230</v>
      </c>
      <c r="K23" s="10">
        <f t="shared" si="4"/>
        <v>250</v>
      </c>
      <c r="L23" s="10">
        <f t="shared" si="4"/>
        <v>270</v>
      </c>
      <c r="M23" s="10">
        <f t="shared" si="4"/>
        <v>290</v>
      </c>
      <c r="N23" s="10">
        <f t="shared" si="4"/>
        <v>320</v>
      </c>
      <c r="O23" s="10">
        <f t="shared" si="4"/>
        <v>330</v>
      </c>
      <c r="P23" s="10">
        <f t="shared" si="4"/>
        <v>340</v>
      </c>
      <c r="Q23" s="10">
        <f t="shared" si="4"/>
        <v>350</v>
      </c>
      <c r="R23" s="10">
        <f t="shared" si="4"/>
        <v>360</v>
      </c>
      <c r="S23" s="10">
        <f t="shared" si="4"/>
        <v>370</v>
      </c>
    </row>
    <row r="24" spans="1:19" ht="15">
      <c r="A24" s="4" t="s">
        <v>4</v>
      </c>
      <c r="B24" s="16">
        <f>(((B22*0.00314)*'Технический лист'!$G$10)+310+((B23*0.00314)*'Технический лист'!$G$5))*1.8</f>
        <v>2942.5009932467533</v>
      </c>
      <c r="C24" s="16">
        <f>(((C22*0.00314)*'Технический лист'!$G$10)+310+((C23*0.00314)*'Технический лист'!$G$5))*1.8</f>
        <v>3136.006388571429</v>
      </c>
      <c r="D24" s="16">
        <f>(((D22*0.00314)*'Технический лист'!$G$10)+310+((D23*0.00314)*'Технический лист'!$G$5))*1.8</f>
        <v>3232.7590862337656</v>
      </c>
      <c r="E24" s="16">
        <f>(((E22*0.00314)*'Технический лист'!$G$10)+310+((E23*0.00314)*'Технический лист'!$G$5))*1.8</f>
        <v>3329.511783896104</v>
      </c>
      <c r="F24" s="16">
        <f>(((F22*0.00314)*'Технический лист'!$G$10)+310+((F23*0.00314)*'Технический лист'!$G$5))*1.8</f>
        <v>3426.2644815584413</v>
      </c>
      <c r="G24" s="16">
        <f>(((G22*0.00314)*'Технический лист'!$G$10)+310+((G23*0.00314)*'Технический лист'!$G$5))*1.8</f>
        <v>3523.017179220779</v>
      </c>
      <c r="H24" s="16">
        <f>(((H22*0.00314)*'Технический лист'!$G$10)+310+((H23*0.00314)*'Технический лист'!$G$5))*1.8</f>
        <v>3716.522574545454</v>
      </c>
      <c r="I24" s="16">
        <f>(((I22*0.00314)*'Технический лист'!$G$10)+310+((I23*0.00314)*'Технический лист'!$G$5))*1.8</f>
        <v>3910.0279698701297</v>
      </c>
      <c r="J24" s="16">
        <f>(((J22*0.00314)*'Технический лист'!$G$10)+310+((J23*0.00314)*'Технический лист'!$G$5))*1.8</f>
        <v>4103.533365194805</v>
      </c>
      <c r="K24" s="16">
        <f>(((K22*0.00314)*'Технический лист'!$G$10)+310+((K23*0.00314)*'Технический лист'!$G$5))*1.8</f>
        <v>4490.544155844155</v>
      </c>
      <c r="L24" s="16">
        <f>(((L22*0.00314)*'Технический лист'!$G$10)+310+((L23*0.00314)*'Технический лист'!$G$5))*1.8</f>
        <v>4877.554946493507</v>
      </c>
      <c r="M24" s="16">
        <f>(((M22*0.00314)*'Технический лист'!$G$10)+310+((M23*0.00314)*'Технический лист'!$G$5))*1.8</f>
        <v>5264.565737142856</v>
      </c>
      <c r="N24" s="16">
        <f>(((N22*0.00314)*'Технический лист'!$G$10)+310+((N23*0.00314)*'Технический лист'!$G$5))*1.8</f>
        <v>5845.0819231168825</v>
      </c>
      <c r="O24" s="16">
        <f>(((O22*0.00314)*'Технический лист'!$G$10)+310+((O23*0.00314)*'Технический лист'!$G$5))*1.8</f>
        <v>6038.587318441558</v>
      </c>
      <c r="P24" s="16">
        <f>(((P22*0.00314)*'Технический лист'!$G$10)+310+((P23*0.00314)*'Технический лист'!$G$5))*1.8</f>
        <v>6232.092713766233</v>
      </c>
      <c r="Q24" s="16">
        <f>(((Q22*0.00314)*'Технический лист'!$G$10)+310+((Q23*0.00314)*'Технический лист'!$G$5))*1.8</f>
        <v>6425.598109090909</v>
      </c>
      <c r="R24" s="16">
        <f>(((R22*0.00314)*'Технический лист'!$G$10)+310+((R23*0.00314)*'Технический лист'!$G$5))*1.8</f>
        <v>6619.103504415584</v>
      </c>
      <c r="S24" s="16">
        <f>(((S22*0.00314)*'Технический лист'!$G$10)+310+((S23*0.00314)*'Технический лист'!$G$5))*1.8</f>
        <v>6812.608899740259</v>
      </c>
    </row>
    <row r="25" spans="1:19" ht="15">
      <c r="A25" s="4" t="s">
        <v>3</v>
      </c>
      <c r="B25" s="9">
        <f>((B24/2)*1.07)-10</f>
        <v>1564.238031387013</v>
      </c>
      <c r="C25" s="9">
        <f aca="true" t="shared" si="5" ref="C25:S25">((C24/2)*1.07)-10</f>
        <v>1667.7634178857145</v>
      </c>
      <c r="D25" s="9">
        <f t="shared" si="5"/>
        <v>1719.5261111350646</v>
      </c>
      <c r="E25" s="9">
        <f t="shared" si="5"/>
        <v>1771.288804384416</v>
      </c>
      <c r="F25" s="9">
        <f t="shared" si="5"/>
        <v>1823.051497633766</v>
      </c>
      <c r="G25" s="9">
        <f t="shared" si="5"/>
        <v>1874.814190883117</v>
      </c>
      <c r="H25" s="9">
        <f t="shared" si="5"/>
        <v>1978.3395773818181</v>
      </c>
      <c r="I25" s="9">
        <f t="shared" si="5"/>
        <v>2081.8649638805196</v>
      </c>
      <c r="J25" s="9">
        <f t="shared" si="5"/>
        <v>2185.3903503792208</v>
      </c>
      <c r="K25" s="9">
        <f t="shared" si="5"/>
        <v>2392.441123376623</v>
      </c>
      <c r="L25" s="9">
        <f t="shared" si="5"/>
        <v>2599.491896374026</v>
      </c>
      <c r="M25" s="9">
        <f t="shared" si="5"/>
        <v>2806.542669371428</v>
      </c>
      <c r="N25" s="9">
        <f t="shared" si="5"/>
        <v>3117.1188288675326</v>
      </c>
      <c r="O25" s="9">
        <f t="shared" si="5"/>
        <v>3220.6442153662338</v>
      </c>
      <c r="P25" s="9">
        <f t="shared" si="5"/>
        <v>3324.169601864935</v>
      </c>
      <c r="Q25" s="9">
        <f t="shared" si="5"/>
        <v>3427.6949883636366</v>
      </c>
      <c r="R25" s="9">
        <f t="shared" si="5"/>
        <v>3531.220374862338</v>
      </c>
      <c r="S25" s="9">
        <f t="shared" si="5"/>
        <v>3634.745761361039</v>
      </c>
    </row>
    <row r="26" spans="1:19" ht="15">
      <c r="A26" s="4" t="s">
        <v>5</v>
      </c>
      <c r="B26" s="16">
        <f>((((B22*0.00314)*0.5)*'Технический лист'!$I$10)+310+(((B23*0.00314)*0.5)*'Технический лист'!$I$5))*1.86</f>
        <v>2385.331679844156</v>
      </c>
      <c r="C26" s="16">
        <f>((((C22*0.00314)*0.5)*'Технический лист'!$I$10)+310+(((C23*0.00314)*0.5)*'Технический лист'!$I$5))*1.86</f>
        <v>2529.6965074285713</v>
      </c>
      <c r="D26" s="16">
        <f>((((D22*0.00314)*0.5)*'Технический лист'!$I$10)+310+(((D23*0.00314)*0.5)*'Технический лист'!$I$5))*1.86</f>
        <v>2601.8789212207794</v>
      </c>
      <c r="E26" s="16">
        <f>((((E22*0.00314)*0.5)*'Технический лист'!$I$10)+310+(((E23*0.00314)*0.5)*'Технический лист'!$I$5))*1.86</f>
        <v>2674.061335012987</v>
      </c>
      <c r="F26" s="16">
        <f>((((F22*0.00314)*0.5)*'Технический лист'!$I$10)+310+(((F23*0.00314)*0.5)*'Технический лист'!$I$5))*1.86</f>
        <v>2746.243748805195</v>
      </c>
      <c r="G26" s="16">
        <f>((((G22*0.00314)*0.5)*'Технический лист'!$I$10)+310+(((G23*0.00314)*0.5)*'Технический лист'!$I$5))*1.86</f>
        <v>2818.4261625974027</v>
      </c>
      <c r="H26" s="16">
        <f>((((H22*0.00314)*0.5)*'Технический лист'!$I$10)+310+(((H23*0.00314)*0.5)*'Технический лист'!$I$5))*1.86</f>
        <v>2962.7909901818184</v>
      </c>
      <c r="I26" s="16">
        <f>((((I22*0.00314)*0.5)*'Технический лист'!$I$10)+310+(((I23*0.00314)*0.5)*'Технический лист'!$I$5))*1.86</f>
        <v>3107.155817766234</v>
      </c>
      <c r="J26" s="16">
        <f>((((J22*0.00314)*0.5)*'Технический лист'!$I$10)+310+(((J23*0.00314)*0.5)*'Технический лист'!$I$5))*1.86</f>
        <v>3251.520645350649</v>
      </c>
      <c r="K26" s="16">
        <f>((((K22*0.00314)*0.5)*'Технический лист'!$I$10)+310+(((K23*0.00314)*0.5)*'Технический лист'!$I$5))*1.86</f>
        <v>3540.2503005194812</v>
      </c>
      <c r="L26" s="16">
        <f>((((L22*0.00314)*0.5)*'Технический лист'!$I$10)+310+(((L23*0.00314)*0.5)*'Технический лист'!$I$5))*1.86</f>
        <v>3828.9799556883117</v>
      </c>
      <c r="M26" s="16">
        <f>((((M22*0.00314)*0.5)*'Технический лист'!$I$10)+310+(((M23*0.00314)*0.5)*'Технический лист'!$I$5))*1.86</f>
        <v>4117.709610857143</v>
      </c>
      <c r="N26" s="16">
        <f>((((N22*0.00314)*0.5)*'Технический лист'!$I$10)+310+(((N23*0.00314)*0.5)*'Технический лист'!$I$5))*1.86</f>
        <v>4550.80409361039</v>
      </c>
      <c r="O26" s="16">
        <f>((((O22*0.00314)*0.5)*'Технический лист'!$I$10)+310+(((O23*0.00314)*0.5)*'Технический лист'!$I$5))*1.86</f>
        <v>4695.168921194806</v>
      </c>
      <c r="P26" s="16">
        <f>((((P22*0.00314)*0.5)*'Технический лист'!$I$10)+310+(((P23*0.00314)*0.5)*'Технический лист'!$I$5))*1.86</f>
        <v>4839.533748779221</v>
      </c>
      <c r="Q26" s="16">
        <f>((((Q22*0.00314)*0.5)*'Технический лист'!$I$10)+310+(((Q23*0.00314)*0.5)*'Технический лист'!$I$5))*1.86</f>
        <v>4983.8985763636365</v>
      </c>
      <c r="R26" s="16">
        <f>((((R22*0.00314)*0.5)*'Технический лист'!$I$10)+310+(((R23*0.00314)*0.5)*'Технический лист'!$I$5))*1.86</f>
        <v>5128.263403948052</v>
      </c>
      <c r="S26" s="16">
        <f>((((S22*0.00314)*0.5)*'Технический лист'!$I$10)+310+(((S23*0.00314)*0.5)*'Технический лист'!$I$5))*1.86</f>
        <v>5272.628231532468</v>
      </c>
    </row>
    <row r="27" spans="1:19" ht="15">
      <c r="A27" s="4" t="s">
        <v>96</v>
      </c>
      <c r="B27" s="9">
        <f>((B26*2)/3)-6</f>
        <v>1584.221119896104</v>
      </c>
      <c r="C27" s="9">
        <f aca="true" t="shared" si="6" ref="C27:S27">((C26*2)/3)-6</f>
        <v>1680.4643382857141</v>
      </c>
      <c r="D27" s="9">
        <f t="shared" si="6"/>
        <v>1728.5859474805195</v>
      </c>
      <c r="E27" s="9">
        <f t="shared" si="6"/>
        <v>1776.7075566753247</v>
      </c>
      <c r="F27" s="9">
        <f t="shared" si="6"/>
        <v>1824.82916587013</v>
      </c>
      <c r="G27" s="9">
        <f t="shared" si="6"/>
        <v>1872.9507750649352</v>
      </c>
      <c r="H27" s="9">
        <f t="shared" si="6"/>
        <v>1969.1939934545455</v>
      </c>
      <c r="I27" s="9">
        <f t="shared" si="6"/>
        <v>2065.437211844156</v>
      </c>
      <c r="J27" s="9">
        <f t="shared" si="6"/>
        <v>2161.680430233766</v>
      </c>
      <c r="K27" s="9">
        <f t="shared" si="6"/>
        <v>2354.1668670129875</v>
      </c>
      <c r="L27" s="9">
        <f t="shared" si="6"/>
        <v>2546.6533037922077</v>
      </c>
      <c r="M27" s="9">
        <f t="shared" si="6"/>
        <v>2739.139740571429</v>
      </c>
      <c r="N27" s="9">
        <f t="shared" si="6"/>
        <v>3027.8693957402597</v>
      </c>
      <c r="O27" s="9">
        <f t="shared" si="6"/>
        <v>3124.1126141298705</v>
      </c>
      <c r="P27" s="9">
        <f t="shared" si="6"/>
        <v>3220.355832519481</v>
      </c>
      <c r="Q27" s="9">
        <f t="shared" si="6"/>
        <v>3316.599050909091</v>
      </c>
      <c r="R27" s="9">
        <f t="shared" si="6"/>
        <v>3412.842269298701</v>
      </c>
      <c r="S27" s="9">
        <f t="shared" si="6"/>
        <v>3509.085487688312</v>
      </c>
    </row>
    <row r="28" spans="1:19" ht="15">
      <c r="A28" s="4" t="s">
        <v>6</v>
      </c>
      <c r="B28" s="16">
        <f>((((B22*0.00314)*0.22)*'Технический лист'!$M$10)+100+(((B23*0.00314)*0.21)*'Технический лист'!$O$5)+(((B22+30)*(B22+30)/1000000)*'Технический лист'!$E$20))*1.88</f>
        <v>1186.3989706971429</v>
      </c>
      <c r="C28" s="16">
        <f>((((C22*0.00314)*0.22)*'Технический лист'!$M$10)+100+(((C23*0.00314)*0.21)*'Технический лист'!$O$5)+(((C22+30)*(C22+30)/1000000)*'Технический лист'!$E$20))*1.88</f>
        <v>1276.339816502857</v>
      </c>
      <c r="D28" s="16">
        <f>((((D22*0.00314)*0.22)*'Технический лист'!$M$10)+100+(((D23*0.00314)*0.21)*'Технический лист'!$O$5)+(((D22+30)*(D22+30)/1000000)*'Технический лист'!$E$20))*1.88</f>
        <v>1321.8742394057142</v>
      </c>
      <c r="E28" s="16">
        <f>((((E22*0.00314)*0.22)*'Технический лист'!$M$10)+100+(((E23*0.00314)*0.21)*'Технический лист'!$O$5)+(((E22+30)*(E22+30)/1000000)*'Технический лист'!$E$20))*1.88</f>
        <v>1367.7846623085713</v>
      </c>
      <c r="F28" s="16">
        <f>((((F22*0.00314)*0.22)*'Технический лист'!$M$10)+100+(((F23*0.00314)*0.21)*'Технический лист'!$O$5)+(((F22+30)*(F22+30)/1000000)*'Технический лист'!$E$20))*1.88</f>
        <v>1414.0710852114285</v>
      </c>
      <c r="G28" s="16">
        <f>((((G22*0.00314)*0.22)*'Технический лист'!$M$10)+100+(((G23*0.00314)*0.21)*'Технический лист'!$O$5)+(((G22+30)*(G22+30)/1000000)*'Технический лист'!$E$20))*1.88</f>
        <v>1460.7335081142855</v>
      </c>
      <c r="H28" s="16">
        <f>((((H22*0.00314)*0.22)*'Технический лист'!$M$10)+100+(((H23*0.00314)*0.21)*'Технический лист'!$O$5)+(((H22+30)*(H22+30)/1000000)*'Технический лист'!$E$20))*1.88</f>
        <v>1555.1863539199999</v>
      </c>
      <c r="I28" s="16">
        <f>((((I22*0.00314)*0.22)*'Технический лист'!$M$10)+100+(((I23*0.00314)*0.21)*'Технический лист'!$O$5)+(((I22+30)*(I22+30)/1000000)*'Технический лист'!$E$20))*1.88</f>
        <v>1651.143199725714</v>
      </c>
      <c r="J28" s="16">
        <f>((((J22*0.00314)*0.22)*'Технический лист'!$M$10)+100+(((J23*0.00314)*0.21)*'Технический лист'!$O$5)+(((J22+30)*(J22+30)/1000000)*'Технический лист'!$E$20))*1.88</f>
        <v>1748.604045531428</v>
      </c>
      <c r="K28" s="16">
        <f>((((K22*0.00314)*0.22)*'Технический лист'!$M$10)+100+(((K23*0.00314)*0.21)*'Технический лист'!$O$5)+(((K22+30)*(K22+30)/1000000)*'Технический лист'!$E$20))*1.88</f>
        <v>1948.0377371428574</v>
      </c>
      <c r="L28" s="16">
        <f>((((L22*0.00314)*0.22)*'Технический лист'!$M$10)+100+(((L23*0.00314)*0.21)*'Технический лист'!$O$5)+(((L22+30)*(L22+30)/1000000)*'Технический лист'!$E$20))*1.88</f>
        <v>2153.4874287542852</v>
      </c>
      <c r="M28" s="16">
        <f>((((M22*0.00314)*0.22)*'Технический лист'!$M$10)+100+(((M23*0.00314)*0.21)*'Технический лист'!$O$5)+(((M22+30)*(M22+30)/1000000)*'Технический лист'!$E$20))*1.88</f>
        <v>2364.953120365714</v>
      </c>
      <c r="N28" s="16">
        <f>((((N22*0.00314)*0.22)*'Технический лист'!$M$10)+100+(((N23*0.00314)*0.21)*'Технический лист'!$O$5)+(((N22+30)*(N22+30)/1000000)*'Технический лист'!$E$20))*1.88</f>
        <v>2693.4316577828563</v>
      </c>
      <c r="O28" s="16">
        <f>((((O22*0.00314)*0.22)*'Технический лист'!$M$10)+100+(((O23*0.00314)*0.21)*'Технический лист'!$O$5)+(((O22+30)*(O22+30)/1000000)*'Технический лист'!$E$20))*1.88</f>
        <v>2805.932503588571</v>
      </c>
      <c r="P28" s="16">
        <f>((((P22*0.00314)*0.22)*'Технический лист'!$M$10)+100+(((P23*0.00314)*0.21)*'Технический лист'!$O$5)+(((P22+30)*(P22+30)/1000000)*'Технический лист'!$E$20))*1.88</f>
        <v>2919.937349394286</v>
      </c>
      <c r="Q28" s="16">
        <f>((((Q22*0.00314)*0.22)*'Технический лист'!$M$10)+100+(((Q23*0.00314)*0.21)*'Технический лист'!$O$5)+(((Q22+30)*(Q22+30)/1000000)*'Технический лист'!$E$20))*1.88</f>
        <v>3035.4461952</v>
      </c>
      <c r="R28" s="16">
        <f>((((R22*0.00314)*0.22)*'Технический лист'!$M$10)+100+(((R23*0.00314)*0.21)*'Технический лист'!$O$5)+(((R22+30)*(R22+30)/1000000)*'Технический лист'!$E$20))*1.88</f>
        <v>3152.4590410057135</v>
      </c>
      <c r="S28" s="16">
        <f>((((S22*0.00314)*0.22)*'Технический лист'!$M$10)+100+(((S23*0.00314)*0.21)*'Технический лист'!$O$5)+(((S22+30)*(S22+30)/1000000)*'Технический лист'!$E$20))*1.88</f>
        <v>3270.9758868114277</v>
      </c>
    </row>
    <row r="29" spans="1:19" ht="15">
      <c r="A29" s="4" t="s">
        <v>7</v>
      </c>
      <c r="B29" s="9">
        <f>(B28*2.2)+24</f>
        <v>2634.0777355337145</v>
      </c>
      <c r="C29" s="9">
        <f aca="true" t="shared" si="7" ref="C29:S29">(C28*2.2)+24</f>
        <v>2831.9475963062855</v>
      </c>
      <c r="D29" s="9">
        <f t="shared" si="7"/>
        <v>2932.1233266925715</v>
      </c>
      <c r="E29" s="9">
        <f t="shared" si="7"/>
        <v>3033.126257078857</v>
      </c>
      <c r="F29" s="9">
        <f t="shared" si="7"/>
        <v>3134.956387465143</v>
      </c>
      <c r="G29" s="9">
        <f t="shared" si="7"/>
        <v>3237.6137178514286</v>
      </c>
      <c r="H29" s="9">
        <f t="shared" si="7"/>
        <v>3445.409978624</v>
      </c>
      <c r="I29" s="9">
        <f t="shared" si="7"/>
        <v>3656.5150393965714</v>
      </c>
      <c r="J29" s="9">
        <f t="shared" si="7"/>
        <v>3870.928900169142</v>
      </c>
      <c r="K29" s="9">
        <f t="shared" si="7"/>
        <v>4309.683021714287</v>
      </c>
      <c r="L29" s="9">
        <f t="shared" si="7"/>
        <v>4761.672343259428</v>
      </c>
      <c r="M29" s="9">
        <f t="shared" si="7"/>
        <v>5226.896864804571</v>
      </c>
      <c r="N29" s="9">
        <f t="shared" si="7"/>
        <v>5949.549647122284</v>
      </c>
      <c r="O29" s="9">
        <f t="shared" si="7"/>
        <v>6197.0515078948565</v>
      </c>
      <c r="P29" s="9">
        <f t="shared" si="7"/>
        <v>6447.86216866743</v>
      </c>
      <c r="Q29" s="9">
        <f t="shared" si="7"/>
        <v>6701.981629440001</v>
      </c>
      <c r="R29" s="9">
        <f t="shared" si="7"/>
        <v>6959.409890212571</v>
      </c>
      <c r="S29" s="9">
        <f t="shared" si="7"/>
        <v>7220.146950985141</v>
      </c>
    </row>
    <row r="30" spans="1:19" ht="15">
      <c r="A30" s="4" t="s">
        <v>8</v>
      </c>
      <c r="B30" s="16">
        <f>((((B22*0.00314)*0.2)*'Технический лист'!$M$10)+50+(((B23*0.00314)*0.22)*'Технический лист'!$O$5))*1.88</f>
        <v>944.9560011137663</v>
      </c>
      <c r="C30" s="16">
        <f>((((C22*0.00314)*0.2)*'Технический лист'!$M$10)+50+(((C23*0.00314)*0.22)*'Технический лист'!$O$5))*1.88</f>
        <v>1011.7242903771429</v>
      </c>
      <c r="D30" s="16">
        <f>((((D22*0.00314)*0.2)*'Технический лист'!$M$10)+50+(((D23*0.00314)*0.22)*'Технический лист'!$O$5))*1.88</f>
        <v>1045.108435008831</v>
      </c>
      <c r="E30" s="16">
        <f>((((E22*0.00314)*0.2)*'Технический лист'!$M$10)+50+(((E23*0.00314)*0.22)*'Технический лист'!$O$5))*1.88</f>
        <v>1078.4925796405194</v>
      </c>
      <c r="F30" s="16">
        <f>((((F22*0.00314)*0.2)*'Технический лист'!$M$10)+50+(((F23*0.00314)*0.22)*'Технический лист'!$O$5))*1.88</f>
        <v>1111.8767242722079</v>
      </c>
      <c r="G30" s="16">
        <f>((((G22*0.00314)*0.2)*'Технический лист'!$M$10)+50+(((G23*0.00314)*0.22)*'Технический лист'!$O$5))*1.88</f>
        <v>1145.260868903896</v>
      </c>
      <c r="H30" s="16">
        <f>((((H22*0.00314)*0.2)*'Технический лист'!$M$10)+50+(((H23*0.00314)*0.22)*'Технический лист'!$O$5))*1.88</f>
        <v>1212.0291581672725</v>
      </c>
      <c r="I30" s="16">
        <f>((((I22*0.00314)*0.2)*'Технический лист'!$M$10)+50+(((I23*0.00314)*0.22)*'Технический лист'!$O$5))*1.88</f>
        <v>1278.797447430649</v>
      </c>
      <c r="J30" s="16">
        <f>((((J22*0.00314)*0.2)*'Технический лист'!$M$10)+50+(((J23*0.00314)*0.22)*'Технический лист'!$O$5))*1.88</f>
        <v>1345.5657366940259</v>
      </c>
      <c r="K30" s="16">
        <f>((((K22*0.00314)*0.2)*'Технический лист'!$M$10)+50+(((K23*0.00314)*0.22)*'Технический лист'!$O$5))*1.88</f>
        <v>1479.102315220779</v>
      </c>
      <c r="L30" s="16">
        <f>((((L22*0.00314)*0.2)*'Технический лист'!$M$10)+50+(((L23*0.00314)*0.22)*'Технический лист'!$O$5))*1.88</f>
        <v>1612.6388937475324</v>
      </c>
      <c r="M30" s="16">
        <f>((((M22*0.00314)*0.2)*'Технический лист'!$M$10)+50+(((M23*0.00314)*0.22)*'Технический лист'!$O$5))*1.88</f>
        <v>1746.1754722742853</v>
      </c>
      <c r="N30" s="16">
        <f>((((N22*0.00314)*0.2)*'Технический лист'!$M$10)+50+(((N23*0.00314)*0.22)*'Технический лист'!$O$5))*1.88</f>
        <v>1946.4803400644157</v>
      </c>
      <c r="O30" s="16">
        <f>((((O22*0.00314)*0.2)*'Технический лист'!$M$10)+50+(((O23*0.00314)*0.22)*'Технический лист'!$O$5))*1.88</f>
        <v>2013.248629327792</v>
      </c>
      <c r="P30" s="16">
        <f>((((P22*0.00314)*0.2)*'Технический лист'!$M$10)+50+(((P23*0.00314)*0.22)*'Технический лист'!$O$5))*1.88</f>
        <v>2080.016918591169</v>
      </c>
      <c r="Q30" s="16">
        <f>((((Q22*0.00314)*0.2)*'Технический лист'!$M$10)+50+(((Q23*0.00314)*0.22)*'Технический лист'!$O$5))*1.88</f>
        <v>2146.785207854545</v>
      </c>
      <c r="R30" s="16">
        <f>((((R22*0.00314)*0.2)*'Технический лист'!$M$10)+50+(((R23*0.00314)*0.22)*'Технический лист'!$O$5))*1.88</f>
        <v>2213.5534971179222</v>
      </c>
      <c r="S30" s="16">
        <f>((((S22*0.00314)*0.2)*'Технический лист'!$M$10)+50+(((S23*0.00314)*0.22)*'Технический лист'!$O$5))*1.88</f>
        <v>2280.3217863812984</v>
      </c>
    </row>
    <row r="31" spans="1:19" ht="15">
      <c r="A31" s="4" t="s">
        <v>99</v>
      </c>
      <c r="B31" s="16">
        <v>3300</v>
      </c>
      <c r="C31" s="16">
        <v>3555</v>
      </c>
      <c r="D31" s="16">
        <v>3685</v>
      </c>
      <c r="E31" s="16">
        <v>3810</v>
      </c>
      <c r="F31" s="16">
        <v>3940</v>
      </c>
      <c r="G31" s="16">
        <v>4070</v>
      </c>
      <c r="H31" s="16">
        <v>4340</v>
      </c>
      <c r="I31" s="16">
        <v>4615</v>
      </c>
      <c r="J31" s="16">
        <v>4895</v>
      </c>
      <c r="K31" s="16">
        <v>5470</v>
      </c>
      <c r="L31" s="16">
        <v>6080</v>
      </c>
      <c r="M31" s="16">
        <v>6710</v>
      </c>
      <c r="N31" s="16">
        <v>7710</v>
      </c>
      <c r="O31" s="16">
        <v>8055</v>
      </c>
      <c r="P31" s="16">
        <v>8405</v>
      </c>
      <c r="Q31" s="16">
        <v>8760</v>
      </c>
      <c r="R31" s="16">
        <v>9125</v>
      </c>
      <c r="S31" s="16">
        <v>9490</v>
      </c>
    </row>
    <row r="32" spans="1:19" ht="15">
      <c r="A32" s="4" t="s">
        <v>102</v>
      </c>
      <c r="B32" s="16">
        <v>3300</v>
      </c>
      <c r="C32" s="16">
        <v>3555</v>
      </c>
      <c r="D32" s="16">
        <v>3685</v>
      </c>
      <c r="E32" s="16">
        <v>3810</v>
      </c>
      <c r="F32" s="16">
        <v>3940</v>
      </c>
      <c r="G32" s="16">
        <v>4070</v>
      </c>
      <c r="H32" s="16">
        <v>4340</v>
      </c>
      <c r="I32" s="16">
        <v>4615</v>
      </c>
      <c r="J32" s="16">
        <v>4895</v>
      </c>
      <c r="K32" s="16">
        <v>5470</v>
      </c>
      <c r="L32" s="16">
        <v>6080</v>
      </c>
      <c r="M32" s="16">
        <v>6710</v>
      </c>
      <c r="N32" s="16">
        <v>7710</v>
      </c>
      <c r="O32" s="16">
        <v>8055</v>
      </c>
      <c r="P32" s="16">
        <v>8405</v>
      </c>
      <c r="Q32" s="16">
        <v>8760</v>
      </c>
      <c r="R32" s="16">
        <v>9125</v>
      </c>
      <c r="S32" s="16">
        <v>9490</v>
      </c>
    </row>
    <row r="33" spans="1:19" ht="15">
      <c r="A33" s="4" t="s">
        <v>9</v>
      </c>
      <c r="B33" s="9">
        <f>((((B22*0.00314)*((B22+545)/1000))*'Технический лист'!$K$10)+370+((B23*0.00314)*((B23+450)/1000))*'Технический лист'!$K$5)*1.97</f>
        <v>3290.505478016104</v>
      </c>
      <c r="C33" s="9">
        <f>((((C22*0.00314)*((C22+545)/1000))*'Технический лист'!$K$10)+370+((C23*0.00314)*((C23+450)/1000))*'Технический лист'!$K$5)*1.97</f>
        <v>3537.602520962857</v>
      </c>
      <c r="D33" s="9">
        <f>((((D22*0.00314)*((D22+545)/1000))*'Технический лист'!$K$10)+370+((D23*0.00314)*((D23+450)/1000))*'Технический лист'!$K$5)*1.97</f>
        <v>3663.5512854728563</v>
      </c>
      <c r="E33" s="9">
        <f>((((E22*0.00314)*((E22+545)/1000))*'Технический лист'!$K$10)+370+((E23*0.00314)*((E23+450)/1000))*'Технический лист'!$K$5)*1.97</f>
        <v>3791.1002120072726</v>
      </c>
      <c r="F33" s="9">
        <f>((((F22*0.00314)*((F22+545)/1000))*'Технический лист'!$K$10)+370+((F23*0.00314)*((F23+450)/1000))*'Технический лист'!$K$5)*1.97</f>
        <v>3920.2493005661036</v>
      </c>
      <c r="G33" s="9">
        <f>((((G22*0.00314)*((G22+545)/1000))*'Технический лист'!$K$10)+370+((G23*0.00314)*((G23+450)/1000))*'Технический лист'!$K$5)*1.97</f>
        <v>4050.998551149351</v>
      </c>
      <c r="H33" s="9">
        <f>((((H22*0.00314)*((H22+545)/1000))*'Технический лист'!$K$10)+370+((H23*0.00314)*((H23+450)/1000))*'Технический лист'!$K$5)*1.97</f>
        <v>4317.297538389091</v>
      </c>
      <c r="I33" s="9">
        <f>((((I22*0.00314)*((I22+545)/1000))*'Технический лист'!$K$10)+370+((I23*0.00314)*((I23+450)/1000))*'Технический лист'!$K$5)*1.97</f>
        <v>4589.997173726493</v>
      </c>
      <c r="J33" s="9">
        <f>((((J22*0.00314)*((J22+545)/1000))*'Технический лист'!$K$10)+370+((J23*0.00314)*((J23+450)/1000))*'Технический лист'!$K$5)*1.97</f>
        <v>4869.097457161558</v>
      </c>
      <c r="K33" s="9">
        <f>((((K22*0.00314)*((K22+545)/1000))*'Технический лист'!$K$10)+370+((K23*0.00314)*((K23+450)/1000))*'Технический лист'!$K$5)*1.97</f>
        <v>5446.499968324675</v>
      </c>
      <c r="L33" s="9">
        <f>((((L22*0.00314)*((L22+545)/1000))*'Технический лист'!$K$10)+370+((L23*0.00314)*((L23+450)/1000))*'Технический лист'!$K$5)*1.97</f>
        <v>6049.5050718784405</v>
      </c>
      <c r="M33" s="9">
        <f>((((M22*0.00314)*((M22+545)/1000))*'Технический лист'!$K$10)+370+((M23*0.00314)*((M23+450)/1000))*'Технический лист'!$K$5)*1.97</f>
        <v>6678.112767822857</v>
      </c>
      <c r="N33" s="9">
        <f>((((N22*0.00314)*((N22+545)/1000))*'Технический лист'!$K$10)+370+((N23*0.00314)*((N23+450)/1000))*'Технический лист'!$K$5)*1.97</f>
        <v>7669.029172471948</v>
      </c>
      <c r="O33" s="9">
        <f>((((O22*0.00314)*((O22+545)/1000))*'Технический лист'!$K$10)+370+((O23*0.00314)*((O23+450)/1000))*'Технический лист'!$K$5)*1.97</f>
        <v>8012.135936883636</v>
      </c>
      <c r="P33" s="9">
        <f>((((P22*0.00314)*((P22+545)/1000))*'Технический лист'!$K$10)+370+((P23*0.00314)*((P23+450)/1000))*'Технический лист'!$K$5)*1.97</f>
        <v>8361.643349392987</v>
      </c>
      <c r="Q33" s="9">
        <f>((((Q22*0.00314)*((Q22+545)/1000))*'Технический лист'!$K$10)+370+((Q23*0.00314)*((Q23+450)/1000))*'Технический лист'!$K$5)*1.97</f>
        <v>8717.55141</v>
      </c>
      <c r="R33" s="9">
        <f>((((R22*0.00314)*((R22+545)/1000))*'Технический лист'!$K$10)+370+((R23*0.00314)*((R23+450)/1000))*'Технический лист'!$K$5)*1.97</f>
        <v>9079.860118704675</v>
      </c>
      <c r="S33" s="9">
        <f>((((S22*0.00314)*((S22+545)/1000))*'Технический лист'!$K$10)+370+((S23*0.00314)*((S23+450)/1000))*'Технический лист'!$K$5)*1.97</f>
        <v>9448.569475507013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B35" sqref="B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S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t="shared" si="0"/>
        <v>330</v>
      </c>
      <c r="P7" s="10">
        <f t="shared" si="0"/>
        <v>340</v>
      </c>
      <c r="Q7" s="10">
        <f t="shared" si="0"/>
        <v>350</v>
      </c>
      <c r="R7" s="10">
        <f t="shared" si="0"/>
        <v>360</v>
      </c>
      <c r="S7" s="10">
        <f t="shared" si="0"/>
        <v>370</v>
      </c>
    </row>
    <row r="8" spans="1:19" ht="15">
      <c r="A8" s="4" t="s">
        <v>4</v>
      </c>
      <c r="B8" s="16">
        <f>(((B6*0.00314)*'Технический лист'!$G$8)+310+((B7*0.00314)*'Технический лист'!$G$11))*1.77</f>
        <v>2026.8941113506494</v>
      </c>
      <c r="C8" s="16">
        <f>(((C6*0.00314)*'Технический лист'!$G$8)+310+((C7*0.00314)*'Технический лист'!$G$11))*1.77</f>
        <v>2160.9542622857143</v>
      </c>
      <c r="D8" s="16">
        <f>(((D6*0.00314)*'Технический лист'!$G$8)+310+((D7*0.00314)*'Технический лист'!$G$11))*1.77</f>
        <v>2227.9843377532466</v>
      </c>
      <c r="E8" s="16">
        <f>(((E6*0.00314)*'Технический лист'!$G$8)+310+((E7*0.00314)*'Технический лист'!$G$11))*1.77</f>
        <v>2295.0144132207793</v>
      </c>
      <c r="F8" s="16">
        <f>(((F6*0.00314)*'Технический лист'!$G$8)+310+((F7*0.00314)*'Технический лист'!$G$11))*1.77</f>
        <v>2362.0444886883115</v>
      </c>
      <c r="G8" s="16">
        <f>(((G6*0.00314)*'Технический лист'!$G$8)+310+((G7*0.00314)*'Технический лист'!$G$11))*1.77</f>
        <v>2429.0745641558437</v>
      </c>
      <c r="H8" s="16">
        <f>(((H6*0.00314)*'Технический лист'!$G$8)+310+((H7*0.00314)*'Технический лист'!$G$11))*1.77</f>
        <v>2563.1347150909087</v>
      </c>
      <c r="I8" s="16">
        <f>(((I6*0.00314)*'Технический лист'!$G$8)+310+((I7*0.00314)*'Технический лист'!$G$11))*1.77</f>
        <v>2697.194866025974</v>
      </c>
      <c r="J8" s="16">
        <f>(((J6*0.00314)*'Технический лист'!$G$8)+310+((J7*0.00314)*'Технический лист'!$G$11))*1.77</f>
        <v>2831.255016961039</v>
      </c>
      <c r="K8" s="16">
        <f>(((K6*0.00314)*'Технический лист'!$G$8)+310+((K7*0.00314)*'Технический лист'!$G$11))*1.77</f>
        <v>3099.375318831169</v>
      </c>
      <c r="L8" s="16">
        <f>(((L6*0.00314)*'Технический лист'!$G$8)+310+((L7*0.00314)*'Технический лист'!$G$11))*1.77</f>
        <v>3367.495620701299</v>
      </c>
      <c r="M8" s="16">
        <f>(((M6*0.00314)*'Технический лист'!$G$8)+310+((M7*0.00314)*'Технический лист'!$G$11))*1.77</f>
        <v>3635.615922571428</v>
      </c>
      <c r="N8" s="16">
        <f>(((N6*0.00314)*'Технический лист'!$G$8)+310+((N7*0.00314)*'Технический лист'!$G$11))*1.77</f>
        <v>4037.796375376623</v>
      </c>
      <c r="O8" s="16">
        <f>(((O6*0.00314)*'Технический лист'!$G$8)+310+((O7*0.00314)*'Технический лист'!$G$11))*1.77</f>
        <v>4171.856526311688</v>
      </c>
      <c r="P8" s="16">
        <f>(((P6*0.00314)*'Технический лист'!$G$8)+310+((P7*0.00314)*'Технический лист'!$G$11))*1.77</f>
        <v>4305.916677246753</v>
      </c>
      <c r="Q8" s="16">
        <f>(((Q6*0.00314)*'Технический лист'!$G$8)+310+((Q7*0.00314)*'Технический лист'!$G$11))*1.77</f>
        <v>4439.976828181817</v>
      </c>
      <c r="R8" s="16">
        <f>(((R6*0.00314)*'Технический лист'!$G$8)+310+((R7*0.00314)*'Технический лист'!$G$11))*1.77</f>
        <v>4574.036979116882</v>
      </c>
      <c r="S8" s="16">
        <f>(((S6*0.00314)*'Технический лист'!$G$8)+310+((S7*0.00314)*'Технический лист'!$G$11))*1.77</f>
        <v>4708.097130051948</v>
      </c>
    </row>
    <row r="9" spans="1:19" ht="15">
      <c r="A9" s="4" t="s">
        <v>3</v>
      </c>
      <c r="B9" s="9">
        <f>((B8/2)*1.07)-10</f>
        <v>1074.3883495725975</v>
      </c>
      <c r="C9" s="9">
        <f aca="true" t="shared" si="1" ref="C9:S9">((C8/2)*1.07)-10</f>
        <v>1146.1105303228571</v>
      </c>
      <c r="D9" s="9">
        <f t="shared" si="1"/>
        <v>1181.971620697987</v>
      </c>
      <c r="E9" s="9">
        <f t="shared" si="1"/>
        <v>1217.832711073117</v>
      </c>
      <c r="F9" s="9">
        <f t="shared" si="1"/>
        <v>1253.6938014482466</v>
      </c>
      <c r="G9" s="9">
        <f t="shared" si="1"/>
        <v>1289.5548918233765</v>
      </c>
      <c r="H9" s="9">
        <f t="shared" si="1"/>
        <v>1361.2770725736361</v>
      </c>
      <c r="I9" s="9">
        <f t="shared" si="1"/>
        <v>1432.9992533238963</v>
      </c>
      <c r="J9" s="9">
        <f t="shared" si="1"/>
        <v>1504.721434074156</v>
      </c>
      <c r="K9" s="9">
        <f t="shared" si="1"/>
        <v>1648.1657955746755</v>
      </c>
      <c r="L9" s="9">
        <f t="shared" si="1"/>
        <v>1791.610157075195</v>
      </c>
      <c r="M9" s="9">
        <f t="shared" si="1"/>
        <v>1935.0545185757142</v>
      </c>
      <c r="N9" s="9">
        <f t="shared" si="1"/>
        <v>2150.2210608264936</v>
      </c>
      <c r="O9" s="9">
        <f t="shared" si="1"/>
        <v>2221.9432415767533</v>
      </c>
      <c r="P9" s="9">
        <f t="shared" si="1"/>
        <v>2293.6654223270134</v>
      </c>
      <c r="Q9" s="9">
        <f t="shared" si="1"/>
        <v>2365.387603077272</v>
      </c>
      <c r="R9" s="9">
        <f t="shared" si="1"/>
        <v>2437.1097838275323</v>
      </c>
      <c r="S9" s="9">
        <f t="shared" si="1"/>
        <v>2508.831964577792</v>
      </c>
    </row>
    <row r="10" spans="1:19" ht="15">
      <c r="A10" s="4" t="s">
        <v>5</v>
      </c>
      <c r="B10" s="16">
        <f>((((B6*0.00314)*0.5)*'Технический лист'!$I$8)+310+(((B7*0.00314)*0.5)*'Технический лист'!$I$11))*1.89</f>
        <v>1797.2037556363634</v>
      </c>
      <c r="C10" s="16">
        <f>((((C6*0.00314)*0.5)*'Технический лист'!$I$8)+310+(((C7*0.00314)*0.5)*'Технический лист'!$I$11))*1.89</f>
        <v>1904.2374779999998</v>
      </c>
      <c r="D10" s="16">
        <f>((((D6*0.00314)*0.5)*'Технический лист'!$I$8)+310+(((D7*0.00314)*0.5)*'Технический лист'!$I$11))*1.89</f>
        <v>1957.7543391818178</v>
      </c>
      <c r="E10" s="16">
        <f>((((E6*0.00314)*0.5)*'Технический лист'!$I$8)+310+(((E7*0.00314)*0.5)*'Технический лист'!$I$11))*1.89</f>
        <v>2011.2712003636364</v>
      </c>
      <c r="F10" s="16">
        <f>((((F6*0.00314)*0.5)*'Технический лист'!$I$8)+310+(((F7*0.00314)*0.5)*'Технический лист'!$I$11))*1.89</f>
        <v>2064.788061545454</v>
      </c>
      <c r="G10" s="16">
        <f>((((G6*0.00314)*0.5)*'Технический лист'!$I$8)+310+(((G7*0.00314)*0.5)*'Технический лист'!$I$11))*1.89</f>
        <v>2118.3049227272727</v>
      </c>
      <c r="H10" s="16">
        <f>((((H6*0.00314)*0.5)*'Технический лист'!$I$8)+310+(((H7*0.00314)*0.5)*'Технический лист'!$I$11))*1.89</f>
        <v>2225.338645090909</v>
      </c>
      <c r="I10" s="16">
        <f>((((I6*0.00314)*0.5)*'Технический лист'!$I$8)+310+(((I7*0.00314)*0.5)*'Технический лист'!$I$11))*1.89</f>
        <v>2332.3723674545454</v>
      </c>
      <c r="J10" s="16">
        <f>((((J6*0.00314)*0.5)*'Технический лист'!$I$8)+310+(((J7*0.00314)*0.5)*'Технический лист'!$I$11))*1.89</f>
        <v>2439.4060898181815</v>
      </c>
      <c r="K10" s="16">
        <f>((((K6*0.00314)*0.5)*'Технический лист'!$I$8)+310+(((K7*0.00314)*0.5)*'Технический лист'!$I$11))*1.89</f>
        <v>2653.4735345454546</v>
      </c>
      <c r="L10" s="16">
        <f>((((L6*0.00314)*0.5)*'Технический лист'!$I$8)+310+(((L7*0.00314)*0.5)*'Технический лист'!$I$11))*1.89</f>
        <v>2867.540979272727</v>
      </c>
      <c r="M10" s="16">
        <f>((((M6*0.00314)*0.5)*'Технический лист'!$I$8)+310+(((M7*0.00314)*0.5)*'Технический лист'!$I$11))*1.89</f>
        <v>3081.6084239999996</v>
      </c>
      <c r="N10" s="16">
        <f>((((N6*0.00314)*0.5)*'Технический лист'!$I$8)+310+(((N7*0.00314)*0.5)*'Технический лист'!$I$11))*1.89</f>
        <v>3402.709591090909</v>
      </c>
      <c r="O10" s="16">
        <f>((((O6*0.00314)*0.5)*'Технический лист'!$I$8)+310+(((O7*0.00314)*0.5)*'Технический лист'!$I$11))*1.89</f>
        <v>3509.7433134545454</v>
      </c>
      <c r="P10" s="16">
        <f>((((P6*0.00314)*0.5)*'Технический лист'!$I$8)+310+(((P7*0.00314)*0.5)*'Технический лист'!$I$11))*1.89</f>
        <v>3616.777035818181</v>
      </c>
      <c r="Q10" s="16">
        <f>((((Q6*0.00314)*0.5)*'Технический лист'!$I$8)+310+(((Q7*0.00314)*0.5)*'Технический лист'!$I$11))*1.89</f>
        <v>3723.8107581818176</v>
      </c>
      <c r="R10" s="16">
        <f>((((R6*0.00314)*0.5)*'Технический лист'!$I$8)+310+(((R7*0.00314)*0.5)*'Технический лист'!$I$11))*1.89</f>
        <v>3830.844480545454</v>
      </c>
      <c r="S10" s="16">
        <f>((((S6*0.00314)*0.5)*'Технический лист'!$I$8)+310+(((S7*0.00314)*0.5)*'Технический лист'!$I$11))*1.89</f>
        <v>3937.8782029090903</v>
      </c>
    </row>
    <row r="11" spans="1:19" ht="15">
      <c r="A11" s="4" t="s">
        <v>96</v>
      </c>
      <c r="B11" s="9">
        <f>((B10*2)/3)-6</f>
        <v>1192.135837090909</v>
      </c>
      <c r="C11" s="9">
        <f aca="true" t="shared" si="2" ref="C11:S11">((C10*2)/3)-6</f>
        <v>1263.491652</v>
      </c>
      <c r="D11" s="9">
        <f t="shared" si="2"/>
        <v>1299.1695594545452</v>
      </c>
      <c r="E11" s="9">
        <f t="shared" si="2"/>
        <v>1334.8474669090908</v>
      </c>
      <c r="F11" s="9">
        <f t="shared" si="2"/>
        <v>1370.525374363636</v>
      </c>
      <c r="G11" s="9">
        <f t="shared" si="2"/>
        <v>1406.2032818181817</v>
      </c>
      <c r="H11" s="9">
        <f t="shared" si="2"/>
        <v>1477.5590967272726</v>
      </c>
      <c r="I11" s="9">
        <f t="shared" si="2"/>
        <v>1548.9149116363635</v>
      </c>
      <c r="J11" s="9">
        <f t="shared" si="2"/>
        <v>1620.2707265454544</v>
      </c>
      <c r="K11" s="9">
        <f t="shared" si="2"/>
        <v>1762.9823563636364</v>
      </c>
      <c r="L11" s="9">
        <f t="shared" si="2"/>
        <v>1905.693986181818</v>
      </c>
      <c r="M11" s="9">
        <f t="shared" si="2"/>
        <v>2048.4056159999996</v>
      </c>
      <c r="N11" s="9">
        <f t="shared" si="2"/>
        <v>2262.4730607272727</v>
      </c>
      <c r="O11" s="9">
        <f t="shared" si="2"/>
        <v>2333.8288756363636</v>
      </c>
      <c r="P11" s="9">
        <f t="shared" si="2"/>
        <v>2405.184690545454</v>
      </c>
      <c r="Q11" s="9">
        <f t="shared" si="2"/>
        <v>2476.540505454545</v>
      </c>
      <c r="R11" s="9">
        <f t="shared" si="2"/>
        <v>2547.8963203636363</v>
      </c>
      <c r="S11" s="9">
        <f t="shared" si="2"/>
        <v>2619.2521352727267</v>
      </c>
    </row>
    <row r="12" spans="1:19" ht="15">
      <c r="A12" s="4" t="s">
        <v>6</v>
      </c>
      <c r="B12" s="16">
        <f>((((B6*0.00314)*0.22)*'Технический лист'!$M$8)+100+(((B7*0.00314)*0.21)*'Технический лист'!$O$11)+(((B6+30)*(B6+30)/1000000)*'Технический лист'!$E$20))*1.8</f>
        <v>918.2799339428572</v>
      </c>
      <c r="C12" s="16">
        <f>((((C6*0.00314)*0.22)*'Технический лист'!$M$8)+100+(((C7*0.00314)*0.21)*'Технический лист'!$O$11)+(((C6+30)*(C6+30)/1000000)*'Технический лист'!$E$20))*1.8</f>
        <v>990.4178900571429</v>
      </c>
      <c r="D12" s="16">
        <f>((((D6*0.00314)*0.22)*'Технический лист'!$M$8)+100+(((D7*0.00314)*0.21)*'Технический лист'!$O$11)+(((D6+30)*(D6+30)/1000000)*'Технический лист'!$E$20))*1.8</f>
        <v>1027.026868114286</v>
      </c>
      <c r="E12" s="16">
        <f>((((E6*0.00314)*0.22)*'Технический лист'!$M$8)+100+(((E7*0.00314)*0.21)*'Технический лист'!$O$11)+(((E6+30)*(E6+30)/1000000)*'Технический лист'!$E$20))*1.8</f>
        <v>1063.9958461714286</v>
      </c>
      <c r="F12" s="16">
        <f>((((F6*0.00314)*0.22)*'Технический лист'!$M$8)+100+(((F7*0.00314)*0.21)*'Технический лист'!$O$11)+(((F6+30)*(F6+30)/1000000)*'Технический лист'!$E$20))*1.8</f>
        <v>1101.3248242285715</v>
      </c>
      <c r="G12" s="16">
        <f>((((G6*0.00314)*0.22)*'Технический лист'!$M$8)+100+(((G7*0.00314)*0.21)*'Технический лист'!$O$11)+(((G6+30)*(G6+30)/1000000)*'Технический лист'!$E$20))*1.8</f>
        <v>1139.0138022857143</v>
      </c>
      <c r="H12" s="16">
        <f>((((H6*0.00314)*0.22)*'Технический лист'!$M$8)+100+(((H7*0.00314)*0.21)*'Технический лист'!$O$11)+(((H6+30)*(H6+30)/1000000)*'Технический лист'!$E$20))*1.8</f>
        <v>1215.4717584</v>
      </c>
      <c r="I12" s="16">
        <f>((((I6*0.00314)*0.22)*'Технический лист'!$M$8)+100+(((I7*0.00314)*0.21)*'Технический лист'!$O$11)+(((I6+30)*(I6+30)/1000000)*'Технический лист'!$E$20))*1.8</f>
        <v>1293.3697145142855</v>
      </c>
      <c r="J12" s="16">
        <f>((((J6*0.00314)*0.22)*'Технический лист'!$M$8)+100+(((J7*0.00314)*0.21)*'Технический лист'!$O$11)+(((J6+30)*(J6+30)/1000000)*'Технический лист'!$E$20))*1.8</f>
        <v>1372.7076706285713</v>
      </c>
      <c r="K12" s="16">
        <f>((((K6*0.00314)*0.22)*'Технический лист'!$M$8)+100+(((K7*0.00314)*0.21)*'Технический лист'!$O$11)+(((K6+30)*(K6+30)/1000000)*'Технический лист'!$E$20))*1.8</f>
        <v>1535.703582857143</v>
      </c>
      <c r="L12" s="16">
        <f>((((L6*0.00314)*0.22)*'Технический лист'!$M$8)+100+(((L7*0.00314)*0.21)*'Технический лист'!$O$11)+(((L6+30)*(L6+30)/1000000)*'Технический лист'!$E$20))*1.8</f>
        <v>1704.4594950857143</v>
      </c>
      <c r="M12" s="16">
        <f>((((M6*0.00314)*0.22)*'Технический лист'!$M$8)+100+(((M7*0.00314)*0.21)*'Технический лист'!$O$11)+(((M6+30)*(M6+30)/1000000)*'Технический лист'!$E$20))*1.8</f>
        <v>1878.9754073142856</v>
      </c>
      <c r="N12" s="16">
        <f>((((N6*0.00314)*0.22)*'Технический лист'!$M$8)+100+(((N7*0.00314)*0.21)*'Технический лист'!$O$11)+(((N6+30)*(N6+30)/1000000)*'Технический лист'!$E$20))*1.8</f>
        <v>2151.549275657143</v>
      </c>
      <c r="O12" s="16">
        <f>((((O6*0.00314)*0.22)*'Технический лист'!$M$8)+100+(((O7*0.00314)*0.21)*'Технический лист'!$O$11)+(((O6+30)*(O6+30)/1000000)*'Технический лист'!$E$20))*1.8</f>
        <v>2245.2872317714287</v>
      </c>
      <c r="P12" s="16">
        <f>((((P6*0.00314)*0.22)*'Технический лист'!$M$8)+100+(((P7*0.00314)*0.21)*'Технический лист'!$O$11)+(((P6+30)*(P6+30)/1000000)*'Технический лист'!$E$20))*1.8</f>
        <v>2340.4651878857144</v>
      </c>
      <c r="Q12" s="16">
        <f>((((Q6*0.00314)*0.22)*'Технический лист'!$M$8)+100+(((Q7*0.00314)*0.21)*'Технический лист'!$O$11)+(((Q6+30)*(Q6+30)/1000000)*'Технический лист'!$E$20))*1.8</f>
        <v>2437.083144</v>
      </c>
      <c r="R12" s="16">
        <f>((((R6*0.00314)*0.22)*'Технический лист'!$M$8)+100+(((R7*0.00314)*0.21)*'Технический лист'!$O$11)+(((R6+30)*(R6+30)/1000000)*'Технический лист'!$E$20))*1.8</f>
        <v>2535.141100114286</v>
      </c>
      <c r="S12" s="16">
        <f>((((S6*0.00314)*0.22)*'Технический лист'!$M$8)+100+(((S7*0.00314)*0.21)*'Технический лист'!$O$11)+(((S6+30)*(S6+30)/1000000)*'Технический лист'!$E$20))*1.8</f>
        <v>2634.639056228571</v>
      </c>
    </row>
    <row r="13" spans="1:19" ht="15">
      <c r="A13" s="4" t="s">
        <v>7</v>
      </c>
      <c r="B13" s="9">
        <f>(B12*2.2)+24</f>
        <v>2044.215854674286</v>
      </c>
      <c r="C13" s="9">
        <f aca="true" t="shared" si="3" ref="C13:S13">(C12*2.2)+24</f>
        <v>2202.9193581257146</v>
      </c>
      <c r="D13" s="9">
        <f t="shared" si="3"/>
        <v>2283.4591098514293</v>
      </c>
      <c r="E13" s="9">
        <f t="shared" si="3"/>
        <v>2364.790861577143</v>
      </c>
      <c r="F13" s="9">
        <f t="shared" si="3"/>
        <v>2446.9146133028576</v>
      </c>
      <c r="G13" s="9">
        <f t="shared" si="3"/>
        <v>2529.8303650285716</v>
      </c>
      <c r="H13" s="9">
        <f t="shared" si="3"/>
        <v>2698.0378684800003</v>
      </c>
      <c r="I13" s="9">
        <f t="shared" si="3"/>
        <v>2869.4133719314286</v>
      </c>
      <c r="J13" s="9">
        <f t="shared" si="3"/>
        <v>3043.956875382857</v>
      </c>
      <c r="K13" s="9">
        <f t="shared" si="3"/>
        <v>3402.547882285715</v>
      </c>
      <c r="L13" s="9">
        <f t="shared" si="3"/>
        <v>3773.8108891885718</v>
      </c>
      <c r="M13" s="9">
        <f t="shared" si="3"/>
        <v>4157.745896091428</v>
      </c>
      <c r="N13" s="9">
        <f t="shared" si="3"/>
        <v>4757.408406445715</v>
      </c>
      <c r="O13" s="9">
        <f t="shared" si="3"/>
        <v>4963.6319098971435</v>
      </c>
      <c r="P13" s="9">
        <f t="shared" si="3"/>
        <v>5173.023413348572</v>
      </c>
      <c r="Q13" s="9">
        <f t="shared" si="3"/>
        <v>5385.582916800001</v>
      </c>
      <c r="R13" s="9">
        <f t="shared" si="3"/>
        <v>5601.31042025143</v>
      </c>
      <c r="S13" s="9">
        <f t="shared" si="3"/>
        <v>5820.205923702857</v>
      </c>
    </row>
    <row r="14" spans="1:19" ht="15">
      <c r="A14" s="4" t="s">
        <v>8</v>
      </c>
      <c r="B14" s="16">
        <f>((((B6*0.00314)*0.2)*'Технический лист'!$M$8)+50+(((B7*0.00314)*0.22)*'Технический лист'!$O$11))*1.9</f>
        <v>718.5124142199135</v>
      </c>
      <c r="C14" s="16">
        <f>((((C6*0.00314)*0.2)*'Технический лист'!$M$8)+50+(((C7*0.00314)*0.22)*'Технический лист'!$O$11))*1.9</f>
        <v>770.9532546285712</v>
      </c>
      <c r="D14" s="16">
        <f>((((D6*0.00314)*0.2)*'Технический лист'!$M$8)+50+(((D7*0.00314)*0.22)*'Технический лист'!$O$11))*1.9</f>
        <v>797.1736748329005</v>
      </c>
      <c r="E14" s="16">
        <f>((((E6*0.00314)*0.2)*'Технический лист'!$M$8)+50+(((E7*0.00314)*0.22)*'Технический лист'!$O$11))*1.9</f>
        <v>823.3940950372296</v>
      </c>
      <c r="F14" s="16">
        <f>((((F6*0.00314)*0.2)*'Технический лист'!$M$8)+50+(((F7*0.00314)*0.22)*'Технический лист'!$O$11))*1.9</f>
        <v>849.6145152415585</v>
      </c>
      <c r="G14" s="16">
        <f>((((G6*0.00314)*0.2)*'Технический лист'!$M$8)+50+(((G7*0.00314)*0.22)*'Технический лист'!$O$11))*1.9</f>
        <v>875.8349354458875</v>
      </c>
      <c r="H14" s="16">
        <f>((((H6*0.00314)*0.2)*'Технический лист'!$M$8)+50+(((H7*0.00314)*0.22)*'Технический лист'!$O$11))*1.9</f>
        <v>928.2757758545453</v>
      </c>
      <c r="I14" s="16">
        <f>((((I6*0.00314)*0.2)*'Технический лист'!$M$8)+50+(((I7*0.00314)*0.22)*'Технический лист'!$O$11))*1.9</f>
        <v>980.7166162632034</v>
      </c>
      <c r="J14" s="16">
        <f>((((J6*0.00314)*0.2)*'Технический лист'!$M$8)+50+(((J7*0.00314)*0.22)*'Технический лист'!$O$11))*1.9</f>
        <v>1033.1574566718614</v>
      </c>
      <c r="K14" s="16">
        <f>((((K6*0.00314)*0.2)*'Технический лист'!$M$8)+50+(((K7*0.00314)*0.22)*'Технический лист'!$O$11))*1.9</f>
        <v>1138.0391374891776</v>
      </c>
      <c r="L14" s="16">
        <f>((((L6*0.00314)*0.2)*'Технический лист'!$M$8)+50+(((L7*0.00314)*0.22)*'Технический лист'!$O$11))*1.9</f>
        <v>1242.9208183064936</v>
      </c>
      <c r="M14" s="16">
        <f>((((M6*0.00314)*0.2)*'Технический лист'!$M$8)+50+(((M7*0.00314)*0.22)*'Технический лист'!$O$11))*1.9</f>
        <v>1347.8024991238096</v>
      </c>
      <c r="N14" s="16">
        <f>((((N6*0.00314)*0.2)*'Технический лист'!$M$8)+50+(((N7*0.00314)*0.22)*'Технический лист'!$O$11))*1.9</f>
        <v>1505.1250203497839</v>
      </c>
      <c r="O14" s="16">
        <f>((((O6*0.00314)*0.2)*'Технический лист'!$M$8)+50+(((O7*0.00314)*0.22)*'Технический лист'!$O$11))*1.9</f>
        <v>1557.5658607584414</v>
      </c>
      <c r="P14" s="16">
        <f>((((P6*0.00314)*0.2)*'Технический лист'!$M$8)+50+(((P7*0.00314)*0.22)*'Технический лист'!$O$11))*1.9</f>
        <v>1610.0067011670997</v>
      </c>
      <c r="Q14" s="16">
        <f>((((Q6*0.00314)*0.2)*'Технический лист'!$M$8)+50+(((Q7*0.00314)*0.22)*'Технический лист'!$O$11))*1.9</f>
        <v>1662.4475415757574</v>
      </c>
      <c r="R14" s="16">
        <f>((((R6*0.00314)*0.2)*'Технический лист'!$M$8)+50+(((R7*0.00314)*0.22)*'Технический лист'!$O$11))*1.9</f>
        <v>1714.8883819844154</v>
      </c>
      <c r="S14" s="16">
        <f>((((S6*0.00314)*0.2)*'Технический лист'!$M$8)+50+(((S7*0.00314)*0.22)*'Технический лист'!$O$11))*1.9</f>
        <v>1767.3292223930735</v>
      </c>
    </row>
    <row r="15" spans="1:19" ht="15">
      <c r="A15" s="4" t="s">
        <v>99</v>
      </c>
      <c r="B15" s="16">
        <v>2365</v>
      </c>
      <c r="C15" s="16">
        <v>2535</v>
      </c>
      <c r="D15" s="16">
        <v>2625</v>
      </c>
      <c r="E15" s="16">
        <v>2710</v>
      </c>
      <c r="F15" s="16">
        <v>2805</v>
      </c>
      <c r="G15" s="16">
        <v>2895</v>
      </c>
      <c r="H15" s="16">
        <v>3080</v>
      </c>
      <c r="I15" s="16">
        <v>3270</v>
      </c>
      <c r="J15" s="16">
        <v>3470</v>
      </c>
      <c r="K15" s="16">
        <v>3870</v>
      </c>
      <c r="L15" s="16">
        <v>4290</v>
      </c>
      <c r="M15" s="16">
        <v>4730</v>
      </c>
      <c r="N15" s="16">
        <v>5430</v>
      </c>
      <c r="O15" s="16">
        <v>5670</v>
      </c>
      <c r="P15" s="16">
        <v>5910</v>
      </c>
      <c r="Q15" s="16">
        <v>6160</v>
      </c>
      <c r="R15" s="16">
        <v>6410</v>
      </c>
      <c r="S15" s="16">
        <v>6675</v>
      </c>
    </row>
    <row r="16" spans="1:19" ht="15">
      <c r="A16" s="4" t="s">
        <v>102</v>
      </c>
      <c r="B16" s="16">
        <v>2365</v>
      </c>
      <c r="C16" s="16">
        <v>2535</v>
      </c>
      <c r="D16" s="16">
        <v>2625</v>
      </c>
      <c r="E16" s="16">
        <v>2710</v>
      </c>
      <c r="F16" s="16">
        <v>2805</v>
      </c>
      <c r="G16" s="16">
        <v>2895</v>
      </c>
      <c r="H16" s="16">
        <v>3080</v>
      </c>
      <c r="I16" s="16">
        <v>3270</v>
      </c>
      <c r="J16" s="16">
        <v>3470</v>
      </c>
      <c r="K16" s="16">
        <v>3870</v>
      </c>
      <c r="L16" s="16">
        <v>4290</v>
      </c>
      <c r="M16" s="16">
        <v>4730</v>
      </c>
      <c r="N16" s="16">
        <v>5430</v>
      </c>
      <c r="O16" s="16">
        <v>5670</v>
      </c>
      <c r="P16" s="16">
        <v>5910</v>
      </c>
      <c r="Q16" s="16">
        <v>6160</v>
      </c>
      <c r="R16" s="16">
        <v>6410</v>
      </c>
      <c r="S16" s="16">
        <v>6675</v>
      </c>
    </row>
    <row r="17" spans="1:19" ht="15">
      <c r="A17" s="4" t="s">
        <v>9</v>
      </c>
      <c r="B17" s="9">
        <f>((((B6*0.00314)*((B6+545)/1000))*'Технический лист'!$K$8)+370+((B7*0.00314)*((B7+450)/1000))*'Технический лист'!$K$11)*1.97</f>
        <v>2351.750489104069</v>
      </c>
      <c r="C17" s="9">
        <f>((((C6*0.00314)*((C6+545)/1000))*'Технический лист'!$K$8)+370+((C7*0.00314)*((C7+450)/1000))*'Технический лист'!$K$11)*1.97</f>
        <v>2523.5027340685715</v>
      </c>
      <c r="D17" s="9">
        <f>((((D6*0.00314)*((D6+545)/1000))*'Технический лист'!$K$8)+370+((D7*0.00314)*((D7+450)/1000))*'Технический лист'!$K$11)*1.97</f>
        <v>2611.066238355238</v>
      </c>
      <c r="E17" s="9">
        <f>((((E6*0.00314)*((E6+545)/1000))*'Технический лист'!$K$8)+370+((E7*0.00314)*((E7+450)/1000))*'Технический лист'!$K$11)*1.97</f>
        <v>2699.7546638448484</v>
      </c>
      <c r="F17" s="9">
        <f>((((F6*0.00314)*((F6+545)/1000))*'Технический лист'!$K$8)+370+((F7*0.00314)*((F7+450)/1000))*'Технический лист'!$K$11)*1.97</f>
        <v>2789.568010537402</v>
      </c>
      <c r="G17" s="9">
        <f>((((G6*0.00314)*((G6+545)/1000))*'Технический лист'!$K$8)+370+((G7*0.00314)*((G7+450)/1000))*'Технический лист'!$K$11)*1.97</f>
        <v>2880.5062784329007</v>
      </c>
      <c r="H17" s="9">
        <f>((((H6*0.00314)*((H6+545)/1000))*'Технический лист'!$K$8)+370+((H7*0.00314)*((H7+450)/1000))*'Технический лист'!$K$11)*1.97</f>
        <v>3065.7575778327273</v>
      </c>
      <c r="I17" s="9">
        <f>((((I6*0.00314)*((I6+545)/1000))*'Технический лист'!$K$8)+370+((I7*0.00314)*((I7+450)/1000))*'Технический лист'!$K$11)*1.97</f>
        <v>3255.5085620443283</v>
      </c>
      <c r="J17" s="9">
        <f>((((J6*0.00314)*((J6+545)/1000))*'Технический лист'!$K$8)+370+((J7*0.00314)*((J7+450)/1000))*'Технический лист'!$K$11)*1.97</f>
        <v>3449.7592310677046</v>
      </c>
      <c r="K17" s="9">
        <f>((((K6*0.00314)*((K6+545)/1000))*'Технический лист'!$K$8)+370+((K7*0.00314)*((K7+450)/1000))*'Технический лист'!$K$11)*1.97</f>
        <v>3851.759623549783</v>
      </c>
      <c r="L17" s="9">
        <f>((((L6*0.00314)*((L6+545)/1000))*'Технический лист'!$K$8)+370+((L7*0.00314)*((L7+450)/1000))*'Технический лист'!$K$11)*1.97</f>
        <v>4271.758755278961</v>
      </c>
      <c r="M17" s="9">
        <f>((((M6*0.00314)*((M6+545)/1000))*'Технический лист'!$K$8)+370+((M7*0.00314)*((M7+450)/1000))*'Технический лист'!$K$11)*1.97</f>
        <v>4709.756626255237</v>
      </c>
      <c r="N17" s="9">
        <f>((((N6*0.00314)*((N6+545)/1000))*'Технический лист'!$K$8)+370+((N7*0.00314)*((N7+450)/1000))*'Технический лист'!$K$11)*1.97</f>
        <v>5400.501068807965</v>
      </c>
      <c r="O17" s="9">
        <f>((((O6*0.00314)*((O6+545)/1000))*'Технический лист'!$K$8)+370+((O7*0.00314)*((O7+450)/1000))*'Технический лист'!$K$11)*1.97</f>
        <v>5639.748585949091</v>
      </c>
      <c r="P17" s="9">
        <f>((((P6*0.00314)*((P6+545)/1000))*'Технический лист'!$K$8)+370+((P7*0.00314)*((P7+450)/1000))*'Технический лист'!$K$11)*1.97</f>
        <v>5883.495787901991</v>
      </c>
      <c r="Q17" s="9">
        <f>((((Q6*0.00314)*((Q6+545)/1000))*'Технический лист'!$K$8)+370+((Q7*0.00314)*((Q7+450)/1000))*'Технический лист'!$K$11)*1.97</f>
        <v>6131.742674666666</v>
      </c>
      <c r="R17" s="9">
        <f>((((R6*0.00314)*((R6+545)/1000))*'Технический лист'!$K$8)+370+((R7*0.00314)*((R7+450)/1000))*'Технический лист'!$K$11)*1.97</f>
        <v>6384.489246243116</v>
      </c>
      <c r="S17" s="9">
        <f>((((S6*0.00314)*((S6+545)/1000))*'Технический лист'!$K$8)+370+((S7*0.00314)*((S7+450)/1000))*'Технический лист'!$K$11)*1.97</f>
        <v>6641.735502631341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138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4" ref="C23:S23">C22+70</f>
        <v>180</v>
      </c>
      <c r="D23" s="10">
        <f t="shared" si="4"/>
        <v>185</v>
      </c>
      <c r="E23" s="10">
        <f t="shared" si="4"/>
        <v>190</v>
      </c>
      <c r="F23" s="10">
        <f t="shared" si="4"/>
        <v>195</v>
      </c>
      <c r="G23" s="10">
        <f t="shared" si="4"/>
        <v>200</v>
      </c>
      <c r="H23" s="10">
        <f t="shared" si="4"/>
        <v>210</v>
      </c>
      <c r="I23" s="10">
        <f t="shared" si="4"/>
        <v>220</v>
      </c>
      <c r="J23" s="10">
        <f t="shared" si="4"/>
        <v>230</v>
      </c>
      <c r="K23" s="10">
        <f t="shared" si="4"/>
        <v>250</v>
      </c>
      <c r="L23" s="10">
        <f t="shared" si="4"/>
        <v>270</v>
      </c>
      <c r="M23" s="10">
        <f t="shared" si="4"/>
        <v>290</v>
      </c>
      <c r="N23" s="10">
        <f t="shared" si="4"/>
        <v>320</v>
      </c>
      <c r="O23" s="10">
        <f t="shared" si="4"/>
        <v>330</v>
      </c>
      <c r="P23" s="10">
        <f t="shared" si="4"/>
        <v>340</v>
      </c>
      <c r="Q23" s="10">
        <f t="shared" si="4"/>
        <v>350</v>
      </c>
      <c r="R23" s="10">
        <f t="shared" si="4"/>
        <v>360</v>
      </c>
      <c r="S23" s="10">
        <f t="shared" si="4"/>
        <v>370</v>
      </c>
    </row>
    <row r="24" spans="1:19" ht="15">
      <c r="A24" s="4" t="s">
        <v>4</v>
      </c>
      <c r="B24" s="16">
        <f>(((B22*0.00314)*'Технический лист'!$G$8)+310+((B23*0.00314)*'Технический лист'!$G$5))*1.78</f>
        <v>2781.6904598441556</v>
      </c>
      <c r="C24" s="16">
        <f>(((C22*0.00314)*'Технический лист'!$G$8)+310+((C23*0.00314)*'Технический лист'!$G$5))*1.78</f>
        <v>2960.234187428571</v>
      </c>
      <c r="D24" s="16">
        <f>(((D22*0.00314)*'Технический лист'!$G$8)+310+((D23*0.00314)*'Технический лист'!$G$5))*1.78</f>
        <v>3049.5060512207788</v>
      </c>
      <c r="E24" s="16">
        <f>(((E22*0.00314)*'Технический лист'!$G$8)+310+((E23*0.00314)*'Технический лист'!$G$5))*1.78</f>
        <v>3138.777915012987</v>
      </c>
      <c r="F24" s="16">
        <f>(((F22*0.00314)*'Технический лист'!$G$8)+310+((F23*0.00314)*'Технический лист'!$G$5))*1.78</f>
        <v>3228.0497788051944</v>
      </c>
      <c r="G24" s="16">
        <f>(((G22*0.00314)*'Технический лист'!$G$8)+310+((G23*0.00314)*'Технический лист'!$G$5))*1.78</f>
        <v>3317.3216425974024</v>
      </c>
      <c r="H24" s="16">
        <f>(((H22*0.00314)*'Технический лист'!$G$8)+310+((H23*0.00314)*'Технический лист'!$G$5))*1.78</f>
        <v>3495.865370181818</v>
      </c>
      <c r="I24" s="16">
        <f>(((I22*0.00314)*'Технический лист'!$G$8)+310+((I23*0.00314)*'Технический лист'!$G$5))*1.78</f>
        <v>3674.4090977662336</v>
      </c>
      <c r="J24" s="16">
        <f>(((J22*0.00314)*'Технический лист'!$G$8)+310+((J23*0.00314)*'Технический лист'!$G$5))*1.78</f>
        <v>3852.9528253506496</v>
      </c>
      <c r="K24" s="16">
        <f>(((K22*0.00314)*'Технический лист'!$G$8)+310+((K23*0.00314)*'Технический лист'!$G$5))*1.78</f>
        <v>4210.040280519481</v>
      </c>
      <c r="L24" s="16">
        <f>(((L22*0.00314)*'Технический лист'!$G$8)+310+((L23*0.00314)*'Технический лист'!$G$5))*1.78</f>
        <v>4567.127735688312</v>
      </c>
      <c r="M24" s="16">
        <f>(((M22*0.00314)*'Технический лист'!$G$8)+310+((M23*0.00314)*'Технический лист'!$G$5))*1.78</f>
        <v>4924.215190857142</v>
      </c>
      <c r="N24" s="16">
        <f>(((N22*0.00314)*'Технический лист'!$G$8)+310+((N23*0.00314)*'Технический лист'!$G$5))*1.78</f>
        <v>5459.846373610389</v>
      </c>
      <c r="O24" s="16">
        <f>(((O22*0.00314)*'Технический лист'!$G$8)+310+((O23*0.00314)*'Технический лист'!$G$5))*1.78</f>
        <v>5638.390101194805</v>
      </c>
      <c r="P24" s="16">
        <f>(((P22*0.00314)*'Технический лист'!$G$8)+310+((P23*0.00314)*'Технический лист'!$G$5))*1.78</f>
        <v>5816.933828779221</v>
      </c>
      <c r="Q24" s="16">
        <f>(((Q22*0.00314)*'Технический лист'!$G$8)+310+((Q23*0.00314)*'Технический лист'!$G$5))*1.78</f>
        <v>5995.477556363636</v>
      </c>
      <c r="R24" s="16">
        <f>(((R22*0.00314)*'Технический лист'!$G$8)+310+((R23*0.00314)*'Технический лист'!$G$5))*1.78</f>
        <v>6174.021283948051</v>
      </c>
      <c r="S24" s="16">
        <f>(((S22*0.00314)*'Технический лист'!$G$8)+310+((S23*0.00314)*'Технический лист'!$G$5))*1.78</f>
        <v>6352.565011532467</v>
      </c>
    </row>
    <row r="25" spans="1:19" ht="15">
      <c r="A25" s="4" t="s">
        <v>3</v>
      </c>
      <c r="B25" s="9">
        <f>((B24/2)*1.07)-10</f>
        <v>1478.2043960166234</v>
      </c>
      <c r="C25" s="9">
        <f aca="true" t="shared" si="5" ref="C25:S25">((C24/2)*1.07)-10</f>
        <v>1573.7252902742857</v>
      </c>
      <c r="D25" s="9">
        <f t="shared" si="5"/>
        <v>1621.4857374031167</v>
      </c>
      <c r="E25" s="9">
        <f t="shared" si="5"/>
        <v>1669.246184531948</v>
      </c>
      <c r="F25" s="9">
        <f t="shared" si="5"/>
        <v>1717.006631660779</v>
      </c>
      <c r="G25" s="9">
        <f t="shared" si="5"/>
        <v>1764.7670787896104</v>
      </c>
      <c r="H25" s="9">
        <f t="shared" si="5"/>
        <v>1860.2879730472728</v>
      </c>
      <c r="I25" s="9">
        <f t="shared" si="5"/>
        <v>1955.8088673049351</v>
      </c>
      <c r="J25" s="9">
        <f t="shared" si="5"/>
        <v>2051.3297615625975</v>
      </c>
      <c r="K25" s="9">
        <f t="shared" si="5"/>
        <v>2242.371550077922</v>
      </c>
      <c r="L25" s="9">
        <f t="shared" si="5"/>
        <v>2433.413338593247</v>
      </c>
      <c r="M25" s="9">
        <f t="shared" si="5"/>
        <v>2624.455127108571</v>
      </c>
      <c r="N25" s="9">
        <f t="shared" si="5"/>
        <v>2911.017809881558</v>
      </c>
      <c r="O25" s="9">
        <f t="shared" si="5"/>
        <v>3006.5387041392205</v>
      </c>
      <c r="P25" s="9">
        <f t="shared" si="5"/>
        <v>3102.0595983968833</v>
      </c>
      <c r="Q25" s="9">
        <f t="shared" si="5"/>
        <v>3197.580492654545</v>
      </c>
      <c r="R25" s="9">
        <f t="shared" si="5"/>
        <v>3293.1013869122075</v>
      </c>
      <c r="S25" s="9">
        <f t="shared" si="5"/>
        <v>3388.62228116987</v>
      </c>
    </row>
    <row r="26" spans="1:19" ht="15">
      <c r="A26" s="4" t="s">
        <v>5</v>
      </c>
      <c r="B26" s="16">
        <f>((((B22*0.00314)*0.5)*'Технический лист'!$I$8)+310+(((B23*0.00314)*0.5)*'Технический лист'!$I$5))*1.89</f>
        <v>2355.7880896363636</v>
      </c>
      <c r="C26" s="16">
        <f>((((C22*0.00314)*0.5)*'Технический лист'!$I$8)+310+(((C23*0.00314)*0.5)*'Технический лист'!$I$5))*1.89</f>
        <v>2495.679714</v>
      </c>
      <c r="D26" s="16">
        <f>((((D22*0.00314)*0.5)*'Технический лист'!$I$8)+310+(((D23*0.00314)*0.5)*'Технический лист'!$I$5))*1.89</f>
        <v>2565.6255261818183</v>
      </c>
      <c r="E26" s="16">
        <f>((((E22*0.00314)*0.5)*'Технический лист'!$I$8)+310+(((E23*0.00314)*0.5)*'Технический лист'!$I$5))*1.89</f>
        <v>2635.571338363636</v>
      </c>
      <c r="F26" s="16">
        <f>((((F22*0.00314)*0.5)*'Технический лист'!$I$8)+310+(((F23*0.00314)*0.5)*'Технический лист'!$I$5))*1.89</f>
        <v>2705.5171505454546</v>
      </c>
      <c r="G26" s="16">
        <f>((((G22*0.00314)*0.5)*'Технический лист'!$I$8)+310+(((G23*0.00314)*0.5)*'Технический лист'!$I$5))*1.89</f>
        <v>2775.4629627272725</v>
      </c>
      <c r="H26" s="16">
        <f>((((H22*0.00314)*0.5)*'Технический лист'!$I$8)+310+(((H23*0.00314)*0.5)*'Технический лист'!$I$5))*1.89</f>
        <v>2915.354587090909</v>
      </c>
      <c r="I26" s="16">
        <f>((((I22*0.00314)*0.5)*'Технический лист'!$I$8)+310+(((I23*0.00314)*0.5)*'Технический лист'!$I$5))*1.89</f>
        <v>3055.246211454545</v>
      </c>
      <c r="J26" s="16">
        <f>((((J22*0.00314)*0.5)*'Технический лист'!$I$8)+310+(((J23*0.00314)*0.5)*'Технический лист'!$I$5))*1.89</f>
        <v>3195.137835818182</v>
      </c>
      <c r="K26" s="16">
        <f>((((K22*0.00314)*0.5)*'Технический лист'!$I$8)+310+(((K23*0.00314)*0.5)*'Технический лист'!$I$5))*1.89</f>
        <v>3474.921084545454</v>
      </c>
      <c r="L26" s="16">
        <f>((((L22*0.00314)*0.5)*'Технический лист'!$I$8)+310+(((L23*0.00314)*0.5)*'Технический лист'!$I$5))*1.89</f>
        <v>3754.7043332727276</v>
      </c>
      <c r="M26" s="16">
        <f>((((M22*0.00314)*0.5)*'Технический лист'!$I$8)+310+(((M23*0.00314)*0.5)*'Технический лист'!$I$5))*1.89</f>
        <v>4034.487581999999</v>
      </c>
      <c r="N26" s="16">
        <f>((((N22*0.00314)*0.5)*'Технический лист'!$I$8)+310+(((N23*0.00314)*0.5)*'Технический лист'!$I$5))*1.89</f>
        <v>4454.162455090909</v>
      </c>
      <c r="O26" s="16">
        <f>((((O22*0.00314)*0.5)*'Технический лист'!$I$8)+310+(((O23*0.00314)*0.5)*'Технический лист'!$I$5))*1.89</f>
        <v>4594.054079454546</v>
      </c>
      <c r="P26" s="16">
        <f>((((P22*0.00314)*0.5)*'Технический лист'!$I$8)+310+(((P23*0.00314)*0.5)*'Технический лист'!$I$5))*1.89</f>
        <v>4733.945703818182</v>
      </c>
      <c r="Q26" s="16">
        <f>((((Q22*0.00314)*0.5)*'Технический лист'!$I$8)+310+(((Q23*0.00314)*0.5)*'Технический лист'!$I$5))*1.89</f>
        <v>4873.837328181817</v>
      </c>
      <c r="R26" s="16">
        <f>((((R22*0.00314)*0.5)*'Технический лист'!$I$8)+310+(((R23*0.00314)*0.5)*'Технический лист'!$I$5))*1.89</f>
        <v>5013.728952545454</v>
      </c>
      <c r="S26" s="16">
        <f>((((S22*0.00314)*0.5)*'Технический лист'!$I$8)+310+(((S23*0.00314)*0.5)*'Технический лист'!$I$5))*1.89</f>
        <v>5153.62057690909</v>
      </c>
    </row>
    <row r="27" spans="1:19" ht="15">
      <c r="A27" s="4" t="s">
        <v>96</v>
      </c>
      <c r="B27" s="9">
        <f>((B26*2)/3)-6</f>
        <v>1564.5253930909091</v>
      </c>
      <c r="C27" s="9">
        <f aca="true" t="shared" si="6" ref="C27:S27">((C26*2)/3)-6</f>
        <v>1657.786476</v>
      </c>
      <c r="D27" s="9">
        <f t="shared" si="6"/>
        <v>1704.4170174545454</v>
      </c>
      <c r="E27" s="9">
        <f t="shared" si="6"/>
        <v>1751.0475589090909</v>
      </c>
      <c r="F27" s="9">
        <f t="shared" si="6"/>
        <v>1797.6781003636363</v>
      </c>
      <c r="G27" s="9">
        <f t="shared" si="6"/>
        <v>1844.3086418181817</v>
      </c>
      <c r="H27" s="9">
        <f t="shared" si="6"/>
        <v>1937.5697247272726</v>
      </c>
      <c r="I27" s="9">
        <f t="shared" si="6"/>
        <v>2030.8308076363635</v>
      </c>
      <c r="J27" s="9">
        <f t="shared" si="6"/>
        <v>2124.0918905454546</v>
      </c>
      <c r="K27" s="9">
        <f t="shared" si="6"/>
        <v>2310.614056363636</v>
      </c>
      <c r="L27" s="9">
        <f t="shared" si="6"/>
        <v>2497.1362221818185</v>
      </c>
      <c r="M27" s="9">
        <f t="shared" si="6"/>
        <v>2683.6583879999994</v>
      </c>
      <c r="N27" s="9">
        <f t="shared" si="6"/>
        <v>2963.441636727273</v>
      </c>
      <c r="O27" s="9">
        <f t="shared" si="6"/>
        <v>3056.702719636364</v>
      </c>
      <c r="P27" s="9">
        <f t="shared" si="6"/>
        <v>3149.9638025454547</v>
      </c>
      <c r="Q27" s="9">
        <f t="shared" si="6"/>
        <v>3243.2248854545446</v>
      </c>
      <c r="R27" s="9">
        <f t="shared" si="6"/>
        <v>3336.4859683636364</v>
      </c>
      <c r="S27" s="9">
        <f t="shared" si="6"/>
        <v>3429.747051272727</v>
      </c>
    </row>
    <row r="28" spans="1:19" ht="15">
      <c r="A28" s="4" t="s">
        <v>6</v>
      </c>
      <c r="B28" s="16">
        <f>((((B22*0.00314)*0.22)*'Технический лист'!$M$8)+100+(((B23*0.00314)*0.21)*'Технический лист'!$O$5)+(((B22+30)*(B22+30)/1000000)*'Технический лист'!$E$20))*1.9</f>
        <v>1168.9345506285713</v>
      </c>
      <c r="C28" s="16">
        <f>((((C22*0.00314)*0.22)*'Технический лист'!$M$8)+100+(((C23*0.00314)*0.21)*'Технический лист'!$O$5)+(((C22+30)*(C22+30)/1000000)*'Технический лист'!$E$20))*1.9</f>
        <v>1256.8236453714283</v>
      </c>
      <c r="D28" s="16">
        <f>((((D22*0.00314)*0.22)*'Технический лист'!$M$8)+100+(((D23*0.00314)*0.21)*'Технический лист'!$O$5)+(((D22+30)*(D22+30)/1000000)*'Технический лист'!$E$20))*1.9</f>
        <v>1301.338192742857</v>
      </c>
      <c r="E28" s="16">
        <f>((((E22*0.00314)*0.22)*'Технический лист'!$M$8)+100+(((E23*0.00314)*0.21)*'Технический лист'!$O$5)+(((E22+30)*(E22+30)/1000000)*'Технический лист'!$E$20))*1.9</f>
        <v>1346.232740114286</v>
      </c>
      <c r="F28" s="16">
        <f>((((F22*0.00314)*0.22)*'Технический лист'!$M$8)+100+(((F23*0.00314)*0.21)*'Технический лист'!$O$5)+(((F22+30)*(F22+30)/1000000)*'Технический лист'!$E$20))*1.9</f>
        <v>1391.507287485714</v>
      </c>
      <c r="G28" s="16">
        <f>((((G22*0.00314)*0.22)*'Технический лист'!$M$8)+100+(((G23*0.00314)*0.21)*'Технический лист'!$O$5)+(((G22+30)*(G22+30)/1000000)*'Технический лист'!$E$20))*1.9</f>
        <v>1437.1618348571428</v>
      </c>
      <c r="H28" s="16">
        <f>((((H22*0.00314)*0.22)*'Технический лист'!$M$8)+100+(((H23*0.00314)*0.21)*'Технический лист'!$O$5)+(((H22+30)*(H22+30)/1000000)*'Технический лист'!$E$20))*1.9</f>
        <v>1529.6109295999997</v>
      </c>
      <c r="I28" s="16">
        <f>((((I22*0.00314)*0.22)*'Технический лист'!$M$8)+100+(((I23*0.00314)*0.21)*'Технический лист'!$O$5)+(((I22+30)*(I22+30)/1000000)*'Технический лист'!$E$20))*1.9</f>
        <v>1623.5800243428569</v>
      </c>
      <c r="J28" s="16">
        <f>((((J22*0.00314)*0.22)*'Технический лист'!$M$8)+100+(((J23*0.00314)*0.21)*'Технический лист'!$O$5)+(((J22+30)*(J22+30)/1000000)*'Технический лист'!$E$20))*1.9</f>
        <v>1719.069119085714</v>
      </c>
      <c r="K28" s="16">
        <f>((((K22*0.00314)*0.22)*'Технический лист'!$M$8)+100+(((K23*0.00314)*0.21)*'Технический лист'!$O$5)+(((K22+30)*(K22+30)/1000000)*'Технический лист'!$E$20))*1.9</f>
        <v>1914.6073085714286</v>
      </c>
      <c r="L28" s="16">
        <f>((((L22*0.00314)*0.22)*'Технический лист'!$M$8)+100+(((L23*0.00314)*0.21)*'Технический лист'!$O$5)+(((L22+30)*(L22+30)/1000000)*'Технический лист'!$E$20))*1.9</f>
        <v>2116.225498057143</v>
      </c>
      <c r="M28" s="16">
        <f>((((M22*0.00314)*0.22)*'Технический лист'!$M$8)+100+(((M23*0.00314)*0.21)*'Технический лист'!$O$5)+(((M22+30)*(M22+30)/1000000)*'Технический лист'!$E$20))*1.9</f>
        <v>2323.923687542857</v>
      </c>
      <c r="N28" s="16">
        <f>((((N22*0.00314)*0.22)*'Технический лист'!$M$8)+100+(((N23*0.00314)*0.21)*'Технический лист'!$O$5)+(((N22+30)*(N22+30)/1000000)*'Технический лист'!$E$20))*1.9</f>
        <v>2646.8709717714282</v>
      </c>
      <c r="O28" s="16">
        <f>((((O22*0.00314)*0.22)*'Технический лист'!$M$8)+100+(((O23*0.00314)*0.21)*'Технический лист'!$O$5)+(((O22+30)*(O22+30)/1000000)*'Технический лист'!$E$20))*1.9</f>
        <v>2757.5600665142856</v>
      </c>
      <c r="P28" s="16">
        <f>((((P22*0.00314)*0.22)*'Технический лист'!$M$8)+100+(((P23*0.00314)*0.21)*'Технический лист'!$O$5)+(((P22+30)*(P22+30)/1000000)*'Технический лист'!$E$20))*1.9</f>
        <v>2869.769161257143</v>
      </c>
      <c r="Q28" s="16">
        <f>((((Q22*0.00314)*0.22)*'Технический лист'!$M$8)+100+(((Q23*0.00314)*0.21)*'Технический лист'!$O$5)+(((Q22+30)*(Q22+30)/1000000)*'Технический лист'!$E$20))*1.9</f>
        <v>2983.498256</v>
      </c>
      <c r="R28" s="16">
        <f>((((R22*0.00314)*0.22)*'Технический лист'!$M$8)+100+(((R23*0.00314)*0.21)*'Технический лист'!$O$5)+(((R22+30)*(R22+30)/1000000)*'Технический лист'!$E$20))*1.9</f>
        <v>3098.747350742857</v>
      </c>
      <c r="S28" s="16">
        <f>((((S22*0.00314)*0.22)*'Технический лист'!$M$8)+100+(((S23*0.00314)*0.21)*'Технический лист'!$O$5)+(((S22+30)*(S22+30)/1000000)*'Технический лист'!$E$20))*1.9</f>
        <v>3215.5164454857136</v>
      </c>
    </row>
    <row r="29" spans="1:19" ht="15">
      <c r="A29" s="4" t="s">
        <v>7</v>
      </c>
      <c r="B29" s="9">
        <f>(B28*2.2)+24</f>
        <v>2595.656011382857</v>
      </c>
      <c r="C29" s="9">
        <f aca="true" t="shared" si="7" ref="C29:S29">(C28*2.2)+24</f>
        <v>2789.0120198171426</v>
      </c>
      <c r="D29" s="9">
        <f t="shared" si="7"/>
        <v>2886.9440240342856</v>
      </c>
      <c r="E29" s="9">
        <f t="shared" si="7"/>
        <v>2985.7120282514293</v>
      </c>
      <c r="F29" s="9">
        <f t="shared" si="7"/>
        <v>3085.316032468571</v>
      </c>
      <c r="G29" s="9">
        <f t="shared" si="7"/>
        <v>3185.7560366857147</v>
      </c>
      <c r="H29" s="9">
        <f t="shared" si="7"/>
        <v>3389.1440451199996</v>
      </c>
      <c r="I29" s="9">
        <f t="shared" si="7"/>
        <v>3595.8760535542856</v>
      </c>
      <c r="J29" s="9">
        <f t="shared" si="7"/>
        <v>3805.952061988571</v>
      </c>
      <c r="K29" s="9">
        <f t="shared" si="7"/>
        <v>4236.136078857143</v>
      </c>
      <c r="L29" s="9">
        <f t="shared" si="7"/>
        <v>4679.696095725715</v>
      </c>
      <c r="M29" s="9">
        <f t="shared" si="7"/>
        <v>5136.632112594286</v>
      </c>
      <c r="N29" s="9">
        <f t="shared" si="7"/>
        <v>5847.116137897143</v>
      </c>
      <c r="O29" s="9">
        <f t="shared" si="7"/>
        <v>6090.632146331429</v>
      </c>
      <c r="P29" s="9">
        <f t="shared" si="7"/>
        <v>6337.492154765715</v>
      </c>
      <c r="Q29" s="9">
        <f t="shared" si="7"/>
        <v>6587.6961632</v>
      </c>
      <c r="R29" s="9">
        <f t="shared" si="7"/>
        <v>6841.244171634286</v>
      </c>
      <c r="S29" s="9">
        <f t="shared" si="7"/>
        <v>7098.136180068571</v>
      </c>
    </row>
    <row r="30" spans="1:19" ht="15">
      <c r="A30" s="4" t="s">
        <v>8</v>
      </c>
      <c r="B30" s="16">
        <f>((((B22*0.00314)*0.2)*'Технический лист'!$M$8)+50+(((B23*0.00314)*0.22)*'Технический лист'!$O$5))*1.89</f>
        <v>922.7756900945454</v>
      </c>
      <c r="C30" s="16">
        <f>((((C22*0.00314)*0.2)*'Технический лист'!$M$8)+50+(((C23*0.00314)*0.22)*'Технический лист'!$O$5))*1.89</f>
        <v>987.1784625599998</v>
      </c>
      <c r="D30" s="16">
        <f>((((D22*0.00314)*0.2)*'Технический лист'!$M$8)+50+(((D23*0.00314)*0.22)*'Технический лист'!$O$5))*1.89</f>
        <v>1019.3798487927272</v>
      </c>
      <c r="E30" s="16">
        <f>((((E22*0.00314)*0.2)*'Технический лист'!$M$8)+50+(((E23*0.00314)*0.22)*'Технический лист'!$O$5))*1.89</f>
        <v>1051.5812350254546</v>
      </c>
      <c r="F30" s="16">
        <f>((((F22*0.00314)*0.2)*'Технический лист'!$M$8)+50+(((F23*0.00314)*0.22)*'Технический лист'!$O$5))*1.89</f>
        <v>1083.7826212581817</v>
      </c>
      <c r="G30" s="16">
        <f>((((G22*0.00314)*0.2)*'Технический лист'!$M$8)+50+(((G23*0.00314)*0.22)*'Технический лист'!$O$5))*1.89</f>
        <v>1115.984007490909</v>
      </c>
      <c r="H30" s="16">
        <f>((((H22*0.00314)*0.2)*'Технический лист'!$M$8)+50+(((H23*0.00314)*0.22)*'Технический лист'!$O$5))*1.89</f>
        <v>1180.3867799563634</v>
      </c>
      <c r="I30" s="16">
        <f>((((I22*0.00314)*0.2)*'Технический лист'!$M$8)+50+(((I23*0.00314)*0.22)*'Технический лист'!$O$5))*1.89</f>
        <v>1244.7895524218181</v>
      </c>
      <c r="J30" s="16">
        <f>((((J22*0.00314)*0.2)*'Технический лист'!$M$8)+50+(((J23*0.00314)*0.22)*'Технический лист'!$O$5))*1.89</f>
        <v>1309.1923248872724</v>
      </c>
      <c r="K30" s="16">
        <f>((((K22*0.00314)*0.2)*'Технический лист'!$M$8)+50+(((K23*0.00314)*0.22)*'Технический лист'!$O$5))*1.89</f>
        <v>1437.9978698181817</v>
      </c>
      <c r="L30" s="16">
        <f>((((L22*0.00314)*0.2)*'Технический лист'!$M$8)+50+(((L23*0.00314)*0.22)*'Технический лист'!$O$5))*1.89</f>
        <v>1566.803414749091</v>
      </c>
      <c r="M30" s="16">
        <f>((((M22*0.00314)*0.2)*'Технический лист'!$M$8)+50+(((M23*0.00314)*0.22)*'Технический лист'!$O$5))*1.89</f>
        <v>1695.6089596799998</v>
      </c>
      <c r="N30" s="16">
        <f>((((N22*0.00314)*0.2)*'Технический лист'!$M$8)+50+(((N23*0.00314)*0.22)*'Технический лист'!$O$5))*1.89</f>
        <v>1888.8172770763638</v>
      </c>
      <c r="O30" s="16">
        <f>((((O22*0.00314)*0.2)*'Технический лист'!$M$8)+50+(((O23*0.00314)*0.22)*'Технический лист'!$O$5))*1.89</f>
        <v>1953.2200495418178</v>
      </c>
      <c r="P30" s="16">
        <f>((((P22*0.00314)*0.2)*'Технический лист'!$M$8)+50+(((P23*0.00314)*0.22)*'Технический лист'!$O$5))*1.89</f>
        <v>2017.6228220072728</v>
      </c>
      <c r="Q30" s="16">
        <f>((((Q22*0.00314)*0.2)*'Технический лист'!$M$8)+50+(((Q23*0.00314)*0.22)*'Технический лист'!$O$5))*1.89</f>
        <v>2082.0255944727273</v>
      </c>
      <c r="R30" s="16">
        <f>((((R22*0.00314)*0.2)*'Технический лист'!$M$8)+50+(((R23*0.00314)*0.22)*'Технический лист'!$O$5))*1.89</f>
        <v>2146.4283669381816</v>
      </c>
      <c r="S30" s="16">
        <f>((((S22*0.00314)*0.2)*'Технический лист'!$M$8)+50+(((S23*0.00314)*0.22)*'Технический лист'!$O$5))*1.89</f>
        <v>2210.8311394036364</v>
      </c>
    </row>
    <row r="31" spans="1:19" ht="15">
      <c r="A31" s="4" t="s">
        <v>99</v>
      </c>
      <c r="B31" s="16">
        <v>3210</v>
      </c>
      <c r="C31" s="16">
        <v>3445</v>
      </c>
      <c r="D31" s="16">
        <v>3565</v>
      </c>
      <c r="E31" s="16">
        <v>3690</v>
      </c>
      <c r="F31" s="16">
        <v>3810</v>
      </c>
      <c r="G31" s="16">
        <v>3930</v>
      </c>
      <c r="H31" s="16">
        <v>4190</v>
      </c>
      <c r="I31" s="16">
        <v>4455</v>
      </c>
      <c r="J31" s="16">
        <v>4720</v>
      </c>
      <c r="K31" s="16">
        <v>5275</v>
      </c>
      <c r="L31" s="16">
        <v>5850</v>
      </c>
      <c r="M31" s="16">
        <v>6450</v>
      </c>
      <c r="N31" s="16">
        <v>7400</v>
      </c>
      <c r="O31" s="16">
        <v>7730</v>
      </c>
      <c r="P31" s="16">
        <v>8065</v>
      </c>
      <c r="Q31" s="16">
        <v>8405</v>
      </c>
      <c r="R31" s="16">
        <v>8750</v>
      </c>
      <c r="S31" s="16">
        <v>9105</v>
      </c>
    </row>
    <row r="32" spans="1:19" ht="15">
      <c r="A32" s="4" t="s">
        <v>102</v>
      </c>
      <c r="B32" s="16">
        <v>3210</v>
      </c>
      <c r="C32" s="16">
        <v>3445</v>
      </c>
      <c r="D32" s="16">
        <v>3565</v>
      </c>
      <c r="E32" s="16">
        <v>3690</v>
      </c>
      <c r="F32" s="16">
        <v>3810</v>
      </c>
      <c r="G32" s="16">
        <v>3930</v>
      </c>
      <c r="H32" s="16">
        <v>4190</v>
      </c>
      <c r="I32" s="16">
        <v>4455</v>
      </c>
      <c r="J32" s="16">
        <v>4720</v>
      </c>
      <c r="K32" s="16">
        <v>5275</v>
      </c>
      <c r="L32" s="16">
        <v>5850</v>
      </c>
      <c r="M32" s="16">
        <v>6450</v>
      </c>
      <c r="N32" s="16">
        <v>7400</v>
      </c>
      <c r="O32" s="16">
        <v>7730</v>
      </c>
      <c r="P32" s="16">
        <v>8065</v>
      </c>
      <c r="Q32" s="16">
        <v>8405</v>
      </c>
      <c r="R32" s="16">
        <v>8750</v>
      </c>
      <c r="S32" s="16">
        <v>9105</v>
      </c>
    </row>
    <row r="33" spans="1:19" ht="15">
      <c r="A33" s="4" t="s">
        <v>9</v>
      </c>
      <c r="B33" s="9">
        <f>((((B22*0.00314)*((B22+545)/1000))*'Технический лист'!$K$8)+370+((B23*0.00314)*((B23+450)/1000))*'Технический лист'!$K$5)*1.97</f>
        <v>3191.070349717403</v>
      </c>
      <c r="C33" s="9">
        <f>((((C22*0.00314)*((C22+545)/1000))*'Технический лист'!$K$8)+370+((C23*0.00314)*((C23+450)/1000))*'Технический лист'!$K$5)*1.97</f>
        <v>3426.5280869485714</v>
      </c>
      <c r="D33" s="9">
        <f>((((D22*0.00314)*((D22+545)/1000))*'Технический лист'!$K$8)+370+((D23*0.00314)*((D23+450)/1000))*'Технический лист'!$K$5)*1.97</f>
        <v>3546.541576358571</v>
      </c>
      <c r="E33" s="9">
        <f>((((E22*0.00314)*((E22+545)/1000))*'Технический лист'!$K$8)+370+((E23*0.00314)*((E23+450)/1000))*'Технический лист'!$K$5)*1.97</f>
        <v>3668.0781462981818</v>
      </c>
      <c r="F33" s="9">
        <f>((((F22*0.00314)*((F22+545)/1000))*'Технический лист'!$K$8)+370+((F23*0.00314)*((F23+450)/1000))*'Технический лист'!$K$5)*1.97</f>
        <v>3791.137796767402</v>
      </c>
      <c r="G33" s="9">
        <f>((((G22*0.00314)*((G22+545)/1000))*'Технический лист'!$K$8)+370+((G23*0.00314)*((G23+450)/1000))*'Технический лист'!$K$5)*1.97</f>
        <v>3915.720527766234</v>
      </c>
      <c r="H33" s="9">
        <f>((((H22*0.00314)*((H22+545)/1000))*'Технический лист'!$K$8)+370+((H23*0.00314)*((H23+450)/1000))*'Технический лист'!$K$5)*1.97</f>
        <v>4169.455231352727</v>
      </c>
      <c r="I33" s="9">
        <f>((((I22*0.00314)*((I22+545)/1000))*'Технический лист'!$K$8)+370+((I23*0.00314)*((I23+450)/1000))*'Технический лист'!$K$5)*1.97</f>
        <v>4429.282257057663</v>
      </c>
      <c r="J33" s="9">
        <f>((((J22*0.00314)*((J22+545)/1000))*'Технический лист'!$K$8)+370+((J23*0.00314)*((J23+450)/1000))*'Технический лист'!$K$5)*1.97</f>
        <v>4695.201604881038</v>
      </c>
      <c r="K33" s="9">
        <f>((((K22*0.00314)*((K22+545)/1000))*'Технический лист'!$K$8)+370+((K23*0.00314)*((K23+450)/1000))*'Технический лист'!$K$5)*1.97</f>
        <v>5245.317266883117</v>
      </c>
      <c r="L33" s="9">
        <f>((((L22*0.00314)*((L22+545)/1000))*'Технический лист'!$K$8)+370+((L23*0.00314)*((L23+450)/1000))*'Технический лист'!$K$5)*1.97</f>
        <v>5819.802217358961</v>
      </c>
      <c r="M33" s="9">
        <f>((((M22*0.00314)*((M22+545)/1000))*'Технический лист'!$K$8)+370+((M23*0.00314)*((M23+450)/1000))*'Технический лист'!$K$5)*1.97</f>
        <v>6418.656456308571</v>
      </c>
      <c r="N33" s="9">
        <f>((((N22*0.00314)*((N22+545)/1000))*'Технический лист'!$K$8)+370+((N23*0.00314)*((N23+450)/1000))*'Технический лист'!$K$5)*1.97</f>
        <v>7362.630230621298</v>
      </c>
      <c r="O33" s="9">
        <f>((((O22*0.00314)*((O22+545)/1000))*'Технический лист'!$K$8)+370+((O23*0.00314)*((O23+450)/1000))*'Технический лист'!$K$5)*1.97</f>
        <v>7689.472799629091</v>
      </c>
      <c r="P33" s="9">
        <f>((((P22*0.00314)*((P22+545)/1000))*'Технический лист'!$K$8)+370+((P23*0.00314)*((P23+450)/1000))*'Технический лист'!$K$5)*1.97</f>
        <v>8022.407690755324</v>
      </c>
      <c r="Q33" s="9">
        <f>((((Q22*0.00314)*((Q22+545)/1000))*'Технический лист'!$K$8)+370+((Q23*0.00314)*((Q23+450)/1000))*'Технический лист'!$K$5)*1.97</f>
        <v>8361.434904</v>
      </c>
      <c r="R33" s="9">
        <f>((((R22*0.00314)*((R22+545)/1000))*'Технический лист'!$K$8)+370+((R23*0.00314)*((R23+450)/1000))*'Технический лист'!$K$5)*1.97</f>
        <v>8706.554439363117</v>
      </c>
      <c r="S33" s="9">
        <f>((((S22*0.00314)*((S22+545)/1000))*'Технический лист'!$K$8)+370+((S23*0.00314)*((S23+450)/1000))*'Технический лист'!$K$5)*1.97</f>
        <v>9057.766296844673</v>
      </c>
    </row>
    <row r="34" spans="1:19" ht="0.75" customHeight="1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22" sqref="A2:XFD22"/>
    </sheetView>
  </sheetViews>
  <sheetFormatPr defaultColWidth="9.140625" defaultRowHeight="15"/>
  <cols>
    <col min="1" max="1" width="19.8515625" style="0" customWidth="1"/>
    <col min="2" max="2" width="8.8515625" style="0" customWidth="1"/>
    <col min="3" max="3" width="5.8515625" style="0" customWidth="1"/>
    <col min="4" max="4" width="6.421875" style="0" customWidth="1"/>
    <col min="5" max="5" width="7.7109375" style="0" customWidth="1"/>
    <col min="6" max="6" width="9.28125" style="0" customWidth="1"/>
    <col min="7" max="7" width="11.00390625" style="0" customWidth="1"/>
    <col min="8" max="8" width="9.421875" style="0" customWidth="1"/>
    <col min="9" max="9" width="12.28125" style="0" customWidth="1"/>
    <col min="10" max="10" width="12.7109375" style="0" customWidth="1"/>
    <col min="11" max="11" width="12.140625" style="0" customWidth="1"/>
    <col min="12" max="12" width="13.00390625" style="0" customWidth="1"/>
    <col min="13" max="13" width="11.421875" style="0" customWidth="1"/>
    <col min="14" max="14" width="12.28125" style="0" customWidth="1"/>
    <col min="15" max="15" width="12.00390625" style="0" customWidth="1"/>
    <col min="16" max="16" width="12.28125" style="0" customWidth="1"/>
  </cols>
  <sheetData>
    <row r="1" spans="1:6" ht="15">
      <c r="A1" s="35" t="s">
        <v>11</v>
      </c>
      <c r="B1" s="35"/>
      <c r="C1" s="35"/>
      <c r="D1" s="35"/>
      <c r="E1" s="35"/>
      <c r="F1" s="35"/>
    </row>
    <row r="2" spans="1:17" ht="15" hidden="1">
      <c r="A2" t="s">
        <v>23</v>
      </c>
      <c r="B2" t="s">
        <v>20</v>
      </c>
      <c r="C2" t="s">
        <v>21</v>
      </c>
      <c r="D2" t="s">
        <v>22</v>
      </c>
      <c r="E2" t="s">
        <v>24</v>
      </c>
      <c r="F2" t="s">
        <v>25</v>
      </c>
      <c r="G2" s="6" t="s">
        <v>26</v>
      </c>
      <c r="H2" t="s">
        <v>27</v>
      </c>
      <c r="I2" s="6" t="s">
        <v>28</v>
      </c>
      <c r="J2" t="s">
        <v>29</v>
      </c>
      <c r="K2" s="6" t="s">
        <v>30</v>
      </c>
      <c r="L2" t="s">
        <v>31</v>
      </c>
      <c r="M2" s="6" t="s">
        <v>32</v>
      </c>
      <c r="N2" t="s">
        <v>34</v>
      </c>
      <c r="O2" s="6" t="s">
        <v>35</v>
      </c>
      <c r="P2" t="s">
        <v>36</v>
      </c>
      <c r="Q2" s="6"/>
    </row>
    <row r="3" spans="1:17" ht="15" hidden="1">
      <c r="A3" t="s">
        <v>12</v>
      </c>
      <c r="B3">
        <v>153000</v>
      </c>
      <c r="C3">
        <v>125</v>
      </c>
      <c r="D3" s="5">
        <f>B3/C3</f>
        <v>1224</v>
      </c>
      <c r="E3" s="5">
        <f>D3/2</f>
        <v>612</v>
      </c>
      <c r="F3">
        <v>400</v>
      </c>
      <c r="G3" s="7">
        <f>F3+E3</f>
        <v>1012</v>
      </c>
      <c r="H3">
        <v>1070</v>
      </c>
      <c r="I3" s="7">
        <f>H3+E3</f>
        <v>1682</v>
      </c>
      <c r="J3">
        <v>1250</v>
      </c>
      <c r="K3" s="7">
        <f>J3+E3</f>
        <v>1862</v>
      </c>
      <c r="L3">
        <v>1500</v>
      </c>
      <c r="M3" s="7">
        <f>L3+E3</f>
        <v>2112</v>
      </c>
      <c r="P3">
        <v>671</v>
      </c>
      <c r="Q3" s="7">
        <f>P3+E3</f>
        <v>1283</v>
      </c>
    </row>
    <row r="4" spans="1:17" ht="15" hidden="1">
      <c r="A4" t="s">
        <v>13</v>
      </c>
      <c r="B4">
        <v>148800</v>
      </c>
      <c r="C4">
        <v>77</v>
      </c>
      <c r="D4" s="5">
        <f aca="true" t="shared" si="0" ref="D4:D10">B4/C4</f>
        <v>1932.4675324675325</v>
      </c>
      <c r="E4" s="5">
        <f aca="true" t="shared" si="1" ref="E4:E10">D4/2</f>
        <v>966.2337662337662</v>
      </c>
      <c r="F4">
        <v>500</v>
      </c>
      <c r="G4" s="7">
        <f aca="true" t="shared" si="2" ref="G4:G14">F4+E4</f>
        <v>1466.2337662337663</v>
      </c>
      <c r="H4">
        <v>1270</v>
      </c>
      <c r="I4" s="7">
        <f aca="true" t="shared" si="3" ref="I4:I11">H4+E4</f>
        <v>2236.2337662337663</v>
      </c>
      <c r="J4">
        <v>1370</v>
      </c>
      <c r="K4" s="7">
        <f aca="true" t="shared" si="4" ref="K4:K11">J4+E4</f>
        <v>2336.2337662337663</v>
      </c>
      <c r="L4">
        <v>1650</v>
      </c>
      <c r="M4" s="7">
        <f aca="true" t="shared" si="5" ref="M4:M11">L4+E4</f>
        <v>2616.2337662337663</v>
      </c>
      <c r="N4">
        <v>1400</v>
      </c>
      <c r="O4" s="5">
        <f>N4+E4</f>
        <v>2366.2337662337663</v>
      </c>
      <c r="P4">
        <v>671</v>
      </c>
      <c r="Q4" s="7">
        <f aca="true" t="shared" si="6" ref="Q4:Q11">P4+E4</f>
        <v>1637.2337662337663</v>
      </c>
    </row>
    <row r="5" spans="1:17" ht="15" hidden="1">
      <c r="A5" t="s">
        <v>15</v>
      </c>
      <c r="B5">
        <v>179000</v>
      </c>
      <c r="C5">
        <v>125</v>
      </c>
      <c r="D5" s="5">
        <f t="shared" si="0"/>
        <v>1432</v>
      </c>
      <c r="E5" s="5">
        <f t="shared" si="1"/>
        <v>716</v>
      </c>
      <c r="F5">
        <v>420</v>
      </c>
      <c r="G5" s="7">
        <f t="shared" si="2"/>
        <v>1136</v>
      </c>
      <c r="H5">
        <v>1070</v>
      </c>
      <c r="I5" s="7">
        <f t="shared" si="3"/>
        <v>1786</v>
      </c>
      <c r="J5">
        <v>1250</v>
      </c>
      <c r="K5" s="7">
        <f t="shared" si="4"/>
        <v>1966</v>
      </c>
      <c r="L5">
        <v>1500</v>
      </c>
      <c r="M5" s="7">
        <f t="shared" si="5"/>
        <v>2216</v>
      </c>
      <c r="N5">
        <v>1300</v>
      </c>
      <c r="O5" s="5">
        <f>N5+E5</f>
        <v>2016</v>
      </c>
      <c r="P5">
        <v>671</v>
      </c>
      <c r="Q5" s="15">
        <f t="shared" si="6"/>
        <v>1387</v>
      </c>
    </row>
    <row r="6" spans="1:17" ht="15" hidden="1">
      <c r="A6" t="s">
        <v>14</v>
      </c>
      <c r="B6">
        <v>171000</v>
      </c>
      <c r="C6">
        <v>77</v>
      </c>
      <c r="D6" s="5">
        <f t="shared" si="0"/>
        <v>2220.779220779221</v>
      </c>
      <c r="E6" s="5">
        <f t="shared" si="1"/>
        <v>1110.3896103896104</v>
      </c>
      <c r="F6">
        <v>500</v>
      </c>
      <c r="G6" s="7">
        <f t="shared" si="2"/>
        <v>1610.3896103896104</v>
      </c>
      <c r="H6">
        <v>1270</v>
      </c>
      <c r="I6" s="7">
        <f t="shared" si="3"/>
        <v>2380.3896103896104</v>
      </c>
      <c r="J6">
        <v>1370</v>
      </c>
      <c r="K6" s="7">
        <f t="shared" si="4"/>
        <v>2480.3896103896104</v>
      </c>
      <c r="L6">
        <v>1650</v>
      </c>
      <c r="M6" s="7">
        <f t="shared" si="5"/>
        <v>2760.3896103896104</v>
      </c>
      <c r="P6">
        <v>671</v>
      </c>
      <c r="Q6" s="7">
        <f t="shared" si="6"/>
        <v>1781.3896103896104</v>
      </c>
    </row>
    <row r="7" spans="1:17" ht="15" hidden="1">
      <c r="A7" s="12" t="s">
        <v>16</v>
      </c>
      <c r="B7" s="12">
        <v>246300</v>
      </c>
      <c r="C7" s="12">
        <v>125</v>
      </c>
      <c r="D7" s="13">
        <f t="shared" si="0"/>
        <v>1970.4</v>
      </c>
      <c r="E7" s="13">
        <f t="shared" si="1"/>
        <v>985.2</v>
      </c>
      <c r="F7" s="12">
        <v>400</v>
      </c>
      <c r="G7" s="7">
        <f t="shared" si="2"/>
        <v>1385.2</v>
      </c>
      <c r="H7" s="12">
        <v>1070</v>
      </c>
      <c r="I7" s="7">
        <f t="shared" si="3"/>
        <v>2055.2</v>
      </c>
      <c r="J7" s="12">
        <v>1250</v>
      </c>
      <c r="K7" s="7">
        <f t="shared" si="4"/>
        <v>2235.2</v>
      </c>
      <c r="L7" s="12">
        <v>1500</v>
      </c>
      <c r="M7" s="7">
        <f t="shared" si="5"/>
        <v>2485.2</v>
      </c>
      <c r="N7" s="12"/>
      <c r="O7" s="12"/>
      <c r="P7" s="12">
        <v>671</v>
      </c>
      <c r="Q7" s="11">
        <f t="shared" si="6"/>
        <v>1656.2</v>
      </c>
    </row>
    <row r="8" spans="1:18" ht="15" hidden="1">
      <c r="A8" s="12" t="s">
        <v>17</v>
      </c>
      <c r="B8" s="12">
        <v>240000</v>
      </c>
      <c r="C8" s="12">
        <v>77</v>
      </c>
      <c r="D8" s="13">
        <f t="shared" si="0"/>
        <v>3116.883116883117</v>
      </c>
      <c r="E8" s="13">
        <f t="shared" si="1"/>
        <v>1558.4415584415585</v>
      </c>
      <c r="F8" s="12">
        <v>500</v>
      </c>
      <c r="G8" s="7">
        <f t="shared" si="2"/>
        <v>2058.4415584415583</v>
      </c>
      <c r="H8" s="12">
        <v>1370</v>
      </c>
      <c r="I8" s="7">
        <f t="shared" si="3"/>
        <v>2928.4415584415583</v>
      </c>
      <c r="J8" s="12">
        <v>1400</v>
      </c>
      <c r="K8" s="7">
        <f t="shared" si="4"/>
        <v>2958.4415584415583</v>
      </c>
      <c r="L8" s="12">
        <v>1650</v>
      </c>
      <c r="M8" s="7">
        <f t="shared" si="5"/>
        <v>3208.4415584415583</v>
      </c>
      <c r="N8" s="12">
        <v>1400</v>
      </c>
      <c r="O8" s="13">
        <f>N8+E8</f>
        <v>2958.4415584415583</v>
      </c>
      <c r="P8" s="12">
        <v>671</v>
      </c>
      <c r="Q8" s="13">
        <f t="shared" si="6"/>
        <v>2229.4415584415583</v>
      </c>
      <c r="R8" s="12"/>
    </row>
    <row r="9" spans="1:18" ht="15" hidden="1">
      <c r="A9" s="12" t="s">
        <v>18</v>
      </c>
      <c r="B9" s="12">
        <v>288800</v>
      </c>
      <c r="C9" s="12">
        <v>125</v>
      </c>
      <c r="D9" s="13">
        <f t="shared" si="0"/>
        <v>2310.4</v>
      </c>
      <c r="E9" s="13">
        <f t="shared" si="1"/>
        <v>1155.2</v>
      </c>
      <c r="F9" s="12">
        <v>400</v>
      </c>
      <c r="G9" s="13">
        <f t="shared" si="2"/>
        <v>1555.2</v>
      </c>
      <c r="H9" s="12">
        <v>1170</v>
      </c>
      <c r="I9" s="13">
        <f t="shared" si="3"/>
        <v>2325.2</v>
      </c>
      <c r="J9" s="12">
        <v>1250</v>
      </c>
      <c r="K9" s="13">
        <f t="shared" si="4"/>
        <v>2405.2</v>
      </c>
      <c r="L9" s="12">
        <v>1500</v>
      </c>
      <c r="M9" s="13">
        <f t="shared" si="5"/>
        <v>2655.2</v>
      </c>
      <c r="N9" s="12">
        <v>1300</v>
      </c>
      <c r="O9" s="13">
        <f>N9+E9</f>
        <v>2455.2</v>
      </c>
      <c r="P9" s="12">
        <v>671</v>
      </c>
      <c r="Q9" s="13">
        <f t="shared" si="6"/>
        <v>1826.2</v>
      </c>
      <c r="R9" s="12"/>
    </row>
    <row r="10" spans="1:17" ht="15" hidden="1">
      <c r="A10" s="14" t="s">
        <v>19</v>
      </c>
      <c r="B10" s="14">
        <v>275300</v>
      </c>
      <c r="C10" s="14">
        <v>77</v>
      </c>
      <c r="D10" s="15">
        <f t="shared" si="0"/>
        <v>3575.3246753246754</v>
      </c>
      <c r="E10" s="15">
        <f t="shared" si="1"/>
        <v>1787.6623376623377</v>
      </c>
      <c r="F10" s="14">
        <v>500</v>
      </c>
      <c r="G10" s="15">
        <f t="shared" si="2"/>
        <v>2287.6623376623374</v>
      </c>
      <c r="H10" s="14">
        <v>1370</v>
      </c>
      <c r="I10" s="15">
        <f t="shared" si="3"/>
        <v>3157.6623376623374</v>
      </c>
      <c r="J10" s="14">
        <v>1420</v>
      </c>
      <c r="K10" s="15">
        <f t="shared" si="4"/>
        <v>3207.6623376623374</v>
      </c>
      <c r="L10" s="14">
        <v>1650</v>
      </c>
      <c r="M10" s="15">
        <f t="shared" si="5"/>
        <v>3437.6623376623374</v>
      </c>
      <c r="N10" s="14">
        <v>1400</v>
      </c>
      <c r="O10" s="13">
        <f>N10+E10</f>
        <v>3187.6623376623374</v>
      </c>
      <c r="P10" s="14">
        <v>671</v>
      </c>
      <c r="Q10" s="15">
        <f t="shared" si="6"/>
        <v>2458.6623376623374</v>
      </c>
    </row>
    <row r="11" spans="1:17" ht="15" hidden="1">
      <c r="A11" t="s">
        <v>33</v>
      </c>
      <c r="D11">
        <v>536</v>
      </c>
      <c r="E11" s="5">
        <f>D11/3</f>
        <v>178.66666666666666</v>
      </c>
      <c r="F11">
        <v>175</v>
      </c>
      <c r="G11" s="7">
        <f t="shared" si="2"/>
        <v>353.66666666666663</v>
      </c>
      <c r="H11">
        <v>500</v>
      </c>
      <c r="I11" s="7">
        <f t="shared" si="3"/>
        <v>678.6666666666666</v>
      </c>
      <c r="J11">
        <v>500</v>
      </c>
      <c r="K11" s="7">
        <f t="shared" si="4"/>
        <v>678.6666666666666</v>
      </c>
      <c r="L11">
        <v>1500</v>
      </c>
      <c r="M11" s="7">
        <f t="shared" si="5"/>
        <v>1678.6666666666667</v>
      </c>
      <c r="N11">
        <v>900</v>
      </c>
      <c r="O11" s="5">
        <f>N11+E11</f>
        <v>1078.6666666666667</v>
      </c>
      <c r="P11">
        <v>671</v>
      </c>
      <c r="Q11" s="7">
        <f t="shared" si="6"/>
        <v>849.6666666666666</v>
      </c>
    </row>
    <row r="12" spans="1:13" ht="15" hidden="1">
      <c r="A12" t="s">
        <v>37</v>
      </c>
      <c r="D12">
        <v>850</v>
      </c>
      <c r="E12" s="5">
        <f>D12/5</f>
        <v>170</v>
      </c>
      <c r="F12">
        <v>250</v>
      </c>
      <c r="G12" s="7">
        <f t="shared" si="2"/>
        <v>420</v>
      </c>
      <c r="I12" s="6"/>
      <c r="K12" s="6"/>
      <c r="M12" s="6"/>
    </row>
    <row r="13" spans="1:13" ht="15" hidden="1">
      <c r="A13" t="s">
        <v>38</v>
      </c>
      <c r="D13">
        <v>500</v>
      </c>
      <c r="E13">
        <f>D13/2.5</f>
        <v>200</v>
      </c>
      <c r="F13">
        <v>500</v>
      </c>
      <c r="G13" s="7">
        <f t="shared" si="2"/>
        <v>700</v>
      </c>
      <c r="I13" s="6"/>
      <c r="K13" s="6"/>
      <c r="M13" s="6"/>
    </row>
    <row r="14" spans="1:15" ht="15" hidden="1">
      <c r="A14" t="s">
        <v>92</v>
      </c>
      <c r="D14">
        <v>740</v>
      </c>
      <c r="E14" s="5">
        <f>D14/3</f>
        <v>246.66666666666666</v>
      </c>
      <c r="F14">
        <v>175</v>
      </c>
      <c r="G14" s="7">
        <f t="shared" si="2"/>
        <v>421.66666666666663</v>
      </c>
      <c r="H14">
        <v>500</v>
      </c>
      <c r="I14" s="7">
        <f>H14+E14</f>
        <v>746.6666666666666</v>
      </c>
      <c r="J14">
        <v>500</v>
      </c>
      <c r="K14" s="5">
        <f>J14+E14</f>
        <v>746.6666666666666</v>
      </c>
      <c r="L14">
        <v>1500</v>
      </c>
      <c r="M14" s="19">
        <f>L14+E14</f>
        <v>1746.6666666666667</v>
      </c>
      <c r="N14">
        <v>900</v>
      </c>
      <c r="O14" s="5">
        <f>N14+E14</f>
        <v>1146.6666666666667</v>
      </c>
    </row>
    <row r="15" ht="15" hidden="1"/>
    <row r="16" ht="15" hidden="1"/>
    <row r="17" ht="15" hidden="1">
      <c r="E17" t="s">
        <v>40</v>
      </c>
    </row>
    <row r="18" spans="4:5" ht="15" hidden="1">
      <c r="D18">
        <v>430</v>
      </c>
      <c r="E18">
        <v>3200</v>
      </c>
    </row>
    <row r="19" spans="4:5" ht="15" hidden="1">
      <c r="D19" t="s">
        <v>39</v>
      </c>
      <c r="E19">
        <v>2500</v>
      </c>
    </row>
    <row r="20" spans="4:5" ht="15" hidden="1">
      <c r="D20">
        <v>304</v>
      </c>
      <c r="E20">
        <v>4000</v>
      </c>
    </row>
    <row r="21" spans="3:5" ht="15" hidden="1">
      <c r="C21">
        <v>430</v>
      </c>
      <c r="D21">
        <v>0.8</v>
      </c>
      <c r="E21">
        <v>4000</v>
      </c>
    </row>
    <row r="22" ht="15" hidden="1"/>
  </sheetData>
  <sheetProtection password="CC3F" sheet="1" objects="1" scenarios="1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B36" sqref="B36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лист'!$G$4)+310+((B7*0.00314)*'Технический лист'!$G$11))*1.5</f>
        <v>1438.777003896104</v>
      </c>
      <c r="C8" s="16">
        <f>(((C6*0.00314)*'Технический лист'!$G$4)+310+((C7*0.00314)*'Технический лист'!$G$11))*1.5</f>
        <v>1524.4943142857142</v>
      </c>
      <c r="D8" s="16">
        <f>(((D6*0.00314)*'Технический лист'!$G$4)+310+((D7*0.00314)*'Технический лист'!$G$11))*1.5</f>
        <v>1567.3529694805193</v>
      </c>
      <c r="E8" s="16">
        <f>(((E6*0.00314)*'Технический лист'!$G$4)+310+((E7*0.00314)*'Технический лист'!$G$11))*1.5</f>
        <v>1610.2116246753249</v>
      </c>
      <c r="F8" s="16">
        <f>(((F6*0.00314)*'Технический лист'!$G$4)+310+((F7*0.00314)*'Технический лист'!$G$11))*1.5</f>
        <v>1653.07027987013</v>
      </c>
      <c r="G8" s="16">
        <f>(((G6*0.00314)*'Технический лист'!$G$4)+310+((G7*0.00314)*'Технический лист'!$G$11))*1.5</f>
        <v>1695.928935064935</v>
      </c>
      <c r="H8" s="16">
        <f>(((H6*0.00314)*'Технический лист'!$G$4)+310+((H7*0.00314)*'Технический лист'!$G$11))*1.5</f>
        <v>1781.6462454545456</v>
      </c>
      <c r="I8" s="16">
        <f>(((I6*0.00314)*'Технический лист'!$G$4)+310+((I7*0.00314)*'Технический лист'!$G$11))*1.5</f>
        <v>1867.3635558441558</v>
      </c>
      <c r="J8" s="16">
        <f>(((J6*0.00314)*'Технический лист'!$G$4)+310+((J7*0.00314)*'Технический лист'!$G$11))*1.5</f>
        <v>1953.080866233766</v>
      </c>
      <c r="K8" s="16">
        <f>(((K6*0.00314)*'Технический лист'!$G$4)+310+((K7*0.00314)*'Технический лист'!$G$11))*1.5</f>
        <v>2124.5154870129873</v>
      </c>
      <c r="L8" s="16">
        <f>(((L6*0.00314)*'Технический лист'!$G$4)+310+((L7*0.00314)*'Технический лист'!$G$11))*1.5</f>
        <v>2295.9501077922077</v>
      </c>
      <c r="M8" s="16">
        <f>(((M6*0.00314)*'Технический лист'!$G$4)+310+((M7*0.00314)*'Технический лист'!$G$11))*1.5</f>
        <v>2467.3847285714282</v>
      </c>
      <c r="N8" s="16">
        <f>(((N6*0.00314)*'Технический лист'!$G$4)+310+((N7*0.00314)*'Технический лист'!$G$11))*1.5</f>
        <v>2724.53665974026</v>
      </c>
      <c r="O8" s="16">
        <f>(((O6*0.00314)*'Технический лист'!$G$4)+310+((O7*0.00314)*'Технический лист'!$G$11))*1.5</f>
        <v>2810.25397012987</v>
      </c>
      <c r="P8" s="16">
        <f>(((P6*0.00314)*'Технический лист'!$G$4)+310+((P7*0.00314)*'Технический лист'!$G$11))*1.5</f>
        <v>2895.971280519481</v>
      </c>
      <c r="Q8" s="16">
        <f>(((Q6*0.00314)*'Технический лист'!$G$4)+310+((Q7*0.00314)*'Технический лист'!$G$11))*1.5</f>
        <v>2981.688590909091</v>
      </c>
      <c r="R8" s="16">
        <f>(((R6*0.00314)*'Технический лист'!$G$4)+310+((R7*0.00314)*'Технический лист'!$G$11))*1.5</f>
        <v>3067.4059012987013</v>
      </c>
      <c r="S8" s="16">
        <f>(((S6*0.00314)*'Технический лист'!$G$4)+310+((S7*0.00314)*'Технический лист'!$G$11))*1.5</f>
        <v>3153.1232116883116</v>
      </c>
    </row>
    <row r="9" spans="1:19" ht="15">
      <c r="A9" s="4" t="s">
        <v>3</v>
      </c>
      <c r="B9" s="9">
        <f>((B8/2)*1.07)-10</f>
        <v>759.7456970844156</v>
      </c>
      <c r="C9" s="9">
        <f aca="true" t="shared" si="2" ref="C9:N9">((C8/2)*1.07)-10</f>
        <v>805.6044581428571</v>
      </c>
      <c r="D9" s="9">
        <f t="shared" si="2"/>
        <v>828.5338386720779</v>
      </c>
      <c r="E9" s="9">
        <f t="shared" si="2"/>
        <v>851.4632192012989</v>
      </c>
      <c r="F9" s="9">
        <f t="shared" si="2"/>
        <v>874.3925997305196</v>
      </c>
      <c r="G9" s="9">
        <f t="shared" si="2"/>
        <v>897.3219802597404</v>
      </c>
      <c r="H9" s="9">
        <f t="shared" si="2"/>
        <v>943.180741318182</v>
      </c>
      <c r="I9" s="9">
        <f t="shared" si="2"/>
        <v>989.0395023766234</v>
      </c>
      <c r="J9" s="9">
        <f t="shared" si="2"/>
        <v>1034.898263435065</v>
      </c>
      <c r="K9" s="9">
        <f t="shared" si="2"/>
        <v>1126.6157855519482</v>
      </c>
      <c r="L9" s="9">
        <f t="shared" si="2"/>
        <v>1218.3333076688311</v>
      </c>
      <c r="M9" s="9">
        <f t="shared" si="2"/>
        <v>1310.050829785714</v>
      </c>
      <c r="N9" s="9">
        <f t="shared" si="2"/>
        <v>1447.627112961039</v>
      </c>
      <c r="O9" s="9">
        <f aca="true" t="shared" si="3" ref="O9:S9">((O8/2)*1.07)-10</f>
        <v>1493.4858740194807</v>
      </c>
      <c r="P9" s="9">
        <f t="shared" si="3"/>
        <v>1539.3446350779222</v>
      </c>
      <c r="Q9" s="9">
        <f t="shared" si="3"/>
        <v>1585.2033961363638</v>
      </c>
      <c r="R9" s="9">
        <f t="shared" si="3"/>
        <v>1631.0621571948054</v>
      </c>
      <c r="S9" s="9">
        <f t="shared" si="3"/>
        <v>1676.9209182532468</v>
      </c>
    </row>
    <row r="10" spans="1:19" ht="15">
      <c r="A10" s="4" t="s">
        <v>5</v>
      </c>
      <c r="B10" s="16">
        <f>((((B6*0.00314)*0.5)*'Технический лист'!$I$4)+310+(((B7*0.00314)*0.5)*'Технический лист'!$I$11))*1.55</f>
        <v>1305.448493679654</v>
      </c>
      <c r="C10" s="16">
        <f>((((C6*0.00314)*0.5)*'Технический лист'!$I$4)+310+(((C7*0.00314)*0.5)*'Технический лист'!$I$11))*1.55</f>
        <v>1376.3825957142858</v>
      </c>
      <c r="D10" s="16">
        <f>((((D6*0.00314)*0.5)*'Технический лист'!$I$4)+310+(((D7*0.00314)*0.5)*'Технический лист'!$I$11))*1.55</f>
        <v>1411.849646731602</v>
      </c>
      <c r="E10" s="16">
        <f>((((E6*0.00314)*0.5)*'Технический лист'!$I$4)+310+(((E7*0.00314)*0.5)*'Технический лист'!$I$11))*1.55</f>
        <v>1447.316697748918</v>
      </c>
      <c r="F10" s="16">
        <f>((((F6*0.00314)*0.5)*'Технический лист'!$I$4)+310+(((F7*0.00314)*0.5)*'Технический лист'!$I$11))*1.55</f>
        <v>1482.7837487662339</v>
      </c>
      <c r="G10" s="16">
        <f>((((G6*0.00314)*0.5)*'Технический лист'!$I$4)+310+(((G7*0.00314)*0.5)*'Технический лист'!$I$11))*1.55</f>
        <v>1518.2507997835498</v>
      </c>
      <c r="H10" s="16">
        <f>((((H6*0.00314)*0.5)*'Технический лист'!$I$4)+310+(((H7*0.00314)*0.5)*'Технический лист'!$I$11))*1.55</f>
        <v>1589.184901818182</v>
      </c>
      <c r="I10" s="16">
        <f>((((I6*0.00314)*0.5)*'Технический лист'!$I$4)+310+(((I7*0.00314)*0.5)*'Технический лист'!$I$11))*1.55</f>
        <v>1660.1190038528139</v>
      </c>
      <c r="J10" s="16">
        <f>((((J6*0.00314)*0.5)*'Технический лист'!$I$4)+310+(((J7*0.00314)*0.5)*'Технический лист'!$I$11))*1.55</f>
        <v>1731.053105887446</v>
      </c>
      <c r="K10" s="16">
        <f>((((K6*0.00314)*0.5)*'Технический лист'!$I$4)+310+(((K7*0.00314)*0.5)*'Технический лист'!$I$11))*1.55</f>
        <v>1872.9213099567098</v>
      </c>
      <c r="L10" s="16">
        <f>((((L6*0.00314)*0.5)*'Технический лист'!$I$4)+310+(((L7*0.00314)*0.5)*'Технический лист'!$I$11))*1.55</f>
        <v>2014.7895140259743</v>
      </c>
      <c r="M10" s="16">
        <f>((((M6*0.00314)*0.5)*'Технический лист'!$I$4)+310+(((M7*0.00314)*0.5)*'Технический лист'!$I$11))*1.55</f>
        <v>2156.657718095238</v>
      </c>
      <c r="N10" s="16">
        <f>((((N6*0.00314)*0.5)*'Технический лист'!$I$4)+310+(((N7*0.00314)*0.5)*'Технический лист'!$I$11))*1.55</f>
        <v>2369.4600241991343</v>
      </c>
      <c r="O10" s="16">
        <f>((((O6*0.00314)*0.5)*'Технический лист'!$I$4)+310+(((O7*0.00314)*0.5)*'Технический лист'!$I$11))*1.55</f>
        <v>2440.394126233766</v>
      </c>
      <c r="P10" s="16">
        <f>((((P6*0.00314)*0.5)*'Технический лист'!$I$4)+310+(((P7*0.00314)*0.5)*'Технический лист'!$I$11))*1.55</f>
        <v>2511.3282282683986</v>
      </c>
      <c r="Q10" s="16">
        <f>((((Q6*0.00314)*0.5)*'Технический лист'!$I$4)+310+(((Q7*0.00314)*0.5)*'Технический лист'!$I$11))*1.55</f>
        <v>2582.2623303030305</v>
      </c>
      <c r="R10" s="16">
        <f>((((R6*0.00314)*0.5)*'Технический лист'!$I$4)+310+(((R7*0.00314)*0.5)*'Технический лист'!$I$11))*1.55</f>
        <v>2653.1964323376624</v>
      </c>
      <c r="S10" s="16">
        <f>((((S6*0.00314)*0.5)*'Технический лист'!$I$4)+310+(((S7*0.00314)*0.5)*'Технический лист'!$I$11))*1.55</f>
        <v>2724.1305343722947</v>
      </c>
    </row>
    <row r="11" spans="1:19" ht="15">
      <c r="A11" s="4" t="s">
        <v>96</v>
      </c>
      <c r="B11" s="9">
        <f>((B10*2)/3)-7</f>
        <v>863.298995786436</v>
      </c>
      <c r="C11" s="9">
        <f aca="true" t="shared" si="4" ref="C11:N11">((C10*2)/3)-7</f>
        <v>910.5883971428572</v>
      </c>
      <c r="D11" s="9">
        <f t="shared" si="4"/>
        <v>934.233097821068</v>
      </c>
      <c r="E11" s="9">
        <f t="shared" si="4"/>
        <v>957.8777984992786</v>
      </c>
      <c r="F11" s="9">
        <f t="shared" si="4"/>
        <v>981.5224991774893</v>
      </c>
      <c r="G11" s="9">
        <f t="shared" si="4"/>
        <v>1005.1671998556999</v>
      </c>
      <c r="H11" s="9">
        <f t="shared" si="4"/>
        <v>1052.4566012121213</v>
      </c>
      <c r="I11" s="9">
        <f t="shared" si="4"/>
        <v>1099.7460025685425</v>
      </c>
      <c r="J11" s="9">
        <f t="shared" si="4"/>
        <v>1147.035403924964</v>
      </c>
      <c r="K11" s="9">
        <f t="shared" si="4"/>
        <v>1241.6142066378065</v>
      </c>
      <c r="L11" s="9">
        <f t="shared" si="4"/>
        <v>1336.1930093506496</v>
      </c>
      <c r="M11" s="9">
        <f t="shared" si="4"/>
        <v>1430.771812063492</v>
      </c>
      <c r="N11" s="9">
        <f t="shared" si="4"/>
        <v>1572.6400161327563</v>
      </c>
      <c r="O11" s="9">
        <f aca="true" t="shared" si="5" ref="O11:S11">((O10*2)/3)-7</f>
        <v>1619.9294174891775</v>
      </c>
      <c r="P11" s="9">
        <f t="shared" si="5"/>
        <v>1667.2188188455991</v>
      </c>
      <c r="Q11" s="9">
        <f t="shared" si="5"/>
        <v>1714.5082202020203</v>
      </c>
      <c r="R11" s="9">
        <f t="shared" si="5"/>
        <v>1761.7976215584415</v>
      </c>
      <c r="S11" s="9">
        <f t="shared" si="5"/>
        <v>1809.0870229148632</v>
      </c>
    </row>
    <row r="12" spans="1:19" ht="15">
      <c r="A12" s="4" t="s">
        <v>6</v>
      </c>
      <c r="B12" s="16">
        <f>((((B6*0.00314)*0.22)*'Технический лист'!$M$4)+100+(((B7*0.00314)*0.21)*'Технический лист'!$O$11)+(((B6+30)*(B6+30)/1000000)*'Технический лист'!$E$18))*1.6</f>
        <v>729.1612873142858</v>
      </c>
      <c r="C12" s="16">
        <f>((((C6*0.00314)*0.22)*'Технический лист'!$M$4)+100+(((C7*0.00314)*0.21)*'Технический лист'!$O$11)+(((C6+30)*(C6+30)/1000000)*'Технический лист'!$E$18))*1.6</f>
        <v>783.2823606857143</v>
      </c>
      <c r="D12" s="16">
        <f>((((D6*0.00314)*0.22)*'Технический лист'!$M$4)+100+(((D7*0.00314)*0.21)*'Технический лист'!$O$11)+(((D6+30)*(D6+30)/1000000)*'Технический лист'!$E$18))*1.6</f>
        <v>810.7268973714285</v>
      </c>
      <c r="E12" s="16">
        <f>((((E6*0.00314)*0.22)*'Технический лист'!$M$4)+100+(((E7*0.00314)*0.21)*'Технический лист'!$O$11)+(((E6+30)*(E6+30)/1000000)*'Технический лист'!$E$18))*1.6</f>
        <v>838.427434057143</v>
      </c>
      <c r="F12" s="16">
        <f>((((F6*0.00314)*0.22)*'Технический лист'!$M$4)+100+(((F7*0.00314)*0.21)*'Технический лист'!$O$11)+(((F6+30)*(F6+30)/1000000)*'Технический лист'!$E$18))*1.6</f>
        <v>866.3839707428574</v>
      </c>
      <c r="G12" s="16">
        <f>((((G6*0.00314)*0.22)*'Технический лист'!$M$4)+100+(((G7*0.00314)*0.21)*'Технический лист'!$O$11)+(((G6+30)*(G6+30)/1000000)*'Технический лист'!$E$18))*1.6</f>
        <v>894.5965074285714</v>
      </c>
      <c r="H12" s="16">
        <f>((((H6*0.00314)*0.22)*'Технический лист'!$M$4)+100+(((H7*0.00314)*0.21)*'Технический лист'!$O$11)+(((H6+30)*(H6+30)/1000000)*'Технический лист'!$E$18))*1.6</f>
        <v>951.7895808000002</v>
      </c>
      <c r="I12" s="16">
        <f>((((I6*0.00314)*0.22)*'Технический лист'!$M$4)+100+(((I7*0.00314)*0.21)*'Технический лист'!$O$11)+(((I6+30)*(I6+30)/1000000)*'Технический лист'!$E$18))*1.6</f>
        <v>1010.0066541714285</v>
      </c>
      <c r="J12" s="16">
        <f>((((J6*0.00314)*0.22)*'Технический лист'!$M$4)+100+(((J7*0.00314)*0.21)*'Технический лист'!$O$11)+(((J6+30)*(J6+30)/1000000)*'Технический лист'!$E$18))*1.6</f>
        <v>1069.247727542857</v>
      </c>
      <c r="K12" s="16">
        <f>((((K6*0.00314)*0.22)*'Технический лист'!$M$4)+100+(((K7*0.00314)*0.21)*'Технический лист'!$O$11)+(((K6+30)*(K6+30)/1000000)*'Технический лист'!$E$18))*1.6</f>
        <v>1190.8018742857146</v>
      </c>
      <c r="L12" s="16">
        <f>((((L6*0.00314)*0.22)*'Технический лист'!$M$4)+100+(((L7*0.00314)*0.21)*'Технический лист'!$O$11)+(((L6+30)*(L6+30)/1000000)*'Технический лист'!$E$18))*1.6</f>
        <v>1316.4520210285716</v>
      </c>
      <c r="M12" s="16">
        <f>((((M6*0.00314)*0.22)*'Технический лист'!$M$4)+100+(((M7*0.00314)*0.21)*'Технический лист'!$O$11)+(((M6+30)*(M6+30)/1000000)*'Технический лист'!$E$18))*1.6</f>
        <v>1446.1981677714286</v>
      </c>
      <c r="N12" s="16">
        <f>((((N6*0.00314)*0.22)*'Технический лист'!$M$4)+100+(((N7*0.00314)*0.21)*'Технический лист'!$O$11)+(((N6+30)*(N6+30)/1000000)*'Технический лист'!$E$18))*1.6</f>
        <v>1648.4973878857145</v>
      </c>
      <c r="O12" s="16">
        <f>((((O6*0.00314)*0.22)*'Технический лист'!$M$4)+100+(((O7*0.00314)*0.21)*'Технический лист'!$O$11)+(((O6+30)*(O6+30)/1000000)*'Технический лист'!$E$18))*1.6</f>
        <v>1717.978461257143</v>
      </c>
      <c r="P12" s="16">
        <f>((((P6*0.00314)*0.22)*'Технический лист'!$M$4)+100+(((P7*0.00314)*0.21)*'Технический лист'!$O$11)+(((P6+30)*(P6+30)/1000000)*'Технический лист'!$E$18))*1.6</f>
        <v>1788.4835346285718</v>
      </c>
      <c r="Q12" s="16">
        <f>((((Q6*0.00314)*0.22)*'Технический лист'!$M$4)+100+(((Q7*0.00314)*0.21)*'Технический лист'!$O$11)+(((Q6+30)*(Q6+30)/1000000)*'Технический лист'!$E$18))*1.6</f>
        <v>1860.0126080000002</v>
      </c>
      <c r="R12" s="16">
        <f>((((R6*0.00314)*0.22)*'Технический лист'!$M$4)+100+(((R7*0.00314)*0.21)*'Технический лист'!$O$11)+(((R6+30)*(R6+30)/1000000)*'Технический лист'!$E$18))*1.6</f>
        <v>1932.5656813714286</v>
      </c>
      <c r="S12" s="16">
        <f>((((S6*0.00314)*0.22)*'Технический лист'!$M$4)+100+(((S7*0.00314)*0.21)*'Технический лист'!$O$11)+(((S6+30)*(S6+30)/1000000)*'Технический лист'!$E$18))*1.6</f>
        <v>2006.1427547428573</v>
      </c>
    </row>
    <row r="13" spans="1:19" ht="15">
      <c r="A13" s="4" t="s">
        <v>7</v>
      </c>
      <c r="B13" s="9">
        <f>(B12*2.2)+24</f>
        <v>1628.154832091429</v>
      </c>
      <c r="C13" s="9">
        <f aca="true" t="shared" si="6" ref="C13:N13">(C12*2.2)+24</f>
        <v>1747.2211935085716</v>
      </c>
      <c r="D13" s="9">
        <f t="shared" si="6"/>
        <v>1807.599174217143</v>
      </c>
      <c r="E13" s="9">
        <f t="shared" si="6"/>
        <v>1868.5403549257148</v>
      </c>
      <c r="F13" s="9">
        <f t="shared" si="6"/>
        <v>1930.0447356342863</v>
      </c>
      <c r="G13" s="9">
        <f t="shared" si="6"/>
        <v>1992.1123163428572</v>
      </c>
      <c r="H13" s="9">
        <f t="shared" si="6"/>
        <v>2117.9370777600006</v>
      </c>
      <c r="I13" s="9">
        <f t="shared" si="6"/>
        <v>2246.0146391771427</v>
      </c>
      <c r="J13" s="9">
        <f t="shared" si="6"/>
        <v>2376.345000594286</v>
      </c>
      <c r="K13" s="9">
        <f t="shared" si="6"/>
        <v>2643.7641234285725</v>
      </c>
      <c r="L13" s="9">
        <f t="shared" si="6"/>
        <v>2920.1944462628576</v>
      </c>
      <c r="M13" s="9">
        <f t="shared" si="6"/>
        <v>3205.635969097143</v>
      </c>
      <c r="N13" s="9">
        <f t="shared" si="6"/>
        <v>3650.694253348572</v>
      </c>
      <c r="O13" s="9">
        <f aca="true" t="shared" si="7" ref="O13:S13">(O12*2.2)+24</f>
        <v>3803.5526147657147</v>
      </c>
      <c r="P13" s="9">
        <f t="shared" si="7"/>
        <v>3958.6637761828583</v>
      </c>
      <c r="Q13" s="9">
        <f t="shared" si="7"/>
        <v>4116.027737600001</v>
      </c>
      <c r="R13" s="9">
        <f t="shared" si="7"/>
        <v>4275.644499017143</v>
      </c>
      <c r="S13" s="9">
        <f t="shared" si="7"/>
        <v>4437.514060434286</v>
      </c>
    </row>
    <row r="14" spans="1:19" ht="15">
      <c r="A14" s="4" t="s">
        <v>8</v>
      </c>
      <c r="B14" s="16">
        <f>((((B6*0.00314)*0.2)*'Технический лист'!$M$4)+50+(((B7*0.00314)*0.22)*'Технический лист'!$O$11))*1.55</f>
        <v>528.5093577385283</v>
      </c>
      <c r="C14" s="16">
        <f>((((C6*0.00314)*0.2)*'Технический лист'!$M$4)+50+(((C7*0.00314)*0.22)*'Технический лист'!$O$11))*1.55</f>
        <v>565.5254926857143</v>
      </c>
      <c r="D14" s="16">
        <f>((((D6*0.00314)*0.2)*'Технический лист'!$M$4)+50+(((D7*0.00314)*0.22)*'Технический лист'!$O$11))*1.55</f>
        <v>584.0335601593074</v>
      </c>
      <c r="E14" s="16">
        <f>((((E6*0.00314)*0.2)*'Технический лист'!$M$4)+50+(((E7*0.00314)*0.22)*'Технический лист'!$O$11))*1.55</f>
        <v>602.5416276329005</v>
      </c>
      <c r="F14" s="16">
        <f>((((F6*0.00314)*0.2)*'Технический лист'!$M$4)+50+(((F7*0.00314)*0.22)*'Технический лист'!$O$11))*1.55</f>
        <v>621.0496951064936</v>
      </c>
      <c r="G14" s="16">
        <f>((((G6*0.00314)*0.2)*'Технический лист'!$M$4)+50+(((G7*0.00314)*0.22)*'Технический лист'!$O$11))*1.55</f>
        <v>639.5577625800867</v>
      </c>
      <c r="H14" s="16">
        <f>((((H6*0.00314)*0.2)*'Технический лист'!$M$4)+50+(((H7*0.00314)*0.22)*'Технический лист'!$O$11))*1.55</f>
        <v>676.5738975272728</v>
      </c>
      <c r="I14" s="16">
        <f>((((I6*0.00314)*0.2)*'Технический лист'!$M$4)+50+(((I7*0.00314)*0.22)*'Технический лист'!$O$11))*1.55</f>
        <v>713.590032474459</v>
      </c>
      <c r="J14" s="16">
        <f>((((J6*0.00314)*0.2)*'Технический лист'!$M$4)+50+(((J7*0.00314)*0.22)*'Технический лист'!$O$11))*1.55</f>
        <v>750.6061674216451</v>
      </c>
      <c r="K14" s="16">
        <f>((((K6*0.00314)*0.2)*'Технический лист'!$M$4)+50+(((K7*0.00314)*0.22)*'Технический лист'!$O$11))*1.55</f>
        <v>824.6384373160175</v>
      </c>
      <c r="L14" s="16">
        <f>((((L6*0.00314)*0.2)*'Технический лист'!$M$4)+50+(((L7*0.00314)*0.22)*'Технический лист'!$O$11))*1.55</f>
        <v>898.6707072103897</v>
      </c>
      <c r="M14" s="16">
        <f>((((M6*0.00314)*0.2)*'Технический лист'!$M$4)+50+(((M7*0.00314)*0.22)*'Технический лист'!$O$11))*1.55</f>
        <v>972.7029771047621</v>
      </c>
      <c r="N14" s="16">
        <f>((((N6*0.00314)*0.2)*'Технический лист'!$M$4)+50+(((N7*0.00314)*0.22)*'Технический лист'!$O$11))*1.55</f>
        <v>1083.7513819463204</v>
      </c>
      <c r="O14" s="16">
        <f>((((O6*0.00314)*0.2)*'Технический лист'!$M$4)+50+(((O7*0.00314)*0.22)*'Технический лист'!$O$11))*1.55</f>
        <v>1120.7675168935066</v>
      </c>
      <c r="P14" s="16">
        <f>((((P6*0.00314)*0.2)*'Технический лист'!$M$4)+50+(((P7*0.00314)*0.22)*'Технический лист'!$O$11))*1.55</f>
        <v>1157.783651840693</v>
      </c>
      <c r="Q14" s="16">
        <f>((((Q6*0.00314)*0.2)*'Технический лист'!$M$4)+50+(((Q7*0.00314)*0.22)*'Технический лист'!$O$11))*1.55</f>
        <v>1194.7997867878787</v>
      </c>
      <c r="R14" s="16">
        <f>((((R6*0.00314)*0.2)*'Технический лист'!$M$4)+50+(((R7*0.00314)*0.22)*'Технический лист'!$O$11))*1.55</f>
        <v>1231.815921735065</v>
      </c>
      <c r="S14" s="16">
        <f>((((S6*0.00314)*0.2)*'Технический лист'!$M$4)+50+(((S7*0.00314)*0.22)*'Технический лист'!$O$11))*1.55</f>
        <v>1268.8320566822513</v>
      </c>
    </row>
    <row r="15" spans="1:19" ht="15">
      <c r="A15" s="4" t="s">
        <v>99</v>
      </c>
      <c r="B15" s="16">
        <v>2195</v>
      </c>
      <c r="C15" s="16">
        <v>2340</v>
      </c>
      <c r="D15" s="16">
        <v>2420</v>
      </c>
      <c r="E15" s="16">
        <v>2495</v>
      </c>
      <c r="F15" s="16">
        <v>2575</v>
      </c>
      <c r="G15" s="16">
        <v>2655</v>
      </c>
      <c r="H15" s="16">
        <v>2810</v>
      </c>
      <c r="I15" s="16">
        <v>2975</v>
      </c>
      <c r="J15" s="16">
        <v>3145</v>
      </c>
      <c r="K15" s="16">
        <v>3490</v>
      </c>
      <c r="L15" s="16">
        <v>3860</v>
      </c>
      <c r="M15" s="16">
        <v>4235</v>
      </c>
      <c r="N15" s="16">
        <v>4835</v>
      </c>
      <c r="O15" s="16">
        <v>5045</v>
      </c>
      <c r="P15" s="16">
        <v>5250</v>
      </c>
      <c r="Q15" s="16">
        <v>5460</v>
      </c>
      <c r="R15" s="16">
        <v>5690</v>
      </c>
      <c r="S15" s="16">
        <v>5910</v>
      </c>
    </row>
    <row r="16" spans="1:19" ht="15">
      <c r="A16" s="4" t="s">
        <v>102</v>
      </c>
      <c r="B16" s="16">
        <v>2195</v>
      </c>
      <c r="C16" s="16">
        <v>2340</v>
      </c>
      <c r="D16" s="16">
        <v>2420</v>
      </c>
      <c r="E16" s="16">
        <v>2495</v>
      </c>
      <c r="F16" s="16">
        <v>2575</v>
      </c>
      <c r="G16" s="16">
        <v>2655</v>
      </c>
      <c r="H16" s="16">
        <v>2810</v>
      </c>
      <c r="I16" s="16">
        <v>2975</v>
      </c>
      <c r="J16" s="16">
        <v>3145</v>
      </c>
      <c r="K16" s="16">
        <v>3490</v>
      </c>
      <c r="L16" s="16">
        <v>3860</v>
      </c>
      <c r="M16" s="16">
        <v>4235</v>
      </c>
      <c r="N16" s="16">
        <v>4835</v>
      </c>
      <c r="O16" s="16">
        <v>5045</v>
      </c>
      <c r="P16" s="16">
        <v>5250</v>
      </c>
      <c r="Q16" s="16">
        <v>5460</v>
      </c>
      <c r="R16" s="16">
        <v>5690</v>
      </c>
      <c r="S16" s="16">
        <v>5910</v>
      </c>
    </row>
    <row r="17" spans="1:19" ht="15">
      <c r="A17" s="4" t="s">
        <v>9</v>
      </c>
      <c r="B17" s="9">
        <f>((((B6*0.00314)*((B6+545)/1000))*'Технический лист'!$K$4)+370+((B7*0.00314)*((B7+450)/1000))*'Технический лист'!$K$11)*1.6</f>
        <v>1708.425968013853</v>
      </c>
      <c r="C17" s="9">
        <f>((((C6*0.00314)*((C6+545)/1000))*'Технический лист'!$K$4)+370+((C7*0.00314)*((C7+450)/1000))*'Технический лист'!$K$11)*1.6</f>
        <v>1824.3190889142859</v>
      </c>
      <c r="D17" s="9">
        <f>((((D6*0.00314)*((D6+545)/1000))*'Технический лист'!$K$4)+370+((D7*0.00314)*((D7+450)/1000))*'Технический лист'!$K$11)*1.6</f>
        <v>1883.4016638476191</v>
      </c>
      <c r="E17" s="9">
        <f>((((E6*0.00314)*((E6+545)/1000))*'Технический лист'!$K$4)+370+((E7*0.00314)*((E7+450)/1000))*'Технический лист'!$K$11)*1.6</f>
        <v>1943.2415817696974</v>
      </c>
      <c r="F17" s="9">
        <f>((((F6*0.00314)*((F6+545)/1000))*'Технический лист'!$K$4)+370+((F7*0.00314)*((F7+450)/1000))*'Технический лист'!$K$11)*1.6</f>
        <v>2003.8388426805195</v>
      </c>
      <c r="G17" s="9">
        <f>((((G6*0.00314)*((G6+545)/1000))*'Технический лист'!$K$4)+370+((G7*0.00314)*((G7+450)/1000))*'Технический лист'!$K$11)*1.6</f>
        <v>2065.193446580087</v>
      </c>
      <c r="H17" s="9">
        <f>((((H6*0.00314)*((H6+545)/1000))*'Технический лист'!$K$4)+370+((H7*0.00314)*((H7+450)/1000))*'Технический лист'!$K$11)*1.6</f>
        <v>2190.1746833454545</v>
      </c>
      <c r="I17" s="9">
        <f>((((I6*0.00314)*((I6+545)/1000))*'Технический лист'!$K$4)+370+((I7*0.00314)*((I7+450)/1000))*'Технический лист'!$K$11)*1.6</f>
        <v>2318.1852920658007</v>
      </c>
      <c r="J17" s="9">
        <f>((((J6*0.00314)*((J6+545)/1000))*'Технический лист'!$K$4)+370+((J7*0.00314)*((J7+450)/1000))*'Технический лист'!$K$11)*1.6</f>
        <v>2449.225272741126</v>
      </c>
      <c r="K17" s="9">
        <f>((((K6*0.00314)*((K6+545)/1000))*'Технический лист'!$K$4)+370+((K7*0.00314)*((K7+450)/1000))*'Технический лист'!$K$11)*1.6</f>
        <v>2720.39334995671</v>
      </c>
      <c r="L17" s="9">
        <f>((((L6*0.00314)*((L6+545)/1000))*'Технический лист'!$K$4)+370+((L7*0.00314)*((L7+450)/1000))*'Технический лист'!$K$11)*1.6</f>
        <v>3003.678914992208</v>
      </c>
      <c r="M17" s="9">
        <f>((((M6*0.00314)*((M6+545)/1000))*'Технический лист'!$K$4)+370+((M7*0.00314)*((M7+450)/1000))*'Технический лист'!$K$11)*1.6</f>
        <v>3299.081967847619</v>
      </c>
      <c r="N17" s="9">
        <f>((((N6*0.00314)*((N6+545)/1000))*'Технический лист'!$K$4)+370+((N7*0.00314)*((N7+450)/1000))*'Технический лист'!$K$11)*1.6</f>
        <v>3764.906836793074</v>
      </c>
      <c r="O17" s="9">
        <f>((((O6*0.00314)*((O6+545)/1000))*'Технический лист'!$K$4)+370+((O7*0.00314)*((O7+450)/1000))*'Технический лист'!$K$11)*1.6</f>
        <v>3926.2405370181823</v>
      </c>
      <c r="P17" s="9">
        <f>((((P6*0.00314)*((P6+545)/1000))*'Технический лист'!$K$4)+370+((P7*0.00314)*((P7+450)/1000))*'Технический лист'!$K$11)*1.6</f>
        <v>4090.6036091982687</v>
      </c>
      <c r="Q17" s="9">
        <f>((((Q6*0.00314)*((Q6+545)/1000))*'Технический лист'!$K$4)+370+((Q7*0.00314)*((Q7+450)/1000))*'Технический лист'!$K$11)*1.6</f>
        <v>4257.996053333333</v>
      </c>
      <c r="R17" s="9">
        <f>((((R6*0.00314)*((R6+545)/1000))*'Технический лист'!$K$4)+370+((R7*0.00314)*((R7+450)/1000))*'Технический лист'!$K$11)*1.6</f>
        <v>4428.417869423377</v>
      </c>
      <c r="S17" s="9">
        <f>((((S6*0.00314)*((S6+545)/1000))*'Технический лист'!$K$4)+370+((S7*0.00314)*((S7+450)/1000))*'Технический лист'!$K$11)*1.6</f>
        <v>4601.869057468398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42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лист'!$G$4)+310+((B23*0.00314)*'Технический лист'!$G$5))*1.5</f>
        <v>2065.191303896104</v>
      </c>
      <c r="C24" s="16">
        <f>(((C22*0.00314)*'Технический лист'!$G$4)+310+((C23*0.00314)*'Технический лист'!$G$5))*1.5</f>
        <v>2187.7565142857147</v>
      </c>
      <c r="D24" s="16">
        <f>(((D22*0.00314)*'Технический лист'!$G$4)+310+((D23*0.00314)*'Технический лист'!$G$5))*1.5</f>
        <v>2249.0391194805197</v>
      </c>
      <c r="E24" s="16">
        <f>(((E22*0.00314)*'Технический лист'!$G$4)+310+((E23*0.00314)*'Технический лист'!$G$5))*1.5</f>
        <v>2310.3217246753247</v>
      </c>
      <c r="F24" s="16">
        <f>(((F22*0.00314)*'Технический лист'!$G$4)+310+((F23*0.00314)*'Технический лист'!$G$5))*1.5</f>
        <v>2371.6043298701297</v>
      </c>
      <c r="G24" s="16">
        <f>(((G22*0.00314)*'Технический лист'!$G$4)+310+((G23*0.00314)*'Технический лист'!$G$5))*1.5</f>
        <v>2432.886935064935</v>
      </c>
      <c r="H24" s="16">
        <f>(((H22*0.00314)*'Технический лист'!$G$4)+310+((H23*0.00314)*'Технический лист'!$G$5))*1.5</f>
        <v>2555.4521454545456</v>
      </c>
      <c r="I24" s="16">
        <f>(((I22*0.00314)*'Технический лист'!$G$4)+310+((I23*0.00314)*'Технический лист'!$G$5))*1.5</f>
        <v>2678.0173558441556</v>
      </c>
      <c r="J24" s="16">
        <f>(((J22*0.00314)*'Технический лист'!$G$4)+310+((J23*0.00314)*'Технический лист'!$G$5))*1.5</f>
        <v>2800.5825662337656</v>
      </c>
      <c r="K24" s="16">
        <f>(((K22*0.00314)*'Технический лист'!$G$4)+310+((K23*0.00314)*'Технический лист'!$G$5))*1.5</f>
        <v>3045.7129870129875</v>
      </c>
      <c r="L24" s="16">
        <f>(((L22*0.00314)*'Технический лист'!$G$4)+310+((L23*0.00314)*'Технический лист'!$G$5))*1.5</f>
        <v>3290.843407792208</v>
      </c>
      <c r="M24" s="16">
        <f>(((M22*0.00314)*'Технический лист'!$G$4)+310+((M23*0.00314)*'Технический лист'!$G$5))*1.5</f>
        <v>3535.973828571428</v>
      </c>
      <c r="N24" s="16">
        <f>(((N22*0.00314)*'Технический лист'!$G$4)+310+((N23*0.00314)*'Технический лист'!$G$5))*1.5</f>
        <v>3903.6694597402593</v>
      </c>
      <c r="O24" s="16">
        <f>(((O22*0.00314)*'Технический лист'!$G$4)+310+((O23*0.00314)*'Технический лист'!$G$5))*1.5</f>
        <v>4026.2346701298707</v>
      </c>
      <c r="P24" s="16">
        <f>(((P22*0.00314)*'Технический лист'!$G$4)+310+((P23*0.00314)*'Технический лист'!$G$5))*1.5</f>
        <v>4148.79988051948</v>
      </c>
      <c r="Q24" s="16">
        <f>(((Q22*0.00314)*'Технический лист'!$G$4)+310+((Q23*0.00314)*'Технический лист'!$G$5))*1.5</f>
        <v>4271.36509090909</v>
      </c>
      <c r="R24" s="16">
        <f>(((R22*0.00314)*'Технический лист'!$G$4)+310+((R23*0.00314)*'Технический лист'!$G$5))*1.5</f>
        <v>4393.930301298702</v>
      </c>
      <c r="S24" s="16">
        <f>(((S22*0.00314)*'Технический лист'!$G$4)+310+((S23*0.00314)*'Технический лист'!$G$5))*1.5</f>
        <v>4516.495511688312</v>
      </c>
    </row>
    <row r="25" spans="1:19" ht="15">
      <c r="A25" s="4" t="s">
        <v>3</v>
      </c>
      <c r="B25" s="9">
        <f>((B24/2)*1.07)-9</f>
        <v>1095.8773475844157</v>
      </c>
      <c r="C25" s="9">
        <f aca="true" t="shared" si="10" ref="C25:N25">((C24/2)*1.07)-9</f>
        <v>1161.4497351428574</v>
      </c>
      <c r="D25" s="9">
        <f t="shared" si="10"/>
        <v>1194.235928922078</v>
      </c>
      <c r="E25" s="9">
        <f t="shared" si="10"/>
        <v>1227.0221227012987</v>
      </c>
      <c r="F25" s="9">
        <f t="shared" si="10"/>
        <v>1259.8083164805196</v>
      </c>
      <c r="G25" s="9">
        <f t="shared" si="10"/>
        <v>1292.5945102597404</v>
      </c>
      <c r="H25" s="9">
        <f t="shared" si="10"/>
        <v>1358.166897818182</v>
      </c>
      <c r="I25" s="9">
        <f t="shared" si="10"/>
        <v>1423.7392853766235</v>
      </c>
      <c r="J25" s="9">
        <f t="shared" si="10"/>
        <v>1489.3116729350647</v>
      </c>
      <c r="K25" s="9">
        <f t="shared" si="10"/>
        <v>1620.4564480519484</v>
      </c>
      <c r="L25" s="9">
        <f t="shared" si="10"/>
        <v>1751.6012231688314</v>
      </c>
      <c r="M25" s="9">
        <f t="shared" si="10"/>
        <v>1882.745998285714</v>
      </c>
      <c r="N25" s="9">
        <f t="shared" si="10"/>
        <v>2079.4631609610387</v>
      </c>
      <c r="O25" s="9">
        <f aca="true" t="shared" si="11" ref="O25:S25">((O24/2)*1.07)-9</f>
        <v>2145.035548519481</v>
      </c>
      <c r="P25" s="9">
        <f t="shared" si="11"/>
        <v>2210.607936077922</v>
      </c>
      <c r="Q25" s="9">
        <f t="shared" si="11"/>
        <v>2276.1803236363635</v>
      </c>
      <c r="R25" s="9">
        <f t="shared" si="11"/>
        <v>2341.7527111948057</v>
      </c>
      <c r="S25" s="9">
        <f t="shared" si="11"/>
        <v>2407.325098753247</v>
      </c>
    </row>
    <row r="26" spans="1:19" ht="15">
      <c r="A26" s="4" t="s">
        <v>5</v>
      </c>
      <c r="B26" s="16">
        <f>((((B22*0.00314)*0.5)*'Технический лист'!$I$4)+310+(((B23*0.00314)*0.5)*'Технический лист'!$I$5))*1.55</f>
        <v>1763.5467570129874</v>
      </c>
      <c r="C26" s="16">
        <f>((((C22*0.00314)*0.5)*'Технический лист'!$I$4)+310+(((C23*0.00314)*0.5)*'Технический лист'!$I$5))*1.55</f>
        <v>1861.427815714286</v>
      </c>
      <c r="D26" s="16">
        <f>((((D22*0.00314)*0.5)*'Технический лист'!$I$4)+310+(((D23*0.00314)*0.5)*'Технический лист'!$I$5))*1.55</f>
        <v>1910.3683450649353</v>
      </c>
      <c r="E26" s="16">
        <f>((((E22*0.00314)*0.5)*'Технический лист'!$I$4)+310+(((E23*0.00314)*0.5)*'Технический лист'!$I$5))*1.55</f>
        <v>1959.3088744155846</v>
      </c>
      <c r="F26" s="16">
        <f>((((F22*0.00314)*0.5)*'Технический лист'!$I$4)+310+(((F23*0.00314)*0.5)*'Технический лист'!$I$5))*1.55</f>
        <v>2008.249403766234</v>
      </c>
      <c r="G26" s="16">
        <f>((((G22*0.00314)*0.5)*'Технический лист'!$I$4)+310+(((G23*0.00314)*0.5)*'Технический лист'!$I$5))*1.55</f>
        <v>2057.1899331168834</v>
      </c>
      <c r="H26" s="16">
        <f>((((H22*0.00314)*0.5)*'Технический лист'!$I$4)+310+(((H23*0.00314)*0.5)*'Технический лист'!$I$5))*1.55</f>
        <v>2155.070991818182</v>
      </c>
      <c r="I26" s="16">
        <f>((((I22*0.00314)*0.5)*'Технический лист'!$I$4)+310+(((I23*0.00314)*0.5)*'Технический лист'!$I$5))*1.55</f>
        <v>2252.9520505194805</v>
      </c>
      <c r="J26" s="16">
        <f>((((J22*0.00314)*0.5)*'Технический лист'!$I$4)+310+(((J23*0.00314)*0.5)*'Технический лист'!$I$5))*1.55</f>
        <v>2350.833109220779</v>
      </c>
      <c r="K26" s="16">
        <f>((((K22*0.00314)*0.5)*'Технический лист'!$I$4)+310+(((K23*0.00314)*0.5)*'Технический лист'!$I$5))*1.55</f>
        <v>2546.595226623377</v>
      </c>
      <c r="L26" s="16">
        <f>((((L22*0.00314)*0.5)*'Технический лист'!$I$4)+310+(((L23*0.00314)*0.5)*'Технический лист'!$I$5))*1.55</f>
        <v>2742.3573440259743</v>
      </c>
      <c r="M26" s="16">
        <f>((((M22*0.00314)*0.5)*'Технический лист'!$I$4)+310+(((M23*0.00314)*0.5)*'Технический лист'!$I$5))*1.55</f>
        <v>2938.1194614285714</v>
      </c>
      <c r="N26" s="16">
        <f>((((N22*0.00314)*0.5)*'Технический лист'!$I$4)+310+(((N23*0.00314)*0.5)*'Технический лист'!$I$5))*1.55</f>
        <v>3231.762637532468</v>
      </c>
      <c r="O26" s="16">
        <f>((((O22*0.00314)*0.5)*'Технический лист'!$I$4)+310+(((O23*0.00314)*0.5)*'Технический лист'!$I$5))*1.55</f>
        <v>3329.643696233766</v>
      </c>
      <c r="P26" s="16">
        <f>((((P22*0.00314)*0.5)*'Технический лист'!$I$4)+310+(((P23*0.00314)*0.5)*'Технический лист'!$I$5))*1.55</f>
        <v>3427.524754935065</v>
      </c>
      <c r="Q26" s="16">
        <f>((((Q22*0.00314)*0.5)*'Технический лист'!$I$4)+310+(((Q23*0.00314)*0.5)*'Технический лист'!$I$5))*1.55</f>
        <v>3525.4058136363633</v>
      </c>
      <c r="R26" s="16">
        <f>((((R22*0.00314)*0.5)*'Технический лист'!$I$4)+310+(((R23*0.00314)*0.5)*'Технический лист'!$I$5))*1.55</f>
        <v>3623.2868723376623</v>
      </c>
      <c r="S26" s="16">
        <f>((((S22*0.00314)*0.5)*'Технический лист'!$I$4)+310+(((S23*0.00314)*0.5)*'Технический лист'!$I$5))*1.55</f>
        <v>3721.1679310389613</v>
      </c>
    </row>
    <row r="27" spans="1:19" ht="15">
      <c r="A27" s="4" t="s">
        <v>96</v>
      </c>
      <c r="B27" s="9">
        <f>((B26*2)/3)-7</f>
        <v>1168.6978380086582</v>
      </c>
      <c r="C27" s="9">
        <f aca="true" t="shared" si="12" ref="C27:N27">((C26*2)/3)-7</f>
        <v>1233.9518771428573</v>
      </c>
      <c r="D27" s="9">
        <f t="shared" si="12"/>
        <v>1266.5788967099568</v>
      </c>
      <c r="E27" s="9">
        <f t="shared" si="12"/>
        <v>1299.2059162770563</v>
      </c>
      <c r="F27" s="9">
        <f t="shared" si="12"/>
        <v>1331.832935844156</v>
      </c>
      <c r="G27" s="9">
        <f t="shared" si="12"/>
        <v>1364.4599554112556</v>
      </c>
      <c r="H27" s="9">
        <f t="shared" si="12"/>
        <v>1429.7139945454546</v>
      </c>
      <c r="I27" s="9">
        <f t="shared" si="12"/>
        <v>1494.9680336796537</v>
      </c>
      <c r="J27" s="9">
        <f t="shared" si="12"/>
        <v>1560.2220728138527</v>
      </c>
      <c r="K27" s="9">
        <f t="shared" si="12"/>
        <v>1690.7301510822515</v>
      </c>
      <c r="L27" s="9">
        <f t="shared" si="12"/>
        <v>1821.2382293506496</v>
      </c>
      <c r="M27" s="9">
        <f t="shared" si="12"/>
        <v>1951.7463076190477</v>
      </c>
      <c r="N27" s="9">
        <f t="shared" si="12"/>
        <v>2147.5084250216455</v>
      </c>
      <c r="O27" s="9">
        <f aca="true" t="shared" si="13" ref="O27:S27">((O26*2)/3)-7</f>
        <v>2212.762464155844</v>
      </c>
      <c r="P27" s="9">
        <f t="shared" si="13"/>
        <v>2278.0165032900436</v>
      </c>
      <c r="Q27" s="9">
        <f t="shared" si="13"/>
        <v>2343.270542424242</v>
      </c>
      <c r="R27" s="9">
        <f t="shared" si="13"/>
        <v>2408.5245815584417</v>
      </c>
      <c r="S27" s="9">
        <f t="shared" si="13"/>
        <v>2473.7786206926407</v>
      </c>
    </row>
    <row r="28" spans="1:19" ht="15">
      <c r="A28" s="4" t="s">
        <v>6</v>
      </c>
      <c r="B28" s="16">
        <f>((((B22*0.00314)*0.22)*'Технический лист'!$M$4)+100+(((B23*0.00314)*0.21)*'Технический лист'!$O$5)+(((B22+30)*(B22+30)/1000000)*'Технический лист'!$E$18))*1.6</f>
        <v>897.2783945142858</v>
      </c>
      <c r="C28" s="16">
        <f>((((C22*0.00314)*0.22)*'Технический лист'!$M$4)+100+(((C23*0.00314)*0.21)*'Технический лист'!$O$5)+(((C22+30)*(C22+30)/1000000)*'Технический лист'!$E$18))*1.6</f>
        <v>961.2887094857142</v>
      </c>
      <c r="D28" s="16">
        <f>((((D22*0.00314)*0.22)*'Технический лист'!$M$4)+100+(((D23*0.00314)*0.21)*'Технический лист'!$O$5)+(((D22+30)*(D22+30)/1000000)*'Технический лист'!$E$18))*1.6</f>
        <v>993.6778669714284</v>
      </c>
      <c r="E28" s="16">
        <f>((((E22*0.00314)*0.22)*'Технический лист'!$M$4)+100+(((E23*0.00314)*0.21)*'Технический лист'!$O$5)+(((E22+30)*(E22+30)/1000000)*'Технический лист'!$E$18))*1.6</f>
        <v>1026.323024457143</v>
      </c>
      <c r="F28" s="16">
        <f>((((F22*0.00314)*0.22)*'Технический лист'!$M$4)+100+(((F23*0.00314)*0.21)*'Технический лист'!$O$5)+(((F22+30)*(F22+30)/1000000)*'Технический лист'!$E$18))*1.6</f>
        <v>1059.224181942857</v>
      </c>
      <c r="G28" s="16">
        <f>((((G22*0.00314)*0.22)*'Технический лист'!$M$4)+100+(((G23*0.00314)*0.21)*'Технический лист'!$O$5)+(((G22+30)*(G22+30)/1000000)*'Технический лист'!$E$18))*1.6</f>
        <v>1092.3813394285714</v>
      </c>
      <c r="H28" s="16">
        <f>((((H22*0.00314)*0.22)*'Технический лист'!$M$4)+100+(((H23*0.00314)*0.21)*'Технический лист'!$O$5)+(((H22+30)*(H22+30)/1000000)*'Технический лист'!$E$18))*1.6</f>
        <v>1159.4636544000002</v>
      </c>
      <c r="I28" s="16">
        <f>((((I22*0.00314)*0.22)*'Технический лист'!$M$4)+100+(((I23*0.00314)*0.21)*'Технический лист'!$O$5)+(((I22+30)*(I22+30)/1000000)*'Технический лист'!$E$18))*1.6</f>
        <v>1227.5699693714284</v>
      </c>
      <c r="J28" s="16">
        <f>((((J22*0.00314)*0.22)*'Технический лист'!$M$4)+100+(((J23*0.00314)*0.21)*'Технический лист'!$O$5)+(((J22+30)*(J22+30)/1000000)*'Технический лист'!$E$18))*1.6</f>
        <v>1296.7002843428572</v>
      </c>
      <c r="K28" s="16">
        <f>((((K22*0.00314)*0.22)*'Технический лист'!$M$4)+100+(((K23*0.00314)*0.21)*'Технический лист'!$O$5)+(((K22+30)*(K22+30)/1000000)*'Технический лист'!$E$18))*1.6</f>
        <v>1438.0329142857145</v>
      </c>
      <c r="L28" s="16">
        <f>((((L22*0.00314)*0.22)*'Технический лист'!$M$4)+100+(((L23*0.00314)*0.21)*'Технический лист'!$O$5)+(((L22+30)*(L22+30)/1000000)*'Технический лист'!$E$18))*1.6</f>
        <v>1583.4615442285715</v>
      </c>
      <c r="M28" s="16">
        <f>((((M22*0.00314)*0.22)*'Технический лист'!$M$4)+100+(((M23*0.00314)*0.21)*'Технический лист'!$O$5)+(((M22+30)*(M22+30)/1000000)*'Технический лист'!$E$18))*1.6</f>
        <v>1732.9861741714285</v>
      </c>
      <c r="N28" s="16">
        <f>((((N22*0.00314)*0.22)*'Технический лист'!$M$4)+100+(((N23*0.00314)*0.21)*'Технический лист'!$O$5)+(((N22+30)*(N22+30)/1000000)*'Технический лист'!$E$18))*1.6</f>
        <v>1964.9531190857147</v>
      </c>
      <c r="O28" s="16">
        <f>((((O22*0.00314)*0.22)*'Технический лист'!$M$4)+100+(((O23*0.00314)*0.21)*'Технический лист'!$O$5)+(((O22+30)*(O22+30)/1000000)*'Технический лист'!$E$18))*1.6</f>
        <v>2044.3234340571428</v>
      </c>
      <c r="P28" s="16">
        <f>((((P22*0.00314)*0.22)*'Технический лист'!$M$4)+100+(((P23*0.00314)*0.21)*'Технический лист'!$O$5)+(((P22+30)*(P22+30)/1000000)*'Технический лист'!$E$18))*1.6</f>
        <v>2124.7177490285717</v>
      </c>
      <c r="Q28" s="16">
        <f>((((Q22*0.00314)*0.22)*'Технический лист'!$M$4)+100+(((Q23*0.00314)*0.21)*'Технический лист'!$O$5)+(((Q22+30)*(Q22+30)/1000000)*'Технический лист'!$E$18))*1.6</f>
        <v>2206.136064</v>
      </c>
      <c r="R28" s="16">
        <f>((((R22*0.00314)*0.22)*'Технический лист'!$M$4)+100+(((R23*0.00314)*0.21)*'Технический лист'!$O$5)+(((R22+30)*(R22+30)/1000000)*'Технический лист'!$E$18))*1.6</f>
        <v>2288.5783789714287</v>
      </c>
      <c r="S28" s="16">
        <f>((((S22*0.00314)*0.22)*'Технический лист'!$M$4)+100+(((S23*0.00314)*0.21)*'Технический лист'!$O$5)+(((S22+30)*(S22+30)/1000000)*'Технический лист'!$E$18))*1.6</f>
        <v>2372.044693942857</v>
      </c>
    </row>
    <row r="29" spans="1:19" ht="15">
      <c r="A29" s="4" t="s">
        <v>7</v>
      </c>
      <c r="B29" s="9">
        <f>(B28*2.2)+24</f>
        <v>1998.0124679314288</v>
      </c>
      <c r="C29" s="9">
        <f aca="true" t="shared" si="14" ref="C29:N29">(C28*2.2)+24</f>
        <v>2138.8351608685716</v>
      </c>
      <c r="D29" s="9">
        <f t="shared" si="14"/>
        <v>2210.0913073371426</v>
      </c>
      <c r="E29" s="9">
        <f t="shared" si="14"/>
        <v>2281.910653805715</v>
      </c>
      <c r="F29" s="9">
        <f t="shared" si="14"/>
        <v>2354.293200274286</v>
      </c>
      <c r="G29" s="9">
        <f t="shared" si="14"/>
        <v>2427.2389467428575</v>
      </c>
      <c r="H29" s="9">
        <f t="shared" si="14"/>
        <v>2574.8200396800007</v>
      </c>
      <c r="I29" s="9">
        <f t="shared" si="14"/>
        <v>2724.653932617143</v>
      </c>
      <c r="J29" s="9">
        <f t="shared" si="14"/>
        <v>2876.740625554286</v>
      </c>
      <c r="K29" s="9">
        <f t="shared" si="14"/>
        <v>3187.672411428572</v>
      </c>
      <c r="L29" s="9">
        <f t="shared" si="14"/>
        <v>3507.6153973028577</v>
      </c>
      <c r="M29" s="9">
        <f t="shared" si="14"/>
        <v>3836.569583177143</v>
      </c>
      <c r="N29" s="9">
        <f t="shared" si="14"/>
        <v>4346.896861988573</v>
      </c>
      <c r="O29" s="9">
        <f aca="true" t="shared" si="15" ref="O29:S29">(O28*2.2)+24</f>
        <v>4521.511554925714</v>
      </c>
      <c r="P29" s="9">
        <f t="shared" si="15"/>
        <v>4698.379047862858</v>
      </c>
      <c r="Q29" s="9">
        <f t="shared" si="15"/>
        <v>4877.4993408</v>
      </c>
      <c r="R29" s="9">
        <f t="shared" si="15"/>
        <v>5058.872433737143</v>
      </c>
      <c r="S29" s="9">
        <f t="shared" si="15"/>
        <v>5242.498326674286</v>
      </c>
    </row>
    <row r="30" spans="1:19" ht="15">
      <c r="A30" s="4" t="s">
        <v>8</v>
      </c>
      <c r="B30" s="16">
        <f>((((B22*0.00314)*0.2)*'Технический лист'!$M$4)+50+(((B23*0.00314)*0.22)*'Технический лист'!$O$5))*1.6</f>
        <v>721.680730431169</v>
      </c>
      <c r="C30" s="16">
        <f>((((C22*0.00314)*0.2)*'Технический лист'!$M$4)+50+(((C23*0.00314)*0.22)*'Технический лист'!$O$5))*1.6</f>
        <v>770.2510921142858</v>
      </c>
      <c r="D30" s="16">
        <f>((((D22*0.00314)*0.2)*'Технический лист'!$M$4)+50+(((D23*0.00314)*0.22)*'Технический лист'!$O$5))*1.6</f>
        <v>794.5362729558442</v>
      </c>
      <c r="E30" s="16">
        <f>((((E22*0.00314)*0.2)*'Технический лист'!$M$4)+50+(((E23*0.00314)*0.22)*'Технический лист'!$O$5))*1.6</f>
        <v>818.8214537974027</v>
      </c>
      <c r="F30" s="16">
        <f>((((F22*0.00314)*0.2)*'Технический лист'!$M$4)+50+(((F23*0.00314)*0.22)*'Технический лист'!$O$5))*1.6</f>
        <v>843.1066346389612</v>
      </c>
      <c r="G30" s="16">
        <f>((((G22*0.00314)*0.2)*'Технический лист'!$M$4)+50+(((G23*0.00314)*0.22)*'Технический лист'!$O$5))*1.6</f>
        <v>867.3918154805197</v>
      </c>
      <c r="H30" s="16">
        <f>((((H22*0.00314)*0.2)*'Технический лист'!$M$4)+50+(((H23*0.00314)*0.22)*'Технический лист'!$O$5))*1.6</f>
        <v>915.9621771636365</v>
      </c>
      <c r="I30" s="16">
        <f>((((I22*0.00314)*0.2)*'Технический лист'!$M$4)+50+(((I23*0.00314)*0.22)*'Технический лист'!$O$5))*1.6</f>
        <v>964.5325388467533</v>
      </c>
      <c r="J30" s="16">
        <f>((((J22*0.00314)*0.2)*'Технический лист'!$M$4)+50+(((J23*0.00314)*0.22)*'Технический лист'!$O$5))*1.6</f>
        <v>1013.1029005298701</v>
      </c>
      <c r="K30" s="16">
        <f>((((K22*0.00314)*0.2)*'Технический лист'!$M$4)+50+(((K23*0.00314)*0.22)*'Технический лист'!$O$5))*1.6</f>
        <v>1110.243623896104</v>
      </c>
      <c r="L30" s="16">
        <f>((((L22*0.00314)*0.2)*'Технический лист'!$M$4)+50+(((L23*0.00314)*0.22)*'Технический лист'!$O$5))*1.6</f>
        <v>1207.3843472623378</v>
      </c>
      <c r="M30" s="16">
        <f>((((M22*0.00314)*0.2)*'Технический лист'!$M$4)+50+(((M23*0.00314)*0.22)*'Технический лист'!$O$5))*1.6</f>
        <v>1304.5250706285715</v>
      </c>
      <c r="N30" s="16">
        <f>((((N22*0.00314)*0.2)*'Технический лист'!$M$4)+50+(((N23*0.00314)*0.22)*'Технический лист'!$O$5))*1.6</f>
        <v>1450.2361556779224</v>
      </c>
      <c r="O30" s="16">
        <f>((((O22*0.00314)*0.2)*'Технический лист'!$M$4)+50+(((O23*0.00314)*0.22)*'Технический лист'!$O$5))*1.6</f>
        <v>1498.8065173610391</v>
      </c>
      <c r="P30" s="16">
        <f>((((P22*0.00314)*0.2)*'Технический лист'!$M$4)+50+(((P23*0.00314)*0.22)*'Технический лист'!$O$5))*1.6</f>
        <v>1547.3768790441563</v>
      </c>
      <c r="Q30" s="16">
        <f>((((Q22*0.00314)*0.2)*'Технический лист'!$M$4)+50+(((Q23*0.00314)*0.22)*'Технический лист'!$O$5))*1.6</f>
        <v>1595.9472407272726</v>
      </c>
      <c r="R30" s="16">
        <f>((((R22*0.00314)*0.2)*'Технический лист'!$M$4)+50+(((R23*0.00314)*0.22)*'Технический лист'!$O$5))*1.6</f>
        <v>1644.5176024103898</v>
      </c>
      <c r="S30" s="16">
        <f>((((S22*0.00314)*0.2)*'Технический лист'!$M$4)+50+(((S23*0.00314)*0.22)*'Технический лист'!$O$5))*1.6</f>
        <v>1693.0879640935066</v>
      </c>
    </row>
    <row r="31" spans="1:19" ht="15">
      <c r="A31" s="4" t="s">
        <v>99</v>
      </c>
      <c r="B31" s="16">
        <v>3070</v>
      </c>
      <c r="C31" s="16">
        <v>3285</v>
      </c>
      <c r="D31" s="16">
        <v>3395</v>
      </c>
      <c r="E31" s="16">
        <v>3505</v>
      </c>
      <c r="F31" s="16">
        <v>3615</v>
      </c>
      <c r="G31" s="16">
        <v>3730</v>
      </c>
      <c r="H31" s="16">
        <v>3965</v>
      </c>
      <c r="I31" s="16">
        <v>4200</v>
      </c>
      <c r="J31" s="16">
        <v>4445</v>
      </c>
      <c r="K31" s="16">
        <v>4945</v>
      </c>
      <c r="L31" s="16">
        <v>5470</v>
      </c>
      <c r="M31" s="16">
        <v>6020</v>
      </c>
      <c r="N31" s="16">
        <v>6880</v>
      </c>
      <c r="O31" s="16">
        <v>7180</v>
      </c>
      <c r="P31" s="16">
        <v>7485</v>
      </c>
      <c r="Q31" s="16">
        <v>7795</v>
      </c>
      <c r="R31" s="16">
        <v>8110</v>
      </c>
      <c r="S31" s="16">
        <v>8430</v>
      </c>
    </row>
    <row r="32" spans="1:19" ht="15">
      <c r="A32" s="4" t="s">
        <v>102</v>
      </c>
      <c r="B32" s="16">
        <v>3070</v>
      </c>
      <c r="C32" s="16">
        <v>3285</v>
      </c>
      <c r="D32" s="16">
        <v>3395</v>
      </c>
      <c r="E32" s="16">
        <v>3505</v>
      </c>
      <c r="F32" s="16">
        <v>3615</v>
      </c>
      <c r="G32" s="16">
        <v>3730</v>
      </c>
      <c r="H32" s="16">
        <v>3965</v>
      </c>
      <c r="I32" s="16">
        <v>4200</v>
      </c>
      <c r="J32" s="16">
        <v>4445</v>
      </c>
      <c r="K32" s="16">
        <v>4945</v>
      </c>
      <c r="L32" s="16">
        <v>5470</v>
      </c>
      <c r="M32" s="16">
        <v>6020</v>
      </c>
      <c r="N32" s="16">
        <v>6880</v>
      </c>
      <c r="O32" s="16">
        <v>7180</v>
      </c>
      <c r="P32" s="16">
        <v>7485</v>
      </c>
      <c r="Q32" s="16">
        <v>7795</v>
      </c>
      <c r="R32" s="16">
        <v>8110</v>
      </c>
      <c r="S32" s="16">
        <v>8430</v>
      </c>
    </row>
    <row r="33" spans="1:19" ht="13.5" customHeight="1">
      <c r="A33" s="4" t="s">
        <v>9</v>
      </c>
      <c r="B33" s="9">
        <f>((((B22*0.00314)*((B22+545)/1000))*'Технический лист'!$K$4)+370+((B23*0.00314)*((B23+450)/1000))*'Технический лист'!$K$5)*1.6</f>
        <v>2390.10707308052</v>
      </c>
      <c r="C33" s="9">
        <f>((((C22*0.00314)*((C22+545)/1000))*'Технический лист'!$K$4)+370+((C23*0.00314)*((C23+450)/1000))*'Технический лист'!$K$5)*1.6</f>
        <v>2557.740695314286</v>
      </c>
      <c r="D33" s="9">
        <f>((((D22*0.00314)*((D22+545)/1000))*'Технический лист'!$K$4)+370+((D23*0.00314)*((D23+450)/1000))*'Технический лист'!$K$5)*1.6</f>
        <v>2643.178588114286</v>
      </c>
      <c r="E33" s="9">
        <f>((((E22*0.00314)*((E22+545)/1000))*'Технический лист'!$K$4)+370+((E23*0.00314)*((E23+450)/1000))*'Технический лист'!$K$5)*1.6</f>
        <v>2729.697202036364</v>
      </c>
      <c r="F33" s="9">
        <f>((((F22*0.00314)*((F22+545)/1000))*'Технический лист'!$K$4)+370+((F23*0.00314)*((F23+450)/1000))*'Технический лист'!$K$5)*1.6</f>
        <v>2817.2965370805196</v>
      </c>
      <c r="G33" s="9">
        <f>((((G22*0.00314)*((G22+545)/1000))*'Технический лист'!$K$4)+370+((G23*0.00314)*((G23+450)/1000))*'Технический лист'!$K$5)*1.6</f>
        <v>2905.9765932467535</v>
      </c>
      <c r="H33" s="9">
        <f>((((H22*0.00314)*((H22+545)/1000))*'Технический лист'!$K$4)+370+((H23*0.00314)*((H23+450)/1000))*'Технический лист'!$K$5)*1.6</f>
        <v>3086.578868945455</v>
      </c>
      <c r="I33" s="9">
        <f>((((I22*0.00314)*((I22+545)/1000))*'Технический лист'!$K$4)+370+((I23*0.00314)*((I23+450)/1000))*'Технический лист'!$K$5)*1.6</f>
        <v>3271.5040291324676</v>
      </c>
      <c r="J33" s="9">
        <f>((((J22*0.00314)*((J22+545)/1000))*'Технический лист'!$K$4)+370+((J23*0.00314)*((J23+450)/1000))*'Технический лист'!$K$5)*1.6</f>
        <v>3460.752073807793</v>
      </c>
      <c r="K33" s="9">
        <f>((((K22*0.00314)*((K22+545)/1000))*'Технический лист'!$K$4)+370+((K23*0.00314)*((K23+450)/1000))*'Технический лист'!$K$5)*1.6</f>
        <v>3852.216816623377</v>
      </c>
      <c r="L33" s="9">
        <f>((((L22*0.00314)*((L22+545)/1000))*'Технический лист'!$K$4)+370+((L23*0.00314)*((L23+450)/1000))*'Технический лист'!$K$5)*1.6</f>
        <v>4260.973097392208</v>
      </c>
      <c r="M33" s="9">
        <f>((((M22*0.00314)*((M22+545)/1000))*'Технический лист'!$K$4)+370+((M23*0.00314)*((M23+450)/1000))*'Технический лист'!$K$5)*1.6</f>
        <v>4687.020916114287</v>
      </c>
      <c r="N33" s="9">
        <f>((((N22*0.00314)*((N22+545)/1000))*'Технический лист'!$K$4)+370+((N23*0.00314)*((N23+450)/1000))*'Технический лист'!$K$5)*1.6</f>
        <v>5358.514277859741</v>
      </c>
      <c r="O33" s="9">
        <f>((((O22*0.00314)*((O22+545)/1000))*'Технический лист'!$K$4)+370+((O23*0.00314)*((O23+450)/1000))*'Технический лист'!$K$5)*1.6</f>
        <v>5590.991167418182</v>
      </c>
      <c r="P33" s="9">
        <f>((((P22*0.00314)*((P22+545)/1000))*'Технический лист'!$K$4)+370+((P23*0.00314)*((P23+450)/1000))*'Технический лист'!$K$5)*1.6</f>
        <v>5827.790941464937</v>
      </c>
      <c r="Q33" s="9">
        <f>((((Q22*0.00314)*((Q22+545)/1000))*'Технический лист'!$K$4)+370+((Q23*0.00314)*((Q23+450)/1000))*'Технический лист'!$K$5)*1.6</f>
        <v>6068.9136</v>
      </c>
      <c r="R33" s="9">
        <f>((((R22*0.00314)*((R22+545)/1000))*'Технический лист'!$K$4)+370+((R23*0.00314)*((R23+450)/1000))*'Технический лист'!$K$5)*1.6</f>
        <v>6314.359143023377</v>
      </c>
      <c r="S33" s="9">
        <f>((((S22*0.00314)*((S22+545)/1000))*'Технический лист'!$K$4)+370+((S23*0.00314)*((S23+450)/1000))*'Технический лист'!$K$5)*1.6</f>
        <v>6564.127570535065</v>
      </c>
    </row>
    <row r="34" spans="1:19" ht="3.75" customHeight="1" hidden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M35" sqref="M35:S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лист'!$G$7)+310+((B7*0.00314)*'Технический лист'!$G$11))*1.5</f>
        <v>1400.6101</v>
      </c>
      <c r="C8" s="16">
        <f>(((C6*0.00314)*'Технический лист'!$G$7)+310+((C7*0.00314)*'Технический лист'!$G$11))*1.5</f>
        <v>1482.51072</v>
      </c>
      <c r="D8" s="16">
        <f>(((D6*0.00314)*'Технический лист'!$G$7)+310+((D7*0.00314)*'Технический лист'!$G$11))*1.5</f>
        <v>1523.46103</v>
      </c>
      <c r="E8" s="16">
        <f>(((E6*0.00314)*'Технический лист'!$G$7)+310+((E7*0.00314)*'Технический лист'!$G$11))*1.5</f>
        <v>1564.41134</v>
      </c>
      <c r="F8" s="16">
        <f>(((F6*0.00314)*'Технический лист'!$G$7)+310+((F7*0.00314)*'Технический лист'!$G$11))*1.5</f>
        <v>1605.3616499999998</v>
      </c>
      <c r="G8" s="16">
        <f>(((G6*0.00314)*'Технический лист'!$G$7)+310+((G7*0.00314)*'Технический лист'!$G$11))*1.5</f>
        <v>1646.31196</v>
      </c>
      <c r="H8" s="16">
        <f>(((H6*0.00314)*'Технический лист'!$G$7)+310+((H7*0.00314)*'Технический лист'!$G$11))*1.5</f>
        <v>1728.2125800000001</v>
      </c>
      <c r="I8" s="16">
        <f>(((I6*0.00314)*'Технический лист'!$G$7)+310+((I7*0.00314)*'Технический лист'!$G$11))*1.5</f>
        <v>1810.1132000000002</v>
      </c>
      <c r="J8" s="16">
        <f>(((J6*0.00314)*'Технический лист'!$G$7)+310+((J7*0.00314)*'Технический лист'!$G$11))*1.5</f>
        <v>1892.0138200000001</v>
      </c>
      <c r="K8" s="16">
        <f>(((K6*0.00314)*'Технический лист'!$G$7)+310+((K7*0.00314)*'Технический лист'!$G$11))*1.5</f>
        <v>2055.81506</v>
      </c>
      <c r="L8" s="16">
        <f>(((L6*0.00314)*'Технический лист'!$G$7)+310+((L7*0.00314)*'Технический лист'!$G$11))*1.5</f>
        <v>2219.6163</v>
      </c>
      <c r="M8" s="16">
        <f>(((M6*0.00314)*'Технический лист'!$G$7)+310+((M7*0.00314)*'Технический лист'!$G$11))*1.5</f>
        <v>2383.4175400000004</v>
      </c>
      <c r="N8" s="16">
        <f>(((N6*0.00314)*'Технический лист'!$G$7)+310+((N7*0.00314)*'Технический лист'!$G$11))*1.5</f>
        <v>2629.1193999999996</v>
      </c>
      <c r="O8" s="16">
        <f>(((O6*0.00314)*'Технический лист'!$G$7)+310+((O7*0.00314)*'Технический лист'!$G$11))*1.5</f>
        <v>2711.02002</v>
      </c>
      <c r="P8" s="16">
        <f>(((P6*0.00314)*'Технический лист'!$G$7)+310+((P7*0.00314)*'Технический лист'!$G$11))*1.5</f>
        <v>2792.92064</v>
      </c>
      <c r="Q8" s="16">
        <f>(((Q6*0.00314)*'Технический лист'!$G$7)+310+((Q7*0.00314)*'Технический лист'!$G$11))*1.5</f>
        <v>2874.82126</v>
      </c>
      <c r="R8" s="16">
        <f>(((R6*0.00314)*'Технический лист'!$G$7)+310+((R7*0.00314)*'Технический лист'!$G$11))*1.5</f>
        <v>2956.72188</v>
      </c>
      <c r="S8" s="16">
        <f>(((S6*0.00314)*'Технический лист'!$G$7)+310+((S7*0.00314)*'Технический лист'!$G$11))*1.5</f>
        <v>3038.6225000000004</v>
      </c>
    </row>
    <row r="9" spans="1:19" ht="15">
      <c r="A9" s="4" t="s">
        <v>3</v>
      </c>
      <c r="B9" s="9">
        <f>((B8/2)*1.07)-10</f>
        <v>739.3264035000001</v>
      </c>
      <c r="C9" s="9">
        <f aca="true" t="shared" si="2" ref="C9:N9">((C8/2)*1.07)-10</f>
        <v>783.1432352</v>
      </c>
      <c r="D9" s="9">
        <f t="shared" si="2"/>
        <v>805.05165105</v>
      </c>
      <c r="E9" s="9">
        <f t="shared" si="2"/>
        <v>826.9600669000001</v>
      </c>
      <c r="F9" s="9">
        <f t="shared" si="2"/>
        <v>848.86848275</v>
      </c>
      <c r="G9" s="9">
        <f t="shared" si="2"/>
        <v>870.7768986000001</v>
      </c>
      <c r="H9" s="9">
        <f t="shared" si="2"/>
        <v>914.5937303000001</v>
      </c>
      <c r="I9" s="9">
        <f t="shared" si="2"/>
        <v>958.4105620000001</v>
      </c>
      <c r="J9" s="9">
        <f t="shared" si="2"/>
        <v>1002.2273937000001</v>
      </c>
      <c r="K9" s="9">
        <f t="shared" si="2"/>
        <v>1089.8610571</v>
      </c>
      <c r="L9" s="9">
        <f t="shared" si="2"/>
        <v>1177.4947205</v>
      </c>
      <c r="M9" s="9">
        <f t="shared" si="2"/>
        <v>1265.1283839000002</v>
      </c>
      <c r="N9" s="9">
        <f t="shared" si="2"/>
        <v>1396.578879</v>
      </c>
      <c r="O9" s="9">
        <f aca="true" t="shared" si="3" ref="O9:S9">((O8/2)*1.07)-10</f>
        <v>1440.3957107</v>
      </c>
      <c r="P9" s="9">
        <f t="shared" si="3"/>
        <v>1484.2125424</v>
      </c>
      <c r="Q9" s="9">
        <f t="shared" si="3"/>
        <v>1528.0293741000003</v>
      </c>
      <c r="R9" s="9">
        <f t="shared" si="3"/>
        <v>1571.8462058000002</v>
      </c>
      <c r="S9" s="9">
        <f t="shared" si="3"/>
        <v>1615.6630375000002</v>
      </c>
    </row>
    <row r="10" spans="1:19" ht="15">
      <c r="A10" s="4" t="s">
        <v>5</v>
      </c>
      <c r="B10" s="16">
        <f>((((B6*0.00314)*0.5)*'Технический лист'!$I$7)+310+(((B7*0.00314)*0.5)*'Технический лист'!$I$11))*1.55</f>
        <v>1261.3939266666666</v>
      </c>
      <c r="C10" s="16">
        <f>((((C6*0.00314)*0.5)*'Технический лист'!$I$7)+310+(((C7*0.00314)*0.5)*'Технический лист'!$I$11))*1.55</f>
        <v>1327.922572</v>
      </c>
      <c r="D10" s="16">
        <f>((((D6*0.00314)*0.5)*'Технический лист'!$I$7)+310+(((D7*0.00314)*0.5)*'Технический лист'!$I$11))*1.55</f>
        <v>1361.1868946666666</v>
      </c>
      <c r="E10" s="16">
        <f>((((E6*0.00314)*0.5)*'Технический лист'!$I$7)+310+(((E7*0.00314)*0.5)*'Технический лист'!$I$11))*1.55</f>
        <v>1394.4512173333333</v>
      </c>
      <c r="F10" s="16">
        <f>((((F6*0.00314)*0.5)*'Технический лист'!$I$7)+310+(((F7*0.00314)*0.5)*'Технический лист'!$I$11))*1.55</f>
        <v>1427.71554</v>
      </c>
      <c r="G10" s="16">
        <f>((((G6*0.00314)*0.5)*'Технический лист'!$I$7)+310+(((G7*0.00314)*0.5)*'Технический лист'!$I$11))*1.55</f>
        <v>1460.9798626666666</v>
      </c>
      <c r="H10" s="16">
        <f>((((H6*0.00314)*0.5)*'Технический лист'!$I$7)+310+(((H7*0.00314)*0.5)*'Технический лист'!$I$11))*1.55</f>
        <v>1527.508508</v>
      </c>
      <c r="I10" s="16">
        <f>((((I6*0.00314)*0.5)*'Технический лист'!$I$7)+310+(((I7*0.00314)*0.5)*'Технический лист'!$I$11))*1.55</f>
        <v>1594.0371533333332</v>
      </c>
      <c r="J10" s="16">
        <f>((((J6*0.00314)*0.5)*'Технический лист'!$I$7)+310+(((J7*0.00314)*0.5)*'Технический лист'!$I$11))*1.55</f>
        <v>1660.5657986666668</v>
      </c>
      <c r="K10" s="16">
        <f>((((K6*0.00314)*0.5)*'Технический лист'!$I$7)+310+(((K7*0.00314)*0.5)*'Технический лист'!$I$11))*1.55</f>
        <v>1793.6230893333332</v>
      </c>
      <c r="L10" s="16">
        <f>((((L6*0.00314)*0.5)*'Технический лист'!$I$7)+310+(((L7*0.00314)*0.5)*'Технический лист'!$I$11))*1.55</f>
        <v>1926.6803799999998</v>
      </c>
      <c r="M10" s="16">
        <f>((((M6*0.00314)*0.5)*'Технический лист'!$I$7)+310+(((M7*0.00314)*0.5)*'Технический лист'!$I$11))*1.55</f>
        <v>2059.7376706666664</v>
      </c>
      <c r="N10" s="16">
        <f>((((N6*0.00314)*0.5)*'Технический лист'!$I$7)+310+(((N7*0.00314)*0.5)*'Технический лист'!$I$11))*1.55</f>
        <v>2259.3236066666664</v>
      </c>
      <c r="O10" s="16">
        <f>((((O6*0.00314)*0.5)*'Технический лист'!$I$7)+310+(((O7*0.00314)*0.5)*'Технический лист'!$I$11))*1.55</f>
        <v>2325.852252</v>
      </c>
      <c r="P10" s="16">
        <f>((((P6*0.00314)*0.5)*'Технический лист'!$I$7)+310+(((P7*0.00314)*0.5)*'Технический лист'!$I$11))*1.55</f>
        <v>2392.380897333333</v>
      </c>
      <c r="Q10" s="16">
        <f>((((Q6*0.00314)*0.5)*'Технический лист'!$I$7)+310+(((Q7*0.00314)*0.5)*'Технический лист'!$I$11))*1.55</f>
        <v>2458.9095426666663</v>
      </c>
      <c r="R10" s="16">
        <f>((((R6*0.00314)*0.5)*'Технический лист'!$I$7)+310+(((R7*0.00314)*0.5)*'Технический лист'!$I$11))*1.55</f>
        <v>2525.438188</v>
      </c>
      <c r="S10" s="16">
        <f>((((S6*0.00314)*0.5)*'Технический лист'!$I$7)+310+(((S7*0.00314)*0.5)*'Технический лист'!$I$11))*1.55</f>
        <v>2591.966833333333</v>
      </c>
    </row>
    <row r="11" spans="1:19" ht="15">
      <c r="A11" s="4" t="s">
        <v>96</v>
      </c>
      <c r="B11" s="9">
        <f>((B10*2)/3)-6</f>
        <v>834.9292844444444</v>
      </c>
      <c r="C11" s="9">
        <f aca="true" t="shared" si="4" ref="C11:N11">((C10*2)/3)-6</f>
        <v>879.2817146666666</v>
      </c>
      <c r="D11" s="9">
        <f t="shared" si="4"/>
        <v>901.4579297777777</v>
      </c>
      <c r="E11" s="9">
        <f t="shared" si="4"/>
        <v>923.6341448888888</v>
      </c>
      <c r="F11" s="9">
        <f t="shared" si="4"/>
        <v>945.81036</v>
      </c>
      <c r="G11" s="9">
        <f t="shared" si="4"/>
        <v>967.986575111111</v>
      </c>
      <c r="H11" s="9">
        <f t="shared" si="4"/>
        <v>1012.3390053333333</v>
      </c>
      <c r="I11" s="9">
        <f t="shared" si="4"/>
        <v>1056.6914355555555</v>
      </c>
      <c r="J11" s="9">
        <f t="shared" si="4"/>
        <v>1101.043865777778</v>
      </c>
      <c r="K11" s="9">
        <f t="shared" si="4"/>
        <v>1189.748726222222</v>
      </c>
      <c r="L11" s="9">
        <f t="shared" si="4"/>
        <v>1278.4535866666665</v>
      </c>
      <c r="M11" s="9">
        <f t="shared" si="4"/>
        <v>1367.158447111111</v>
      </c>
      <c r="N11" s="9">
        <f t="shared" si="4"/>
        <v>1500.2157377777776</v>
      </c>
      <c r="O11" s="9">
        <f aca="true" t="shared" si="5" ref="O11:S11">((O10*2)/3)-6</f>
        <v>1544.568168</v>
      </c>
      <c r="P11" s="9">
        <f t="shared" si="5"/>
        <v>1588.920598222222</v>
      </c>
      <c r="Q11" s="9">
        <f t="shared" si="5"/>
        <v>1633.2730284444442</v>
      </c>
      <c r="R11" s="9">
        <f t="shared" si="5"/>
        <v>1677.6254586666666</v>
      </c>
      <c r="S11" s="9">
        <f t="shared" si="5"/>
        <v>1721.9778888888886</v>
      </c>
    </row>
    <row r="12" spans="1:19" ht="15">
      <c r="A12" s="4" t="s">
        <v>6</v>
      </c>
      <c r="B12" s="16">
        <f>((((B6*0.00314)*0.22)*'Технический лист'!$M$7)+100+(((B7*0.00314)*0.21)*'Технический лист'!$O$11)+(((B6+30)*(B6+30)/1000000)*'Технический лист'!$E$20))*1.6</f>
        <v>736.3103872</v>
      </c>
      <c r="C12" s="16">
        <f>((((C6*0.00314)*0.22)*'Технический лист'!$M$7)+100+(((C7*0.00314)*0.21)*'Технический лист'!$O$11)+(((C6+30)*(C6+30)/1000000)*'Технический лист'!$E$20))*1.6</f>
        <v>792.4391705600001</v>
      </c>
      <c r="D12" s="16">
        <f>((((D6*0.00314)*0.22)*'Технический лист'!$M$7)+100+(((D7*0.00314)*0.21)*'Технический лист'!$O$11)+(((D6+30)*(D6+30)/1000000)*'Технический лист'!$E$20))*1.6</f>
        <v>820.9835622400001</v>
      </c>
      <c r="E12" s="16">
        <f>((((E6*0.00314)*0.22)*'Технический лист'!$M$7)+100+(((E7*0.00314)*0.21)*'Технический лист'!$O$11)+(((E6+30)*(E6+30)/1000000)*'Технический лист'!$E$20))*1.6</f>
        <v>849.8479539200002</v>
      </c>
      <c r="F12" s="16">
        <f>((((F6*0.00314)*0.22)*'Технический лист'!$M$7)+100+(((F7*0.00314)*0.21)*'Технический лист'!$O$11)+(((F6+30)*(F6+30)/1000000)*'Технический лист'!$E$20))*1.6</f>
        <v>879.0323456000001</v>
      </c>
      <c r="G12" s="16">
        <f>((((G6*0.00314)*0.22)*'Технический лист'!$M$7)+100+(((G7*0.00314)*0.21)*'Технический лист'!$O$11)+(((G6+30)*(G6+30)/1000000)*'Технический лист'!$E$20))*1.6</f>
        <v>908.53673728</v>
      </c>
      <c r="H12" s="16">
        <f>((((H6*0.00314)*0.22)*'Технический лист'!$M$7)+100+(((H7*0.00314)*0.21)*'Технический лист'!$O$11)+(((H6+30)*(H6+30)/1000000)*'Технический лист'!$E$20))*1.6</f>
        <v>968.5055206400001</v>
      </c>
      <c r="I12" s="16">
        <f>((((I6*0.00314)*0.22)*'Технический лист'!$M$7)+100+(((I7*0.00314)*0.21)*'Технический лист'!$O$11)+(((I6+30)*(I6+30)/1000000)*'Технический лист'!$E$20))*1.6</f>
        <v>1029.7543039999998</v>
      </c>
      <c r="J12" s="16">
        <f>((((J6*0.00314)*0.22)*'Технический лист'!$M$7)+100+(((J7*0.00314)*0.21)*'Технический лист'!$O$11)+(((J6+30)*(J6+30)/1000000)*'Технический лист'!$E$20))*1.6</f>
        <v>1092.2830873599999</v>
      </c>
      <c r="K12" s="16">
        <f>((((K6*0.00314)*0.22)*'Технический лист'!$M$7)+100+(((K7*0.00314)*0.21)*'Технический лист'!$O$11)+(((K6+30)*(K6+30)/1000000)*'Технический лист'!$E$20))*1.6</f>
        <v>1221.18065408</v>
      </c>
      <c r="L12" s="16">
        <f>((((L6*0.00314)*0.22)*'Технический лист'!$M$7)+100+(((L7*0.00314)*0.21)*'Технический лист'!$O$11)+(((L6+30)*(L6+30)/1000000)*'Технический лист'!$E$20))*1.6</f>
        <v>1355.1982208000002</v>
      </c>
      <c r="M12" s="16">
        <f>((((M6*0.00314)*0.22)*'Технический лист'!$M$7)+100+(((M7*0.00314)*0.21)*'Технический лист'!$O$11)+(((M6+30)*(M6+30)/1000000)*'Технический лист'!$E$20))*1.6</f>
        <v>1494.33578752</v>
      </c>
      <c r="N12" s="16">
        <f>((((N6*0.00314)*0.22)*'Технический лист'!$M$7)+100+(((N7*0.00314)*0.21)*'Технический лист'!$O$11)+(((N6+30)*(N6+30)/1000000)*'Технический лист'!$E$20))*1.6</f>
        <v>1712.6421376000003</v>
      </c>
      <c r="O12" s="16">
        <f>((((O6*0.00314)*0.22)*'Технический лист'!$M$7)+100+(((O7*0.00314)*0.21)*'Технический лист'!$O$11)+(((O6+30)*(O6+30)/1000000)*'Технический лист'!$E$20))*1.6</f>
        <v>1787.9709209599998</v>
      </c>
      <c r="P12" s="16">
        <f>((((P6*0.00314)*0.22)*'Технический лист'!$M$7)+100+(((P7*0.00314)*0.21)*'Технический лист'!$O$11)+(((P6+30)*(P6+30)/1000000)*'Технический лист'!$E$20))*1.6</f>
        <v>1864.57970432</v>
      </c>
      <c r="Q12" s="16">
        <f>((((Q6*0.00314)*0.22)*'Технический лист'!$M$7)+100+(((Q7*0.00314)*0.21)*'Технический лист'!$O$11)+(((Q6+30)*(Q6+30)/1000000)*'Технический лист'!$E$20))*1.6</f>
        <v>1942.46848768</v>
      </c>
      <c r="R12" s="16">
        <f>((((R6*0.00314)*0.22)*'Технический лист'!$M$7)+100+(((R7*0.00314)*0.21)*'Технический лист'!$O$11)+(((R6+30)*(R6+30)/1000000)*'Технический лист'!$E$20))*1.6</f>
        <v>2021.63727104</v>
      </c>
      <c r="S12" s="16">
        <f>((((S6*0.00314)*0.22)*'Технический лист'!$M$7)+100+(((S7*0.00314)*0.21)*'Технический лист'!$O$11)+(((S6+30)*(S6+30)/1000000)*'Технический лист'!$E$20))*1.6</f>
        <v>2102.0860544</v>
      </c>
    </row>
    <row r="13" spans="1:19" ht="15">
      <c r="A13" s="4" t="s">
        <v>7</v>
      </c>
      <c r="B13" s="9">
        <f>(B12*2.2)+24</f>
        <v>1643.8828518400003</v>
      </c>
      <c r="C13" s="9">
        <f aca="true" t="shared" si="6" ref="C13:N13">(C12*2.2)+24</f>
        <v>1767.3661752320004</v>
      </c>
      <c r="D13" s="9">
        <f t="shared" si="6"/>
        <v>1830.1638369280004</v>
      </c>
      <c r="E13" s="9">
        <f t="shared" si="6"/>
        <v>1893.6654986240007</v>
      </c>
      <c r="F13" s="9">
        <f t="shared" si="6"/>
        <v>1957.8711603200004</v>
      </c>
      <c r="G13" s="9">
        <f t="shared" si="6"/>
        <v>2022.7808220160002</v>
      </c>
      <c r="H13" s="9">
        <f t="shared" si="6"/>
        <v>2154.712145408</v>
      </c>
      <c r="I13" s="9">
        <f t="shared" si="6"/>
        <v>2289.4594687999997</v>
      </c>
      <c r="J13" s="9">
        <f t="shared" si="6"/>
        <v>2427.022792192</v>
      </c>
      <c r="K13" s="9">
        <f t="shared" si="6"/>
        <v>2710.5974389760004</v>
      </c>
      <c r="L13" s="9">
        <f t="shared" si="6"/>
        <v>3005.4360857600004</v>
      </c>
      <c r="M13" s="9">
        <f t="shared" si="6"/>
        <v>3311.538732544</v>
      </c>
      <c r="N13" s="9">
        <f t="shared" si="6"/>
        <v>3791.8127027200007</v>
      </c>
      <c r="O13" s="9">
        <f aca="true" t="shared" si="7" ref="O13:S13">(O12*2.2)+24</f>
        <v>3957.536026112</v>
      </c>
      <c r="P13" s="9">
        <f t="shared" si="7"/>
        <v>4126.075349504001</v>
      </c>
      <c r="Q13" s="9">
        <f t="shared" si="7"/>
        <v>4297.430672896</v>
      </c>
      <c r="R13" s="9">
        <f t="shared" si="7"/>
        <v>4471.601996288001</v>
      </c>
      <c r="S13" s="9">
        <f t="shared" si="7"/>
        <v>4648.589319680001</v>
      </c>
    </row>
    <row r="14" spans="1:19" ht="15">
      <c r="A14" s="4" t="s">
        <v>8</v>
      </c>
      <c r="B14" s="16">
        <f>((((B6*0.00314)*0.2)*'Технический лист'!$M$7)+50+(((B7*0.00314)*0.22)*'Технический лист'!$O$11))*1.6</f>
        <v>532.3917738666668</v>
      </c>
      <c r="C14" s="16">
        <f>((((C6*0.00314)*0.2)*'Технический лист'!$M$7)+50+(((C7*0.00314)*0.22)*'Технический лист'!$O$11))*1.6</f>
        <v>569.2853504000001</v>
      </c>
      <c r="D14" s="16">
        <f>((((D6*0.00314)*0.2)*'Технический лист'!$M$7)+50+(((D7*0.00314)*0.22)*'Технический лист'!$O$11))*1.6</f>
        <v>587.7321386666666</v>
      </c>
      <c r="E14" s="16">
        <f>((((E6*0.00314)*0.2)*'Технический лист'!$M$7)+50+(((E7*0.00314)*0.22)*'Технический лист'!$O$11))*1.6</f>
        <v>606.1789269333334</v>
      </c>
      <c r="F14" s="16">
        <f>((((F6*0.00314)*0.2)*'Технический лист'!$M$7)+50+(((F7*0.00314)*0.22)*'Технический лист'!$O$11))*1.6</f>
        <v>624.6257152000001</v>
      </c>
      <c r="G14" s="16">
        <f>((((G6*0.00314)*0.2)*'Технический лист'!$M$7)+50+(((G7*0.00314)*0.22)*'Технический лист'!$O$11))*1.6</f>
        <v>643.0725034666667</v>
      </c>
      <c r="H14" s="16">
        <f>((((H6*0.00314)*0.2)*'Технический лист'!$M$7)+50+(((H7*0.00314)*0.22)*'Технический лист'!$O$11))*1.6</f>
        <v>679.96608</v>
      </c>
      <c r="I14" s="16">
        <f>((((I6*0.00314)*0.2)*'Технический лист'!$M$7)+50+(((I7*0.00314)*0.22)*'Технический лист'!$O$11))*1.6</f>
        <v>716.8596565333334</v>
      </c>
      <c r="J14" s="16">
        <f>((((J6*0.00314)*0.2)*'Технический лист'!$M$7)+50+(((J7*0.00314)*0.22)*'Технический лист'!$O$11))*1.6</f>
        <v>753.7532330666668</v>
      </c>
      <c r="K14" s="16">
        <f>((((K6*0.00314)*0.2)*'Технический лист'!$M$7)+50+(((K7*0.00314)*0.22)*'Технический лист'!$O$11))*1.6</f>
        <v>827.5403861333334</v>
      </c>
      <c r="L14" s="16">
        <f>((((L6*0.00314)*0.2)*'Технический лист'!$M$7)+50+(((L7*0.00314)*0.22)*'Технический лист'!$O$11))*1.6</f>
        <v>901.3275392</v>
      </c>
      <c r="M14" s="16">
        <f>((((M6*0.00314)*0.2)*'Технический лист'!$M$7)+50+(((M7*0.00314)*0.22)*'Технический лист'!$O$11))*1.6</f>
        <v>975.1146922666667</v>
      </c>
      <c r="N14" s="16">
        <f>((((N6*0.00314)*0.2)*'Технический лист'!$M$7)+50+(((N7*0.00314)*0.22)*'Технический лист'!$O$11))*1.6</f>
        <v>1085.7954218666669</v>
      </c>
      <c r="O14" s="16">
        <f>((((O6*0.00314)*0.2)*'Технический лист'!$M$7)+50+(((O7*0.00314)*0.22)*'Технический лист'!$O$11))*1.6</f>
        <v>1122.6889984000002</v>
      </c>
      <c r="P14" s="16">
        <f>((((P6*0.00314)*0.2)*'Технический лист'!$M$7)+50+(((P7*0.00314)*0.22)*'Технический лист'!$O$11))*1.6</f>
        <v>1159.5825749333333</v>
      </c>
      <c r="Q14" s="16">
        <f>((((Q6*0.00314)*0.2)*'Технический лист'!$M$7)+50+(((Q7*0.00314)*0.22)*'Технический лист'!$O$11))*1.6</f>
        <v>1196.4761514666666</v>
      </c>
      <c r="R14" s="16">
        <f>((((R6*0.00314)*0.2)*'Технический лист'!$M$7)+50+(((R7*0.00314)*0.22)*'Технический лист'!$O$11))*1.6</f>
        <v>1233.3697280000001</v>
      </c>
      <c r="S14" s="16">
        <f>((((S6*0.00314)*0.2)*'Технический лист'!$M$7)+50+(((S7*0.00314)*0.22)*'Технический лист'!$O$11))*1.6</f>
        <v>1270.2633045333334</v>
      </c>
    </row>
    <row r="15" spans="1:19" ht="15">
      <c r="A15" s="4" t="s">
        <v>99</v>
      </c>
      <c r="B15" s="16">
        <v>1730</v>
      </c>
      <c r="C15" s="16">
        <v>1845</v>
      </c>
      <c r="D15" s="16">
        <v>1905</v>
      </c>
      <c r="E15" s="16">
        <v>1965</v>
      </c>
      <c r="F15" s="16">
        <v>2025</v>
      </c>
      <c r="G15" s="16">
        <v>2085</v>
      </c>
      <c r="H15" s="16">
        <v>2210</v>
      </c>
      <c r="I15" s="16">
        <v>2335</v>
      </c>
      <c r="J15" s="16">
        <v>2465</v>
      </c>
      <c r="K15" s="16">
        <v>2740</v>
      </c>
      <c r="L15" s="16">
        <v>3020</v>
      </c>
      <c r="M15" s="16">
        <v>3780</v>
      </c>
      <c r="N15" s="16">
        <v>3780</v>
      </c>
      <c r="O15" s="16">
        <v>3940</v>
      </c>
      <c r="P15" s="16">
        <v>4105</v>
      </c>
      <c r="Q15" s="16">
        <v>4270</v>
      </c>
      <c r="R15" s="16">
        <v>4440</v>
      </c>
      <c r="S15" s="16">
        <v>4615</v>
      </c>
    </row>
    <row r="16" spans="1:19" ht="15">
      <c r="A16" s="4" t="s">
        <v>102</v>
      </c>
      <c r="B16" s="16">
        <v>2150</v>
      </c>
      <c r="C16" s="16">
        <v>2295</v>
      </c>
      <c r="D16" s="16">
        <v>2370</v>
      </c>
      <c r="E16" s="16">
        <v>2440</v>
      </c>
      <c r="F16" s="16">
        <v>2520</v>
      </c>
      <c r="G16" s="16">
        <v>2595</v>
      </c>
      <c r="H16" s="16">
        <v>2750</v>
      </c>
      <c r="I16" s="16">
        <v>2910</v>
      </c>
      <c r="J16" s="16">
        <v>3070</v>
      </c>
      <c r="K16" s="16">
        <v>3410</v>
      </c>
      <c r="L16" s="16">
        <v>3760</v>
      </c>
      <c r="M16" s="16">
        <v>4125</v>
      </c>
      <c r="N16" s="16">
        <v>4705</v>
      </c>
      <c r="O16" s="16">
        <v>4905</v>
      </c>
      <c r="P16" s="16">
        <v>5110</v>
      </c>
      <c r="Q16" s="16">
        <v>5320</v>
      </c>
      <c r="R16" s="16">
        <v>5530</v>
      </c>
      <c r="S16" s="16">
        <v>5745</v>
      </c>
    </row>
    <row r="17" spans="1:19" ht="15">
      <c r="A17" s="4" t="s">
        <v>9</v>
      </c>
      <c r="B17" s="9">
        <f>((((B6*0.00314)*((B6+545)/1000))*'Технический лист'!$K$7)+370+((B7*0.00314)*((B7+450)/1000))*'Технический лист'!$K$11)*1.6</f>
        <v>1675.6861781333334</v>
      </c>
      <c r="C17" s="9">
        <f>((((C6*0.00314)*((C6+545)/1000))*'Технический лист'!$K$7)+370+((C7*0.00314)*((C7+450)/1000))*'Технический лист'!$K$11)*1.6</f>
        <v>1787.7469670399998</v>
      </c>
      <c r="D17" s="9">
        <f>((((D6*0.00314)*((D6+545)/1000))*'Технический лист'!$K$7)+370+((D7*0.00314)*((D7+450)/1000))*'Технический лист'!$K$11)*1.6</f>
        <v>1844.8753064533332</v>
      </c>
      <c r="E17" s="9">
        <f>((((E6*0.00314)*((E6+545)/1000))*'Технический лист'!$K$7)+370+((E7*0.00314)*((E7+450)/1000))*'Технический лист'!$K$11)*1.6</f>
        <v>1902.7356091733332</v>
      </c>
      <c r="F17" s="9">
        <f>((((F6*0.00314)*((F6+545)/1000))*'Технический лист'!$K$7)+370+((F7*0.00314)*((F7+450)/1000))*'Технический лист'!$K$11)*1.6</f>
        <v>1961.3278751999999</v>
      </c>
      <c r="G17" s="9">
        <f>((((G6*0.00314)*((G6+545)/1000))*'Технический лист'!$K$7)+370+((G7*0.00314)*((G7+450)/1000))*'Технический лист'!$K$11)*1.6</f>
        <v>2020.6521045333336</v>
      </c>
      <c r="H17" s="9">
        <f>((((H6*0.00314)*((H6+545)/1000))*'Технический лист'!$K$7)+370+((H7*0.00314)*((H7+450)/1000))*'Технический лист'!$K$11)*1.6</f>
        <v>2141.49645312</v>
      </c>
      <c r="I17" s="9">
        <f>((((I6*0.00314)*((I6+545)/1000))*'Технический лист'!$K$7)+370+((I7*0.00314)*((I7+450)/1000))*'Технический лист'!$K$11)*1.6</f>
        <v>2265.2686549333334</v>
      </c>
      <c r="J17" s="9">
        <f>((((J6*0.00314)*((J6+545)/1000))*'Технический лист'!$K$7)+370+((J7*0.00314)*((J7+450)/1000))*'Технический лист'!$K$11)*1.6</f>
        <v>2391.9687099733333</v>
      </c>
      <c r="K17" s="9">
        <f>((((K6*0.00314)*((K6+545)/1000))*'Технический лист'!$K$7)+370+((K7*0.00314)*((K7+450)/1000))*'Технический лист'!$K$11)*1.6</f>
        <v>2654.1523797333334</v>
      </c>
      <c r="L17" s="9">
        <f>((((L6*0.00314)*((L6+545)/1000))*'Технический лист'!$K$7)+370+((L7*0.00314)*((L7+450)/1000))*'Технический лист'!$K$11)*1.6</f>
        <v>2928.0474624</v>
      </c>
      <c r="M17" s="9">
        <f>((((M6*0.00314)*((M6+545)/1000))*'Технический лист'!$K$7)+370+((M7*0.00314)*((M7+450)/1000))*'Технический лист'!$K$11)*1.6</f>
        <v>3213.6539579733335</v>
      </c>
      <c r="N17" s="9">
        <f>((((N6*0.00314)*((N6+545)/1000))*'Технический лист'!$K$7)+370+((N7*0.00314)*((N7+450)/1000))*'Технический лист'!$K$11)*1.6</f>
        <v>3664.0226005333334</v>
      </c>
      <c r="O17" s="9">
        <f>((((O6*0.00314)*((O6+545)/1000))*'Технический лист'!$K$7)+370+((O7*0.00314)*((O7+450)/1000))*'Технический лист'!$K$11)*1.6</f>
        <v>3820.00118784</v>
      </c>
      <c r="P17" s="9">
        <f>((((P6*0.00314)*((P6+545)/1000))*'Технический лист'!$K$7)+370+((P7*0.00314)*((P7+450)/1000))*'Технический лист'!$K$11)*1.6</f>
        <v>3978.9076283733334</v>
      </c>
      <c r="Q17" s="9">
        <f>((((Q6*0.00314)*((Q6+545)/1000))*'Технический лист'!$K$7)+370+((Q7*0.00314)*((Q7+450)/1000))*'Технический лист'!$K$11)*1.6</f>
        <v>4140.741922133333</v>
      </c>
      <c r="R17" s="9">
        <f>((((R6*0.00314)*((R6+545)/1000))*'Технический лист'!$K$7)+370+((R7*0.00314)*((R7+450)/1000))*'Технический лист'!$K$11)*1.6</f>
        <v>4305.504069119999</v>
      </c>
      <c r="S17" s="9">
        <f>((((S6*0.00314)*((S6+545)/1000))*'Технический лист'!$K$7)+370+((S7*0.00314)*((S7+450)/1000))*'Технический лист'!$K$11)*1.6</f>
        <v>4473.194069333333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44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лист'!$G$7)+310+((B23*0.00314)*'Технический лист'!$G$5))*1.5</f>
        <v>2027.0244</v>
      </c>
      <c r="C24" s="16">
        <f>(((C22*0.00314)*'Технический лист'!$G$7)+310+((C23*0.00314)*'Технический лист'!$G$5))*1.5</f>
        <v>2145.7729200000003</v>
      </c>
      <c r="D24" s="16">
        <f>(((D22*0.00314)*'Технический лист'!$G$7)+310+((D23*0.00314)*'Технический лист'!$G$5))*1.5</f>
        <v>2205.14718</v>
      </c>
      <c r="E24" s="16">
        <f>(((E22*0.00314)*'Технический лист'!$G$7)+310+((E23*0.00314)*'Технический лист'!$G$5))*1.5</f>
        <v>2264.5214400000004</v>
      </c>
      <c r="F24" s="16">
        <f>(((F22*0.00314)*'Технический лист'!$G$7)+310+((F23*0.00314)*'Технический лист'!$G$5))*1.5</f>
        <v>2323.8957</v>
      </c>
      <c r="G24" s="16">
        <f>(((G22*0.00314)*'Технический лист'!$G$7)+310+((G23*0.00314)*'Технический лист'!$G$5))*1.5</f>
        <v>2383.2699600000005</v>
      </c>
      <c r="H24" s="16">
        <f>(((H22*0.00314)*'Технический лист'!$G$7)+310+((H23*0.00314)*'Технический лист'!$G$5))*1.5</f>
        <v>2502.01848</v>
      </c>
      <c r="I24" s="16">
        <f>(((I22*0.00314)*'Технический лист'!$G$7)+310+((I23*0.00314)*'Технический лист'!$G$5))*1.5</f>
        <v>2620.767</v>
      </c>
      <c r="J24" s="16">
        <f>(((J22*0.00314)*'Технический лист'!$G$7)+310+((J23*0.00314)*'Технический лист'!$G$5))*1.5</f>
        <v>2739.51552</v>
      </c>
      <c r="K24" s="16">
        <f>(((K22*0.00314)*'Технический лист'!$G$7)+310+((K23*0.00314)*'Технический лист'!$G$5))*1.5</f>
        <v>2977.01256</v>
      </c>
      <c r="L24" s="16">
        <f>(((L22*0.00314)*'Технический лист'!$G$7)+310+((L23*0.00314)*'Технический лист'!$G$5))*1.5</f>
        <v>3214.5096000000003</v>
      </c>
      <c r="M24" s="16">
        <f>(((M22*0.00314)*'Технический лист'!$G$7)+310+((M23*0.00314)*'Технический лист'!$G$5))*1.5</f>
        <v>3452.0066399999996</v>
      </c>
      <c r="N24" s="16">
        <f>(((N22*0.00314)*'Технический лист'!$G$7)+310+((N23*0.00314)*'Технический лист'!$G$5))*1.5</f>
        <v>3808.2521999999994</v>
      </c>
      <c r="O24" s="16">
        <f>(((O22*0.00314)*'Технический лист'!$G$7)+310+((O23*0.00314)*'Технический лист'!$G$5))*1.5</f>
        <v>3927.00072</v>
      </c>
      <c r="P24" s="16">
        <f>(((P22*0.00314)*'Технический лист'!$G$7)+310+((P23*0.00314)*'Технический лист'!$G$5))*1.5</f>
        <v>4045.74924</v>
      </c>
      <c r="Q24" s="16">
        <f>(((Q22*0.00314)*'Технический лист'!$G$7)+310+((Q23*0.00314)*'Технический лист'!$G$5))*1.5</f>
        <v>4164.49776</v>
      </c>
      <c r="R24" s="16">
        <f>(((R22*0.00314)*'Технический лист'!$G$7)+310+((R23*0.00314)*'Технический лист'!$G$5))*1.5</f>
        <v>4283.246279999999</v>
      </c>
      <c r="S24" s="16">
        <f>(((S22*0.00314)*'Технический лист'!$G$7)+310+((S23*0.00314)*'Технический лист'!$G$5))*1.5</f>
        <v>4401.9948</v>
      </c>
    </row>
    <row r="25" spans="1:19" ht="15">
      <c r="A25" s="4" t="s">
        <v>3</v>
      </c>
      <c r="B25" s="9">
        <f>((B24/2)*1.07)-10</f>
        <v>1074.4580540000002</v>
      </c>
      <c r="C25" s="9">
        <f aca="true" t="shared" si="10" ref="C25:N25">((C24/2)*1.07)-10</f>
        <v>1137.9885122000003</v>
      </c>
      <c r="D25" s="9">
        <f t="shared" si="10"/>
        <v>1169.7537413</v>
      </c>
      <c r="E25" s="9">
        <f t="shared" si="10"/>
        <v>1201.5189704000004</v>
      </c>
      <c r="F25" s="9">
        <f t="shared" si="10"/>
        <v>1233.2841995</v>
      </c>
      <c r="G25" s="9">
        <f t="shared" si="10"/>
        <v>1265.0494286000003</v>
      </c>
      <c r="H25" s="9">
        <f t="shared" si="10"/>
        <v>1328.5798868000002</v>
      </c>
      <c r="I25" s="9">
        <f t="shared" si="10"/>
        <v>1392.110345</v>
      </c>
      <c r="J25" s="9">
        <f t="shared" si="10"/>
        <v>1455.6408032</v>
      </c>
      <c r="K25" s="9">
        <f t="shared" si="10"/>
        <v>1582.7017196000002</v>
      </c>
      <c r="L25" s="9">
        <f t="shared" si="10"/>
        <v>1709.7626360000002</v>
      </c>
      <c r="M25" s="9">
        <f t="shared" si="10"/>
        <v>1836.8235524</v>
      </c>
      <c r="N25" s="9">
        <f t="shared" si="10"/>
        <v>2027.4149269999998</v>
      </c>
      <c r="O25" s="9">
        <f aca="true" t="shared" si="11" ref="O25:S25">((O24/2)*1.07)-10</f>
        <v>2090.9453852</v>
      </c>
      <c r="P25" s="9">
        <f t="shared" si="11"/>
        <v>2154.4758434</v>
      </c>
      <c r="Q25" s="9">
        <f t="shared" si="11"/>
        <v>2218.0063016000004</v>
      </c>
      <c r="R25" s="9">
        <f t="shared" si="11"/>
        <v>2281.5367598</v>
      </c>
      <c r="S25" s="9">
        <f t="shared" si="11"/>
        <v>2345.067218</v>
      </c>
    </row>
    <row r="26" spans="1:19" ht="15">
      <c r="A26" s="4" t="s">
        <v>5</v>
      </c>
      <c r="B26" s="16">
        <f>((((B22*0.00314)*0.5)*'Технический лист'!$I$7)+310+(((B23*0.00314)*0.5)*'Технический лист'!$I$5))*1.55</f>
        <v>1719.49219</v>
      </c>
      <c r="C26" s="16">
        <f>((((C22*0.00314)*0.5)*'Технический лист'!$I$7)+310+(((C23*0.00314)*0.5)*'Технический лист'!$I$5))*1.55</f>
        <v>1812.967792</v>
      </c>
      <c r="D26" s="16">
        <f>((((D22*0.00314)*0.5)*'Технический лист'!$I$7)+310+(((D23*0.00314)*0.5)*'Технический лист'!$I$5))*1.55</f>
        <v>1859.7055929999997</v>
      </c>
      <c r="E26" s="16">
        <f>((((E22*0.00314)*0.5)*'Технический лист'!$I$7)+310+(((E23*0.00314)*0.5)*'Технический лист'!$I$5))*1.55</f>
        <v>1906.443394</v>
      </c>
      <c r="F26" s="16">
        <f>((((F22*0.00314)*0.5)*'Технический лист'!$I$7)+310+(((F23*0.00314)*0.5)*'Технический лист'!$I$5))*1.55</f>
        <v>1953.1811950000001</v>
      </c>
      <c r="G26" s="16">
        <f>((((G22*0.00314)*0.5)*'Технический лист'!$I$7)+310+(((G23*0.00314)*0.5)*'Технический лист'!$I$5))*1.55</f>
        <v>1999.918996</v>
      </c>
      <c r="H26" s="16">
        <f>((((H22*0.00314)*0.5)*'Технический лист'!$I$7)+310+(((H23*0.00314)*0.5)*'Технический лист'!$I$5))*1.55</f>
        <v>2093.394598</v>
      </c>
      <c r="I26" s="16">
        <f>((((I22*0.00314)*0.5)*'Технический лист'!$I$7)+310+(((I23*0.00314)*0.5)*'Технический лист'!$I$5))*1.55</f>
        <v>2186.8702000000003</v>
      </c>
      <c r="J26" s="16">
        <f>((((J22*0.00314)*0.5)*'Технический лист'!$I$7)+310+(((J23*0.00314)*0.5)*'Технический лист'!$I$5))*1.55</f>
        <v>2280.345802</v>
      </c>
      <c r="K26" s="16">
        <f>((((K22*0.00314)*0.5)*'Технический лист'!$I$7)+310+(((K23*0.00314)*0.5)*'Технический лист'!$I$5))*1.55</f>
        <v>2467.2970060000002</v>
      </c>
      <c r="L26" s="16">
        <f>((((L22*0.00314)*0.5)*'Технический лист'!$I$7)+310+(((L23*0.00314)*0.5)*'Технический лист'!$I$5))*1.55</f>
        <v>2654.24821</v>
      </c>
      <c r="M26" s="16">
        <f>((((M22*0.00314)*0.5)*'Технический лист'!$I$7)+310+(((M23*0.00314)*0.5)*'Технический лист'!$I$5))*1.55</f>
        <v>2841.199414</v>
      </c>
      <c r="N26" s="16">
        <f>((((N22*0.00314)*0.5)*'Технический лист'!$I$7)+310+(((N23*0.00314)*0.5)*'Технический лист'!$I$5))*1.55</f>
        <v>3121.62622</v>
      </c>
      <c r="O26" s="16">
        <f>((((O22*0.00314)*0.5)*'Технический лист'!$I$7)+310+(((O23*0.00314)*0.5)*'Технический лист'!$I$5))*1.55</f>
        <v>3215.101822</v>
      </c>
      <c r="P26" s="16">
        <f>((((P22*0.00314)*0.5)*'Технический лист'!$I$7)+310+(((P23*0.00314)*0.5)*'Технический лист'!$I$5))*1.55</f>
        <v>3308.577424</v>
      </c>
      <c r="Q26" s="16">
        <f>((((Q22*0.00314)*0.5)*'Технический лист'!$I$7)+310+(((Q23*0.00314)*0.5)*'Технический лист'!$I$5))*1.55</f>
        <v>3402.0530259999996</v>
      </c>
      <c r="R26" s="16">
        <f>((((R22*0.00314)*0.5)*'Технический лист'!$I$7)+310+(((R23*0.00314)*0.5)*'Технический лист'!$I$5))*1.55</f>
        <v>3495.528628</v>
      </c>
      <c r="S26" s="16">
        <f>((((S22*0.00314)*0.5)*'Технический лист'!$I$7)+310+(((S23*0.00314)*0.5)*'Технический лист'!$I$5))*1.55</f>
        <v>3589.0042299999996</v>
      </c>
    </row>
    <row r="27" spans="1:19" ht="15">
      <c r="A27" s="4" t="s">
        <v>96</v>
      </c>
      <c r="B27" s="9">
        <f>((B26*2)/3)-6</f>
        <v>1140.3281266666665</v>
      </c>
      <c r="C27" s="9">
        <f aca="true" t="shared" si="12" ref="C27:N27">((C26*2)/3)-6</f>
        <v>1202.6451946666666</v>
      </c>
      <c r="D27" s="9">
        <f t="shared" si="12"/>
        <v>1233.8037286666665</v>
      </c>
      <c r="E27" s="9">
        <f t="shared" si="12"/>
        <v>1264.9622626666667</v>
      </c>
      <c r="F27" s="9">
        <f t="shared" si="12"/>
        <v>1296.1207966666668</v>
      </c>
      <c r="G27" s="9">
        <f t="shared" si="12"/>
        <v>1327.2793306666667</v>
      </c>
      <c r="H27" s="9">
        <f t="shared" si="12"/>
        <v>1389.5963986666666</v>
      </c>
      <c r="I27" s="9">
        <f t="shared" si="12"/>
        <v>1451.9134666666669</v>
      </c>
      <c r="J27" s="9">
        <f t="shared" si="12"/>
        <v>1514.2305346666665</v>
      </c>
      <c r="K27" s="9">
        <f t="shared" si="12"/>
        <v>1638.8646706666668</v>
      </c>
      <c r="L27" s="9">
        <f t="shared" si="12"/>
        <v>1763.4988066666667</v>
      </c>
      <c r="M27" s="9">
        <f t="shared" si="12"/>
        <v>1888.1329426666668</v>
      </c>
      <c r="N27" s="9">
        <f t="shared" si="12"/>
        <v>2075.0841466666666</v>
      </c>
      <c r="O27" s="9">
        <f aca="true" t="shared" si="13" ref="O27:S27">((O26*2)/3)-6</f>
        <v>2137.401214666667</v>
      </c>
      <c r="P27" s="9">
        <f t="shared" si="13"/>
        <v>2199.7182826666667</v>
      </c>
      <c r="Q27" s="9">
        <f t="shared" si="13"/>
        <v>2262.0353506666665</v>
      </c>
      <c r="R27" s="9">
        <f t="shared" si="13"/>
        <v>2324.352418666667</v>
      </c>
      <c r="S27" s="9">
        <f t="shared" si="13"/>
        <v>2386.669486666666</v>
      </c>
    </row>
    <row r="28" spans="1:19" ht="15">
      <c r="A28" s="4" t="s">
        <v>6</v>
      </c>
      <c r="B28" s="16">
        <f>((((B22*0.00314)*0.22)*'Технический лист'!$M$7)+100+(((B23*0.00314)*0.21)*'Технический лист'!$O$5)+(((B22+30)*(B22+30)/1000000)*'Технический лист'!$E$20))*1.6</f>
        <v>904.4274944000001</v>
      </c>
      <c r="C28" s="16">
        <f>((((C22*0.00314)*0.22)*'Технический лист'!$M$7)+100+(((C23*0.00314)*0.21)*'Технический лист'!$O$5)+(((C22+30)*(C22+30)/1000000)*'Технический лист'!$E$20))*1.6</f>
        <v>970.4455193600002</v>
      </c>
      <c r="D28" s="16">
        <f>((((D22*0.00314)*0.22)*'Технический лист'!$M$7)+100+(((D23*0.00314)*0.21)*'Технический лист'!$O$5)+(((D22+30)*(D22+30)/1000000)*'Технический лист'!$E$20))*1.6</f>
        <v>1003.93453184</v>
      </c>
      <c r="E28" s="16">
        <f>((((E22*0.00314)*0.22)*'Технический лист'!$M$7)+100+(((E23*0.00314)*0.21)*'Технический лист'!$O$5)+(((E22+30)*(E22+30)/1000000)*'Технический лист'!$E$20))*1.6</f>
        <v>1037.74354432</v>
      </c>
      <c r="F28" s="16">
        <f>((((F22*0.00314)*0.22)*'Технический лист'!$M$7)+100+(((F23*0.00314)*0.21)*'Технический лист'!$O$5)+(((F22+30)*(F22+30)/1000000)*'Технический лист'!$E$20))*1.6</f>
        <v>1071.8725568</v>
      </c>
      <c r="G28" s="16">
        <f>((((G22*0.00314)*0.22)*'Технический лист'!$M$7)+100+(((G23*0.00314)*0.21)*'Технический лист'!$O$5)+(((G22+30)*(G22+30)/1000000)*'Технический лист'!$E$20))*1.6</f>
        <v>1106.32156928</v>
      </c>
      <c r="H28" s="16">
        <f>((((H22*0.00314)*0.22)*'Технический лист'!$M$7)+100+(((H23*0.00314)*0.21)*'Технический лист'!$O$5)+(((H22+30)*(H22+30)/1000000)*'Технический лист'!$E$20))*1.6</f>
        <v>1176.17959424</v>
      </c>
      <c r="I28" s="16">
        <f>((((I22*0.00314)*0.22)*'Технический лист'!$M$7)+100+(((I23*0.00314)*0.21)*'Технический лист'!$O$5)+(((I22+30)*(I22+30)/1000000)*'Технический лист'!$E$20))*1.6</f>
        <v>1247.3176192</v>
      </c>
      <c r="J28" s="16">
        <f>((((J22*0.00314)*0.22)*'Технический лист'!$M$7)+100+(((J23*0.00314)*0.21)*'Технический лист'!$O$5)+(((J22+30)*(J22+30)/1000000)*'Технический лист'!$E$20))*1.6</f>
        <v>1319.73564416</v>
      </c>
      <c r="K28" s="16">
        <f>((((K22*0.00314)*0.22)*'Технический лист'!$M$7)+100+(((K23*0.00314)*0.21)*'Технический лист'!$O$5)+(((K22+30)*(K22+30)/1000000)*'Технический лист'!$E$20))*1.6</f>
        <v>1468.4116940800002</v>
      </c>
      <c r="L28" s="16">
        <f>((((L22*0.00314)*0.22)*'Технический лист'!$M$7)+100+(((L23*0.00314)*0.21)*'Технический лист'!$O$5)+(((L22+30)*(L22+30)/1000000)*'Технический лист'!$E$20))*1.6</f>
        <v>1622.207744</v>
      </c>
      <c r="M28" s="16">
        <f>((((M22*0.00314)*0.22)*'Технический лист'!$M$7)+100+(((M23*0.00314)*0.21)*'Технический лист'!$O$5)+(((M22+30)*(M22+30)/1000000)*'Технический лист'!$E$20))*1.6</f>
        <v>1781.12379392</v>
      </c>
      <c r="N28" s="16">
        <f>((((N22*0.00314)*0.22)*'Технический лист'!$M$7)+100+(((N23*0.00314)*0.21)*'Технический лист'!$O$5)+(((N22+30)*(N22+30)/1000000)*'Технический лист'!$E$20))*1.6</f>
        <v>2029.0978688</v>
      </c>
      <c r="O28" s="16">
        <f>((((O22*0.00314)*0.22)*'Технический лист'!$M$7)+100+(((O23*0.00314)*0.21)*'Технический лист'!$O$5)+(((O22+30)*(O22+30)/1000000)*'Технический лист'!$E$20))*1.6</f>
        <v>2114.3158937599997</v>
      </c>
      <c r="P28" s="16">
        <f>((((P22*0.00314)*0.22)*'Технический лист'!$M$7)+100+(((P23*0.00314)*0.21)*'Технический лист'!$O$5)+(((P22+30)*(P22+30)/1000000)*'Технический лист'!$E$20))*1.6</f>
        <v>2200.8139187200004</v>
      </c>
      <c r="Q28" s="16">
        <f>((((Q22*0.00314)*0.22)*'Технический лист'!$M$7)+100+(((Q23*0.00314)*0.21)*'Технический лист'!$O$5)+(((Q22+30)*(Q22+30)/1000000)*'Технический лист'!$E$20))*1.6</f>
        <v>2288.59194368</v>
      </c>
      <c r="R28" s="16">
        <f>((((R22*0.00314)*0.22)*'Технический лист'!$M$7)+100+(((R23*0.00314)*0.21)*'Технический лист'!$O$5)+(((R22+30)*(R22+30)/1000000)*'Технический лист'!$E$20))*1.6</f>
        <v>2377.6499686399998</v>
      </c>
      <c r="S28" s="16">
        <f>((((S22*0.00314)*0.22)*'Технический лист'!$M$7)+100+(((S23*0.00314)*0.21)*'Технический лист'!$O$5)+(((S22+30)*(S22+30)/1000000)*'Технический лист'!$E$20))*1.6</f>
        <v>2467.9879935999998</v>
      </c>
    </row>
    <row r="29" spans="1:19" ht="15">
      <c r="A29" s="4" t="s">
        <v>7</v>
      </c>
      <c r="B29" s="9">
        <f>(B28*2.2)+24</f>
        <v>2013.7404876800003</v>
      </c>
      <c r="C29" s="9">
        <f aca="true" t="shared" si="14" ref="C29:N29">(C28*2.2)+24</f>
        <v>2158.9801425920004</v>
      </c>
      <c r="D29" s="9">
        <f t="shared" si="14"/>
        <v>2232.655970048</v>
      </c>
      <c r="E29" s="9">
        <f t="shared" si="14"/>
        <v>2307.035797504</v>
      </c>
      <c r="F29" s="9">
        <f t="shared" si="14"/>
        <v>2382.1196249600002</v>
      </c>
      <c r="G29" s="9">
        <f t="shared" si="14"/>
        <v>2457.907452416</v>
      </c>
      <c r="H29" s="9">
        <f t="shared" si="14"/>
        <v>2611.595107328</v>
      </c>
      <c r="I29" s="9">
        <f t="shared" si="14"/>
        <v>2768.0987622400003</v>
      </c>
      <c r="J29" s="9">
        <f t="shared" si="14"/>
        <v>2927.418417152</v>
      </c>
      <c r="K29" s="9">
        <f t="shared" si="14"/>
        <v>3254.5057269760005</v>
      </c>
      <c r="L29" s="9">
        <f t="shared" si="14"/>
        <v>3592.8570368000005</v>
      </c>
      <c r="M29" s="9">
        <f t="shared" si="14"/>
        <v>3942.4723466240002</v>
      </c>
      <c r="N29" s="9">
        <f t="shared" si="14"/>
        <v>4488.01531136</v>
      </c>
      <c r="O29" s="9">
        <f aca="true" t="shared" si="15" ref="O29:S29">(O28*2.2)+24</f>
        <v>4675.494966272</v>
      </c>
      <c r="P29" s="9">
        <f t="shared" si="15"/>
        <v>4865.790621184001</v>
      </c>
      <c r="Q29" s="9">
        <f t="shared" si="15"/>
        <v>5058.902276096001</v>
      </c>
      <c r="R29" s="9">
        <f t="shared" si="15"/>
        <v>5254.829931008</v>
      </c>
      <c r="S29" s="9">
        <f t="shared" si="15"/>
        <v>5453.5735859199995</v>
      </c>
    </row>
    <row r="30" spans="1:19" ht="15">
      <c r="A30" s="4" t="s">
        <v>8</v>
      </c>
      <c r="B30" s="16">
        <f>((((B22*0.00314)*0.2)*'Технический лист'!$M$7)+50+(((B23*0.00314)*0.22)*'Технический лист'!$O$5))*1.6</f>
        <v>708.5144576000001</v>
      </c>
      <c r="C30" s="16">
        <f>((((C22*0.00314)*0.2)*'Технический лист'!$M$7)+50+(((C23*0.00314)*0.22)*'Технический лист'!$O$5))*1.6</f>
        <v>755.7681920000001</v>
      </c>
      <c r="D30" s="16">
        <f>((((D22*0.00314)*0.2)*'Технический лист'!$M$7)+50+(((D23*0.00314)*0.22)*'Технический лист'!$O$5))*1.6</f>
        <v>779.3950592</v>
      </c>
      <c r="E30" s="16">
        <f>((((E22*0.00314)*0.2)*'Технический лист'!$M$7)+50+(((E23*0.00314)*0.22)*'Технический лист'!$O$5))*1.6</f>
        <v>803.0219264000001</v>
      </c>
      <c r="F30" s="16">
        <f>((((F22*0.00314)*0.2)*'Технический лист'!$M$7)+50+(((F23*0.00314)*0.22)*'Технический лист'!$O$5))*1.6</f>
        <v>826.6487936000002</v>
      </c>
      <c r="G30" s="16">
        <f>((((G22*0.00314)*0.2)*'Технический лист'!$M$7)+50+(((G23*0.00314)*0.22)*'Технический лист'!$O$5))*1.6</f>
        <v>850.2756608</v>
      </c>
      <c r="H30" s="16">
        <f>((((H22*0.00314)*0.2)*'Технический лист'!$M$7)+50+(((H23*0.00314)*0.22)*'Технический лист'!$O$5))*1.6</f>
        <v>897.5293952000001</v>
      </c>
      <c r="I30" s="16">
        <f>((((I22*0.00314)*0.2)*'Технический лист'!$M$7)+50+(((I23*0.00314)*0.22)*'Технический лист'!$O$5))*1.6</f>
        <v>944.7831296</v>
      </c>
      <c r="J30" s="16">
        <f>((((J22*0.00314)*0.2)*'Технический лист'!$M$7)+50+(((J23*0.00314)*0.22)*'Технический лист'!$O$5))*1.6</f>
        <v>992.0368640000002</v>
      </c>
      <c r="K30" s="16">
        <f>((((K22*0.00314)*0.2)*'Технический лист'!$M$7)+50+(((K23*0.00314)*0.22)*'Технический лист'!$O$5))*1.6</f>
        <v>1086.5443328000001</v>
      </c>
      <c r="L30" s="16">
        <f>((((L22*0.00314)*0.2)*'Технический лист'!$M$7)+50+(((L23*0.00314)*0.22)*'Технический лист'!$O$5))*1.6</f>
        <v>1181.0518016</v>
      </c>
      <c r="M30" s="16">
        <f>((((M22*0.00314)*0.2)*'Технический лист'!$M$7)+50+(((M23*0.00314)*0.22)*'Технический лист'!$O$5))*1.6</f>
        <v>1275.5592704</v>
      </c>
      <c r="N30" s="16">
        <f>((((N22*0.00314)*0.2)*'Технический лист'!$M$7)+50+(((N23*0.00314)*0.22)*'Технический лист'!$O$5))*1.6</f>
        <v>1417.3204736</v>
      </c>
      <c r="O30" s="16">
        <f>((((O22*0.00314)*0.2)*'Технический лист'!$M$7)+50+(((O23*0.00314)*0.22)*'Технический лист'!$O$5))*1.6</f>
        <v>1464.574208</v>
      </c>
      <c r="P30" s="16">
        <f>((((P22*0.00314)*0.2)*'Технический лист'!$M$7)+50+(((P23*0.00314)*0.22)*'Технический лист'!$O$5))*1.6</f>
        <v>1511.8279424000002</v>
      </c>
      <c r="Q30" s="16">
        <f>((((Q22*0.00314)*0.2)*'Технический лист'!$M$7)+50+(((Q23*0.00314)*0.22)*'Технический лист'!$O$5))*1.6</f>
        <v>1559.0816768</v>
      </c>
      <c r="R30" s="16">
        <f>((((R22*0.00314)*0.2)*'Технический лист'!$M$7)+50+(((R23*0.00314)*0.22)*'Технический лист'!$O$5))*1.6</f>
        <v>1606.3354112000002</v>
      </c>
      <c r="S30" s="16">
        <f>((((S22*0.00314)*0.2)*'Технический лист'!$M$7)+50+(((S23*0.00314)*0.22)*'Технический лист'!$O$5))*1.6</f>
        <v>1653.5891456</v>
      </c>
    </row>
    <row r="31" spans="1:19" ht="15">
      <c r="A31" s="4" t="s">
        <v>99</v>
      </c>
      <c r="B31" s="16">
        <v>2430</v>
      </c>
      <c r="C31" s="16">
        <v>2560</v>
      </c>
      <c r="D31" s="16">
        <v>2685</v>
      </c>
      <c r="E31" s="16">
        <v>2775</v>
      </c>
      <c r="F31" s="16">
        <v>2860</v>
      </c>
      <c r="G31" s="16">
        <v>2950</v>
      </c>
      <c r="H31" s="16">
        <v>3130</v>
      </c>
      <c r="I31" s="16">
        <v>3320</v>
      </c>
      <c r="J31" s="16">
        <v>3510</v>
      </c>
      <c r="K31" s="16">
        <v>3905</v>
      </c>
      <c r="L31" s="16">
        <v>4315</v>
      </c>
      <c r="M31" s="16">
        <v>4745</v>
      </c>
      <c r="N31" s="16">
        <v>5420</v>
      </c>
      <c r="O31" s="16">
        <v>5655</v>
      </c>
      <c r="P31" s="16">
        <v>5895</v>
      </c>
      <c r="Q31" s="16">
        <v>6140</v>
      </c>
      <c r="R31" s="16">
        <v>6385</v>
      </c>
      <c r="S31" s="16">
        <v>6635</v>
      </c>
    </row>
    <row r="32" spans="1:19" ht="15">
      <c r="A32" s="4" t="s">
        <v>102</v>
      </c>
      <c r="B32" s="16">
        <v>3025</v>
      </c>
      <c r="C32" s="16">
        <v>3240</v>
      </c>
      <c r="D32" s="16">
        <v>3345</v>
      </c>
      <c r="E32" s="16">
        <v>4160</v>
      </c>
      <c r="F32" s="16">
        <v>3565</v>
      </c>
      <c r="G32" s="16">
        <v>3675</v>
      </c>
      <c r="H32" s="16">
        <v>3900</v>
      </c>
      <c r="I32" s="16">
        <v>4130</v>
      </c>
      <c r="J32" s="16">
        <v>4370</v>
      </c>
      <c r="K32" s="16">
        <v>4865</v>
      </c>
      <c r="L32" s="16">
        <v>5375</v>
      </c>
      <c r="M32" s="16">
        <v>5910</v>
      </c>
      <c r="N32" s="16">
        <v>6750</v>
      </c>
      <c r="O32" s="16">
        <v>7045</v>
      </c>
      <c r="P32" s="16">
        <v>7340</v>
      </c>
      <c r="Q32" s="16">
        <v>7645</v>
      </c>
      <c r="R32" s="16">
        <v>7950</v>
      </c>
      <c r="S32" s="16">
        <v>8265</v>
      </c>
    </row>
    <row r="33" spans="1:19" ht="15.75" customHeight="1">
      <c r="A33" s="4" t="s">
        <v>9</v>
      </c>
      <c r="B33" s="9">
        <f>((((B22*0.00314)*((B22+545)/1000))*'Технический лист'!$K$7)+370+((B23*0.00314)*((B23+450)/1000))*'Технический лист'!$K$5)*1.6</f>
        <v>2357.3672832000007</v>
      </c>
      <c r="C33" s="9">
        <f>((((C22*0.00314)*((C22+545)/1000))*'Технический лист'!$K$7)+370+((C23*0.00314)*((C23+450)/1000))*'Технический лист'!$K$5)*1.6</f>
        <v>2521.1685734400003</v>
      </c>
      <c r="D33" s="9">
        <f>((((D22*0.00314)*((D22+545)/1000))*'Технический лист'!$K$7)+370+((D23*0.00314)*((D23+450)/1000))*'Технический лист'!$K$5)*1.6</f>
        <v>2604.65223072</v>
      </c>
      <c r="E33" s="9">
        <f>((((E22*0.00314)*((E22+545)/1000))*'Технический лист'!$K$7)+370+((E23*0.00314)*((E23+450)/1000))*'Технический лист'!$K$5)*1.6</f>
        <v>2689.19122944</v>
      </c>
      <c r="F33" s="9">
        <f>((((F22*0.00314)*((F22+545)/1000))*'Технический лист'!$K$7)+370+((F23*0.00314)*((F23+450)/1000))*'Технический лист'!$K$5)*1.6</f>
        <v>2774.7855696</v>
      </c>
      <c r="G33" s="9">
        <f>((((G22*0.00314)*((G22+545)/1000))*'Технический лист'!$K$7)+370+((G23*0.00314)*((G23+450)/1000))*'Технический лист'!$K$5)*1.6</f>
        <v>2861.4352512000005</v>
      </c>
      <c r="H33" s="9">
        <f>((((H22*0.00314)*((H22+545)/1000))*'Технический лист'!$K$7)+370+((H23*0.00314)*((H23+450)/1000))*'Технический лист'!$K$5)*1.6</f>
        <v>3037.9006387200006</v>
      </c>
      <c r="I33" s="9">
        <f>((((I22*0.00314)*((I22+545)/1000))*'Технический лист'!$K$7)+370+((I23*0.00314)*((I23+450)/1000))*'Технический лист'!$K$5)*1.6</f>
        <v>3218.587392</v>
      </c>
      <c r="J33" s="9">
        <f>((((J22*0.00314)*((J22+545)/1000))*'Технический лист'!$K$7)+370+((J23*0.00314)*((J23+450)/1000))*'Технический лист'!$K$5)*1.6</f>
        <v>3403.49551104</v>
      </c>
      <c r="K33" s="9">
        <f>((((K22*0.00314)*((K22+545)/1000))*'Технический лист'!$K$7)+370+((K23*0.00314)*((K23+450)/1000))*'Технический лист'!$K$5)*1.6</f>
        <v>3785.9758464</v>
      </c>
      <c r="L33" s="9">
        <f>((((L22*0.00314)*((L22+545)/1000))*'Технический лист'!$K$7)+370+((L23*0.00314)*((L23+450)/1000))*'Технический лист'!$K$5)*1.6</f>
        <v>4185.3416448</v>
      </c>
      <c r="M33" s="9">
        <f>((((M22*0.00314)*((M22+545)/1000))*'Технический лист'!$K$7)+370+((M23*0.00314)*((M23+450)/1000))*'Технический лист'!$K$5)*1.6</f>
        <v>4601.59290624</v>
      </c>
      <c r="N33" s="9">
        <f>((((N22*0.00314)*((N22+545)/1000))*'Технический лист'!$K$7)+370+((N23*0.00314)*((N23+450)/1000))*'Технический лист'!$K$5)*1.6</f>
        <v>5257.6300416</v>
      </c>
      <c r="O33" s="9">
        <f>((((O22*0.00314)*((O22+545)/1000))*'Технический лист'!$K$7)+370+((O23*0.00314)*((O23+450)/1000))*'Технический лист'!$K$5)*1.6</f>
        <v>5484.751818240001</v>
      </c>
      <c r="P33" s="9">
        <f>((((P22*0.00314)*((P22+545)/1000))*'Технический лист'!$K$7)+370+((P23*0.00314)*((P23+450)/1000))*'Технический лист'!$K$5)*1.6</f>
        <v>5716.09496064</v>
      </c>
      <c r="Q33" s="9">
        <f>((((Q22*0.00314)*((Q22+545)/1000))*'Технический лист'!$K$7)+370+((Q23*0.00314)*((Q23+450)/1000))*'Технический лист'!$K$5)*1.6</f>
        <v>5951.6594688000005</v>
      </c>
      <c r="R33" s="9">
        <f>((((R22*0.00314)*((R22+545)/1000))*'Технический лист'!$K$7)+370+((R23*0.00314)*((R23+450)/1000))*'Технический лист'!$K$5)*1.6</f>
        <v>6191.44534272</v>
      </c>
      <c r="S33" s="9">
        <f>((((S22*0.00314)*((S22+545)/1000))*'Технический лист'!$K$7)+370+((S23*0.00314)*((S23+450)/1000))*'Технический лист'!$K$5)*1.6</f>
        <v>6435.452582399999</v>
      </c>
    </row>
    <row r="34" spans="1:19" ht="0.75" customHeight="1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M35" sqref="M35:S35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лист'!$G$8)+310+((B7*0.00314)*'Технический лист'!$G$11))*1.5</f>
        <v>1717.706874025974</v>
      </c>
      <c r="C8" s="16">
        <f>(((C6*0.00314)*'Технический лист'!$G$8)+310+((C7*0.00314)*'Технический лист'!$G$11))*1.5</f>
        <v>1831.3171714285713</v>
      </c>
      <c r="D8" s="16">
        <f>(((D6*0.00314)*'Технический лист'!$G$8)+310+((D7*0.00314)*'Технический лист'!$G$11))*1.5</f>
        <v>1888.1223201298699</v>
      </c>
      <c r="E8" s="16">
        <f>(((E6*0.00314)*'Технический лист'!$G$8)+310+((E7*0.00314)*'Технический лист'!$G$11))*1.5</f>
        <v>1944.9274688311687</v>
      </c>
      <c r="F8" s="16">
        <f>(((F6*0.00314)*'Технический лист'!$G$8)+310+((F7*0.00314)*'Технический лист'!$G$11))*1.5</f>
        <v>2001.7326175324674</v>
      </c>
      <c r="G8" s="16">
        <f>(((G6*0.00314)*'Технический лист'!$G$8)+310+((G7*0.00314)*'Технический лист'!$G$11))*1.5</f>
        <v>2058.537766233766</v>
      </c>
      <c r="H8" s="16">
        <f>(((H6*0.00314)*'Технический лист'!$G$8)+310+((H7*0.00314)*'Технический лист'!$G$11))*1.5</f>
        <v>2172.148063636363</v>
      </c>
      <c r="I8" s="16">
        <f>(((I6*0.00314)*'Технический лист'!$G$8)+310+((I7*0.00314)*'Технический лист'!$G$11))*1.5</f>
        <v>2285.758361038961</v>
      </c>
      <c r="J8" s="16">
        <f>(((J6*0.00314)*'Технический лист'!$G$8)+310+((J7*0.00314)*'Технический лист'!$G$11))*1.5</f>
        <v>2399.368658441558</v>
      </c>
      <c r="K8" s="16">
        <f>(((K6*0.00314)*'Технический лист'!$G$8)+310+((K7*0.00314)*'Технический лист'!$G$11))*1.5</f>
        <v>2626.5892532467533</v>
      </c>
      <c r="L8" s="16">
        <f>(((L6*0.00314)*'Технический лист'!$G$8)+310+((L7*0.00314)*'Технический лист'!$G$11))*1.5</f>
        <v>2853.809848051948</v>
      </c>
      <c r="M8" s="16">
        <f>(((M6*0.00314)*'Технический лист'!$G$8)+310+((M7*0.00314)*'Технический лист'!$G$11))*1.5</f>
        <v>3081.0304428571426</v>
      </c>
      <c r="N8" s="16">
        <f>(((N6*0.00314)*'Технический лист'!$G$8)+310+((N7*0.00314)*'Технический лист'!$G$11))*1.5</f>
        <v>3421.861335064935</v>
      </c>
      <c r="O8" s="16">
        <f>(((O6*0.00314)*'Технический лист'!$G$8)+310+((O7*0.00314)*'Технический лист'!$G$11))*1.5</f>
        <v>3535.471632467532</v>
      </c>
      <c r="P8" s="16">
        <f>(((P6*0.00314)*'Технический лист'!$G$8)+310+((P7*0.00314)*'Технический лист'!$G$11))*1.5</f>
        <v>3649.08192987013</v>
      </c>
      <c r="Q8" s="16">
        <f>(((Q6*0.00314)*'Технический лист'!$G$8)+310+((Q7*0.00314)*'Технический лист'!$G$11))*1.5</f>
        <v>3762.6922272727265</v>
      </c>
      <c r="R8" s="16">
        <f>(((R6*0.00314)*'Технический лист'!$G$8)+310+((R7*0.00314)*'Технический лист'!$G$11))*1.5</f>
        <v>3876.302524675324</v>
      </c>
      <c r="S8" s="16">
        <f>(((S6*0.00314)*'Технический лист'!$G$8)+310+((S7*0.00314)*'Технический лист'!$G$11))*1.5</f>
        <v>3989.912822077922</v>
      </c>
    </row>
    <row r="9" spans="1:19" ht="15">
      <c r="A9" s="4" t="s">
        <v>3</v>
      </c>
      <c r="B9" s="9">
        <f>((B8/2)*1.07)-10</f>
        <v>908.9731776038961</v>
      </c>
      <c r="C9" s="9">
        <f aca="true" t="shared" si="2" ref="C9:N9">((C8/2)*1.07)-10</f>
        <v>969.7546867142858</v>
      </c>
      <c r="D9" s="9">
        <f t="shared" si="2"/>
        <v>1000.1454412694804</v>
      </c>
      <c r="E9" s="9">
        <f t="shared" si="2"/>
        <v>1030.5361958246754</v>
      </c>
      <c r="F9" s="9">
        <f t="shared" si="2"/>
        <v>1060.92695037987</v>
      </c>
      <c r="G9" s="9">
        <f t="shared" si="2"/>
        <v>1091.317704935065</v>
      </c>
      <c r="H9" s="9">
        <f t="shared" si="2"/>
        <v>1152.0992140454543</v>
      </c>
      <c r="I9" s="9">
        <f t="shared" si="2"/>
        <v>1212.8807231558442</v>
      </c>
      <c r="J9" s="9">
        <f t="shared" si="2"/>
        <v>1273.6622322662338</v>
      </c>
      <c r="K9" s="9">
        <f t="shared" si="2"/>
        <v>1395.225250487013</v>
      </c>
      <c r="L9" s="9">
        <f t="shared" si="2"/>
        <v>1516.7882687077922</v>
      </c>
      <c r="M9" s="9">
        <f t="shared" si="2"/>
        <v>1638.3512869285714</v>
      </c>
      <c r="N9" s="9">
        <f t="shared" si="2"/>
        <v>1820.6958142597402</v>
      </c>
      <c r="O9" s="9">
        <f aca="true" t="shared" si="3" ref="O9:S9">((O8/2)*1.07)-10</f>
        <v>1881.4773233701296</v>
      </c>
      <c r="P9" s="9">
        <f t="shared" si="3"/>
        <v>1942.2588324805197</v>
      </c>
      <c r="Q9" s="9">
        <f t="shared" si="3"/>
        <v>2003.0403415909088</v>
      </c>
      <c r="R9" s="9">
        <f t="shared" si="3"/>
        <v>2063.8218507012984</v>
      </c>
      <c r="S9" s="9">
        <f t="shared" si="3"/>
        <v>2124.6033598116883</v>
      </c>
    </row>
    <row r="10" spans="1:19" ht="15">
      <c r="A10" s="4" t="s">
        <v>5</v>
      </c>
      <c r="B10" s="16">
        <f>((((B6*0.00314)*0.5)*'Технический лист'!$I$8)+310+(((B7*0.00314)*0.5)*'Технический лист'!$I$11))*1.55</f>
        <v>1473.89725991342</v>
      </c>
      <c r="C10" s="16">
        <f>((((C6*0.00314)*0.5)*'Технический лист'!$I$8)+310+(((C7*0.00314)*0.5)*'Технический лист'!$I$11))*1.55</f>
        <v>1561.6762385714285</v>
      </c>
      <c r="D10" s="16">
        <f>((((D6*0.00314)*0.5)*'Технический лист'!$I$8)+310+(((D7*0.00314)*0.5)*'Технический лист'!$I$11))*1.55</f>
        <v>1605.5657279004329</v>
      </c>
      <c r="E10" s="16">
        <f>((((E6*0.00314)*0.5)*'Технический лист'!$I$8)+310+(((E7*0.00314)*0.5)*'Технический лист'!$I$11))*1.55</f>
        <v>1649.4552172294373</v>
      </c>
      <c r="F10" s="16">
        <f>((((F6*0.00314)*0.5)*'Технический лист'!$I$8)+310+(((F7*0.00314)*0.5)*'Технический лист'!$I$11))*1.55</f>
        <v>1693.3447065584417</v>
      </c>
      <c r="G10" s="16">
        <f>((((G6*0.00314)*0.5)*'Технический лист'!$I$8)+310+(((G7*0.00314)*0.5)*'Технический лист'!$I$11))*1.55</f>
        <v>1737.234195887446</v>
      </c>
      <c r="H10" s="16">
        <f>((((H6*0.00314)*0.5)*'Технический лист'!$I$8)+310+(((H7*0.00314)*0.5)*'Технический лист'!$I$11))*1.55</f>
        <v>1825.0131745454544</v>
      </c>
      <c r="I10" s="16">
        <f>((((I6*0.00314)*0.5)*'Технический лист'!$I$8)+310+(((I7*0.00314)*0.5)*'Технический лист'!$I$11))*1.55</f>
        <v>1912.7921532034632</v>
      </c>
      <c r="J10" s="16">
        <f>((((J6*0.00314)*0.5)*'Технический лист'!$I$8)+310+(((J7*0.00314)*0.5)*'Технический лист'!$I$11))*1.55</f>
        <v>2000.571131861472</v>
      </c>
      <c r="K10" s="16">
        <f>((((K6*0.00314)*0.5)*'Технический лист'!$I$8)+310+(((K7*0.00314)*0.5)*'Технический лист'!$I$11))*1.55</f>
        <v>2176.1290891774893</v>
      </c>
      <c r="L10" s="16">
        <f>((((L6*0.00314)*0.5)*'Технический лист'!$I$8)+310+(((L7*0.00314)*0.5)*'Технический лист'!$I$11))*1.55</f>
        <v>2351.6870464935064</v>
      </c>
      <c r="M10" s="16">
        <f>((((M6*0.00314)*0.5)*'Технический лист'!$I$8)+310+(((M7*0.00314)*0.5)*'Технический лист'!$I$11))*1.55</f>
        <v>2527.2450038095235</v>
      </c>
      <c r="N10" s="16">
        <f>((((N6*0.00314)*0.5)*'Технический лист'!$I$8)+310+(((N7*0.00314)*0.5)*'Технический лист'!$I$11))*1.55</f>
        <v>2790.58193978355</v>
      </c>
      <c r="O10" s="16">
        <f>((((O6*0.00314)*0.5)*'Технический лист'!$I$8)+310+(((O7*0.00314)*0.5)*'Технический лист'!$I$11))*1.55</f>
        <v>2878.3609184415586</v>
      </c>
      <c r="P10" s="16">
        <f>((((P6*0.00314)*0.5)*'Технический лист'!$I$8)+310+(((P7*0.00314)*0.5)*'Технический лист'!$I$11))*1.55</f>
        <v>2966.139897099567</v>
      </c>
      <c r="Q10" s="16">
        <f>((((Q6*0.00314)*0.5)*'Технический лист'!$I$8)+310+(((Q7*0.00314)*0.5)*'Технический лист'!$I$11))*1.55</f>
        <v>3053.9188757575757</v>
      </c>
      <c r="R10" s="16">
        <f>((((R6*0.00314)*0.5)*'Технический лист'!$I$8)+310+(((R7*0.00314)*0.5)*'Технический лист'!$I$11))*1.55</f>
        <v>3141.6978544155845</v>
      </c>
      <c r="S10" s="16">
        <f>((((S6*0.00314)*0.5)*'Технический лист'!$I$8)+310+(((S7*0.00314)*0.5)*'Технический лист'!$I$11))*1.55</f>
        <v>3229.476833073593</v>
      </c>
    </row>
    <row r="11" spans="1:19" ht="15">
      <c r="A11" s="4" t="s">
        <v>96</v>
      </c>
      <c r="B11" s="9">
        <f>((B10*2)/3)-6</f>
        <v>976.5981732756132</v>
      </c>
      <c r="C11" s="9">
        <f aca="true" t="shared" si="4" ref="C11:N11">((C10*2)/3)-6</f>
        <v>1035.1174923809524</v>
      </c>
      <c r="D11" s="9">
        <f t="shared" si="4"/>
        <v>1064.377151933622</v>
      </c>
      <c r="E11" s="9">
        <f t="shared" si="4"/>
        <v>1093.6368114862914</v>
      </c>
      <c r="F11" s="9">
        <f t="shared" si="4"/>
        <v>1122.8964710389612</v>
      </c>
      <c r="G11" s="9">
        <f t="shared" si="4"/>
        <v>1152.1561305916307</v>
      </c>
      <c r="H11" s="9">
        <f t="shared" si="4"/>
        <v>1210.6754496969695</v>
      </c>
      <c r="I11" s="9">
        <f t="shared" si="4"/>
        <v>1269.1947688023088</v>
      </c>
      <c r="J11" s="9">
        <f t="shared" si="4"/>
        <v>1327.714087907648</v>
      </c>
      <c r="K11" s="9">
        <f t="shared" si="4"/>
        <v>1444.752726118326</v>
      </c>
      <c r="L11" s="9">
        <f t="shared" si="4"/>
        <v>1561.7913643290042</v>
      </c>
      <c r="M11" s="9">
        <f t="shared" si="4"/>
        <v>1678.8300025396823</v>
      </c>
      <c r="N11" s="9">
        <f t="shared" si="4"/>
        <v>1854.3879598556998</v>
      </c>
      <c r="O11" s="9">
        <f aca="true" t="shared" si="5" ref="O11:S11">((O10*2)/3)-6</f>
        <v>1912.907278961039</v>
      </c>
      <c r="P11" s="9">
        <f t="shared" si="5"/>
        <v>1971.426598066378</v>
      </c>
      <c r="Q11" s="9">
        <f t="shared" si="5"/>
        <v>2029.9459171717172</v>
      </c>
      <c r="R11" s="9">
        <f t="shared" si="5"/>
        <v>2088.465236277056</v>
      </c>
      <c r="S11" s="9">
        <f t="shared" si="5"/>
        <v>2146.9845553823952</v>
      </c>
    </row>
    <row r="12" spans="1:19" ht="15">
      <c r="A12" s="4" t="s">
        <v>6</v>
      </c>
      <c r="B12" s="16">
        <f>((((B6*0.00314)*0.22)*'Технический лист'!$M$8)+100+(((B7*0.00314)*0.21)*'Технический лист'!$O$11)+(((B6+30)*(B6+30)/1000000)*'Технический лист'!$E$20))*1.6</f>
        <v>816.2488301714286</v>
      </c>
      <c r="C12" s="16">
        <f>((((C6*0.00314)*0.22)*'Технический лист'!$M$8)+100+(((C7*0.00314)*0.21)*'Технический лист'!$O$11)+(((C6+30)*(C6+30)/1000000)*'Технический лист'!$E$20))*1.6</f>
        <v>880.3714578285716</v>
      </c>
      <c r="D12" s="16">
        <f>((((D6*0.00314)*0.22)*'Технический лист'!$M$8)+100+(((D7*0.00314)*0.21)*'Технический лист'!$O$11)+(((D6+30)*(D6+30)/1000000)*'Технический лист'!$E$20))*1.6</f>
        <v>912.9127716571429</v>
      </c>
      <c r="E12" s="16">
        <f>((((E6*0.00314)*0.22)*'Технический лист'!$M$8)+100+(((E7*0.00314)*0.21)*'Технический лист'!$O$11)+(((E6+30)*(E6+30)/1000000)*'Технический лист'!$E$20))*1.6</f>
        <v>945.7740854857144</v>
      </c>
      <c r="F12" s="16">
        <f>((((F6*0.00314)*0.22)*'Технический лист'!$M$8)+100+(((F7*0.00314)*0.21)*'Технический лист'!$O$11)+(((F6+30)*(F6+30)/1000000)*'Технический лист'!$E$20))*1.6</f>
        <v>978.9553993142858</v>
      </c>
      <c r="G12" s="16">
        <f>((((G6*0.00314)*0.22)*'Технический лист'!$M$8)+100+(((G7*0.00314)*0.21)*'Технический лист'!$O$11)+(((G6+30)*(G6+30)/1000000)*'Технический лист'!$E$20))*1.6</f>
        <v>1012.4567131428572</v>
      </c>
      <c r="H12" s="16">
        <f>((((H6*0.00314)*0.22)*'Технический лист'!$M$8)+100+(((H7*0.00314)*0.21)*'Технический лист'!$O$11)+(((H6+30)*(H6+30)/1000000)*'Технический лист'!$E$20))*1.6</f>
        <v>1080.4193407999999</v>
      </c>
      <c r="I12" s="16">
        <f>((((I6*0.00314)*0.22)*'Технический лист'!$M$8)+100+(((I7*0.00314)*0.21)*'Технический лист'!$O$11)+(((I6+30)*(I6+30)/1000000)*'Технический лист'!$E$20))*1.6</f>
        <v>1149.6619684571428</v>
      </c>
      <c r="J12" s="16">
        <f>((((J6*0.00314)*0.22)*'Технический лист'!$M$8)+100+(((J7*0.00314)*0.21)*'Технический лист'!$O$11)+(((J6+30)*(J6+30)/1000000)*'Технический лист'!$E$20))*1.6</f>
        <v>1220.1845961142856</v>
      </c>
      <c r="K12" s="16">
        <f>((((K6*0.00314)*0.22)*'Технический лист'!$M$8)+100+(((K7*0.00314)*0.21)*'Технический лист'!$O$11)+(((K6+30)*(K6+30)/1000000)*'Технический лист'!$E$20))*1.6</f>
        <v>1365.0698514285714</v>
      </c>
      <c r="L12" s="16">
        <f>((((L6*0.00314)*0.22)*'Технический лист'!$M$8)+100+(((L7*0.00314)*0.21)*'Технический лист'!$O$11)+(((L6+30)*(L6+30)/1000000)*'Технический лист'!$E$20))*1.6</f>
        <v>1515.0751067428573</v>
      </c>
      <c r="M12" s="16">
        <f>((((M6*0.00314)*0.22)*'Технический лист'!$M$8)+100+(((M7*0.00314)*0.21)*'Технический лист'!$O$11)+(((M6+30)*(M6+30)/1000000)*'Технический лист'!$E$20))*1.6</f>
        <v>1670.200362057143</v>
      </c>
      <c r="N12" s="16">
        <f>((((N6*0.00314)*0.22)*'Технический лист'!$M$8)+100+(((N7*0.00314)*0.21)*'Технический лист'!$O$11)+(((N6+30)*(N6+30)/1000000)*'Технический лист'!$E$20))*1.6</f>
        <v>1912.4882450285713</v>
      </c>
      <c r="O12" s="16">
        <f>((((O6*0.00314)*0.22)*'Технический лист'!$M$8)+100+(((O7*0.00314)*0.21)*'Технический лист'!$O$11)+(((O6+30)*(O6+30)/1000000)*'Технический лист'!$E$20))*1.6</f>
        <v>1995.8108726857145</v>
      </c>
      <c r="P12" s="16">
        <f>((((P6*0.00314)*0.22)*'Технический лист'!$M$8)+100+(((P7*0.00314)*0.21)*'Технический лист'!$O$11)+(((P6+30)*(P6+30)/1000000)*'Технический лист'!$E$20))*1.6</f>
        <v>2080.4135003428573</v>
      </c>
      <c r="Q12" s="16">
        <f>((((Q6*0.00314)*0.22)*'Технический лист'!$M$8)+100+(((Q7*0.00314)*0.21)*'Технический лист'!$O$11)+(((Q6+30)*(Q6+30)/1000000)*'Технический лист'!$E$20))*1.6</f>
        <v>2166.296128</v>
      </c>
      <c r="R12" s="16">
        <f>((((R6*0.00314)*0.22)*'Технический лист'!$M$8)+100+(((R7*0.00314)*0.21)*'Технический лист'!$O$11)+(((R6+30)*(R6+30)/1000000)*'Технический лист'!$E$20))*1.6</f>
        <v>2253.4587556571432</v>
      </c>
      <c r="S12" s="16">
        <f>((((S6*0.00314)*0.22)*'Технический лист'!$M$8)+100+(((S7*0.00314)*0.21)*'Технический лист'!$O$11)+(((S6+30)*(S6+30)/1000000)*'Технический лист'!$E$20))*1.6</f>
        <v>2341.9013833142853</v>
      </c>
    </row>
    <row r="13" spans="1:19" ht="15">
      <c r="A13" s="4" t="s">
        <v>7</v>
      </c>
      <c r="B13" s="9">
        <f>(B12*2.2)+24</f>
        <v>1819.747426377143</v>
      </c>
      <c r="C13" s="9">
        <f aca="true" t="shared" si="6" ref="C13:N13">(C12*2.2)+24</f>
        <v>1960.8172072228576</v>
      </c>
      <c r="D13" s="9">
        <f t="shared" si="6"/>
        <v>2032.4080976457146</v>
      </c>
      <c r="E13" s="9">
        <f t="shared" si="6"/>
        <v>2104.702988068572</v>
      </c>
      <c r="F13" s="9">
        <f t="shared" si="6"/>
        <v>2177.701878491429</v>
      </c>
      <c r="G13" s="9">
        <f t="shared" si="6"/>
        <v>2251.4047689142863</v>
      </c>
      <c r="H13" s="9">
        <f t="shared" si="6"/>
        <v>2400.92254976</v>
      </c>
      <c r="I13" s="9">
        <f t="shared" si="6"/>
        <v>2553.2563306057145</v>
      </c>
      <c r="J13" s="9">
        <f t="shared" si="6"/>
        <v>2708.4061114514284</v>
      </c>
      <c r="K13" s="9">
        <f t="shared" si="6"/>
        <v>3027.1536731428573</v>
      </c>
      <c r="L13" s="9">
        <f t="shared" si="6"/>
        <v>3357.1652348342864</v>
      </c>
      <c r="M13" s="9">
        <f t="shared" si="6"/>
        <v>3698.4407965257146</v>
      </c>
      <c r="N13" s="9">
        <f t="shared" si="6"/>
        <v>4231.474139062857</v>
      </c>
      <c r="O13" s="9">
        <f aca="true" t="shared" si="7" ref="O13:S13">(O12*2.2)+24</f>
        <v>4414.783919908572</v>
      </c>
      <c r="P13" s="9">
        <f t="shared" si="7"/>
        <v>4600.909700754287</v>
      </c>
      <c r="Q13" s="9">
        <f t="shared" si="7"/>
        <v>4789.851481600001</v>
      </c>
      <c r="R13" s="9">
        <f t="shared" si="7"/>
        <v>4981.609262445715</v>
      </c>
      <c r="S13" s="9">
        <f t="shared" si="7"/>
        <v>5176.1830432914285</v>
      </c>
    </row>
    <row r="14" spans="1:19" ht="15">
      <c r="A14" s="4" t="s">
        <v>8</v>
      </c>
      <c r="B14" s="16">
        <f>((((B6*0.00314)*0.2)*'Технический лист'!$M$8)+50+(((B7*0.00314)*0.22)*'Технический лист'!$O$11))*1.6</f>
        <v>605.0630856588745</v>
      </c>
      <c r="C14" s="16">
        <f>((((C6*0.00314)*0.2)*'Технический лист'!$M$8)+50+(((C7*0.00314)*0.22)*'Технический лист'!$O$11))*1.6</f>
        <v>649.2237933714285</v>
      </c>
      <c r="D14" s="16">
        <f>((((D6*0.00314)*0.2)*'Технический лист'!$M$8)+50+(((D7*0.00314)*0.22)*'Технический лист'!$O$11))*1.6</f>
        <v>671.3041472277057</v>
      </c>
      <c r="E14" s="16">
        <f>((((E6*0.00314)*0.2)*'Технический лист'!$M$8)+50+(((E7*0.00314)*0.22)*'Технический лист'!$O$11))*1.6</f>
        <v>693.3845010839829</v>
      </c>
      <c r="F14" s="16">
        <f>((((F6*0.00314)*0.2)*'Технический лист'!$M$8)+50+(((F7*0.00314)*0.22)*'Технический лист'!$O$11))*1.6</f>
        <v>715.4648549402599</v>
      </c>
      <c r="G14" s="16">
        <f>((((G6*0.00314)*0.2)*'Технический лист'!$M$8)+50+(((G7*0.00314)*0.22)*'Технический лист'!$O$11))*1.6</f>
        <v>737.5452087965368</v>
      </c>
      <c r="H14" s="16">
        <f>((((H6*0.00314)*0.2)*'Технический лист'!$M$8)+50+(((H7*0.00314)*0.22)*'Технический лист'!$O$11))*1.6</f>
        <v>781.7059165090909</v>
      </c>
      <c r="I14" s="16">
        <f>((((I6*0.00314)*0.2)*'Технический лист'!$M$8)+50+(((I7*0.00314)*0.22)*'Технический лист'!$O$11))*1.6</f>
        <v>825.866624221645</v>
      </c>
      <c r="J14" s="16">
        <f>((((J6*0.00314)*0.2)*'Технический лист'!$M$8)+50+(((J7*0.00314)*0.22)*'Технический лист'!$O$11))*1.6</f>
        <v>870.0273319341992</v>
      </c>
      <c r="K14" s="16">
        <f>((((K6*0.00314)*0.2)*'Технический лист'!$M$8)+50+(((K7*0.00314)*0.22)*'Технический лист'!$O$11))*1.6</f>
        <v>958.3487473593076</v>
      </c>
      <c r="L14" s="16">
        <f>((((L6*0.00314)*0.2)*'Технический лист'!$M$8)+50+(((L7*0.00314)*0.22)*'Технический лист'!$O$11))*1.6</f>
        <v>1046.6701627844157</v>
      </c>
      <c r="M14" s="16">
        <f>((((M6*0.00314)*0.2)*'Технический лист'!$M$8)+50+(((M7*0.00314)*0.22)*'Технический лист'!$O$11))*1.6</f>
        <v>1134.9915782095238</v>
      </c>
      <c r="N14" s="16">
        <f>((((N6*0.00314)*0.2)*'Технический лист'!$M$8)+50+(((N7*0.00314)*0.22)*'Технический лист'!$O$11))*1.6</f>
        <v>1267.4737013471865</v>
      </c>
      <c r="O14" s="16">
        <f>((((O6*0.00314)*0.2)*'Технический лист'!$M$8)+50+(((O7*0.00314)*0.22)*'Технический лист'!$O$11))*1.6</f>
        <v>1311.6344090597404</v>
      </c>
      <c r="P14" s="16">
        <f>((((P6*0.00314)*0.2)*'Технический лист'!$M$8)+50+(((P7*0.00314)*0.22)*'Технический лист'!$O$11))*1.6</f>
        <v>1355.7951167722947</v>
      </c>
      <c r="Q14" s="16">
        <f>((((Q6*0.00314)*0.2)*'Технический лист'!$M$8)+50+(((Q7*0.00314)*0.22)*'Технический лист'!$O$11))*1.6</f>
        <v>1399.9558244848486</v>
      </c>
      <c r="R14" s="16">
        <f>((((R6*0.00314)*0.2)*'Технический лист'!$M$8)+50+(((R7*0.00314)*0.22)*'Технический лист'!$O$11))*1.6</f>
        <v>1444.1165321974026</v>
      </c>
      <c r="S14" s="16">
        <f>((((S6*0.00314)*0.2)*'Технический лист'!$M$8)+50+(((S7*0.00314)*0.22)*'Технический лист'!$O$11))*1.6</f>
        <v>1488.2772399099567</v>
      </c>
    </row>
    <row r="15" spans="1:19" ht="15">
      <c r="A15" s="4" t="s">
        <v>99</v>
      </c>
      <c r="B15" s="16">
        <v>1970</v>
      </c>
      <c r="C15" s="16">
        <v>2115</v>
      </c>
      <c r="D15" s="16">
        <v>2190</v>
      </c>
      <c r="E15" s="16">
        <v>2260</v>
      </c>
      <c r="F15" s="16">
        <v>2335</v>
      </c>
      <c r="G15" s="16">
        <v>2415</v>
      </c>
      <c r="H15" s="16">
        <v>2570</v>
      </c>
      <c r="I15" s="16">
        <v>2730</v>
      </c>
      <c r="J15" s="16">
        <v>2890</v>
      </c>
      <c r="K15" s="16">
        <v>3225</v>
      </c>
      <c r="L15" s="16">
        <v>3575</v>
      </c>
      <c r="M15" s="16">
        <v>3945</v>
      </c>
      <c r="N15" s="16">
        <v>4525</v>
      </c>
      <c r="O15" s="16">
        <v>4725</v>
      </c>
      <c r="P15" s="16">
        <v>4930</v>
      </c>
      <c r="Q15" s="16">
        <v>5135</v>
      </c>
      <c r="R15" s="16">
        <v>5345</v>
      </c>
      <c r="S15" s="16">
        <v>5565</v>
      </c>
    </row>
    <row r="16" spans="1:19" ht="15">
      <c r="A16" s="4" t="s">
        <v>102</v>
      </c>
      <c r="B16" s="16">
        <v>2540</v>
      </c>
      <c r="C16" s="16">
        <v>2730</v>
      </c>
      <c r="D16" s="16">
        <v>2825</v>
      </c>
      <c r="E16" s="16">
        <v>2920</v>
      </c>
      <c r="F16" s="16">
        <v>3015</v>
      </c>
      <c r="G16" s="16">
        <v>3115</v>
      </c>
      <c r="H16" s="16">
        <v>3315</v>
      </c>
      <c r="I16" s="16">
        <v>3520</v>
      </c>
      <c r="J16" s="16">
        <v>3730</v>
      </c>
      <c r="K16" s="16">
        <v>4165</v>
      </c>
      <c r="L16" s="16">
        <v>4620</v>
      </c>
      <c r="M16" s="16">
        <v>5090</v>
      </c>
      <c r="N16" s="16">
        <v>5840</v>
      </c>
      <c r="O16" s="16">
        <v>4270</v>
      </c>
      <c r="P16" s="16">
        <v>6360</v>
      </c>
      <c r="Q16" s="16">
        <v>6630</v>
      </c>
      <c r="R16" s="16">
        <v>6900</v>
      </c>
      <c r="S16" s="16">
        <v>7180</v>
      </c>
    </row>
    <row r="17" spans="1:19" ht="15">
      <c r="A17" s="4" t="s">
        <v>9</v>
      </c>
      <c r="B17" s="9">
        <f>((((B6*0.00314)*((B6+545)/1000))*'Технический лист'!$K$8)+370+((B7*0.00314)*((B7+450)/1000))*'Технический лист'!$K$11)*1.5</f>
        <v>1790.6729612467532</v>
      </c>
      <c r="C17" s="9">
        <f>((((C6*0.00314)*((C6+545)/1000))*'Технический лист'!$K$8)+370+((C7*0.00314)*((C7+450)/1000))*'Технический лист'!$K$11)*1.5</f>
        <v>1921.4487822857143</v>
      </c>
      <c r="D17" s="9">
        <f>((((D6*0.00314)*((D6+545)/1000))*'Технический лист'!$K$8)+370+((D7*0.00314)*((D7+450)/1000))*'Технический лист'!$K$11)*1.5</f>
        <v>1988.1215012857142</v>
      </c>
      <c r="E17" s="9">
        <f>((((E6*0.00314)*((E6+545)/1000))*'Технический лист'!$K$8)+370+((E7*0.00314)*((E7+450)/1000))*'Технический лист'!$K$11)*1.5</f>
        <v>2055.650759272727</v>
      </c>
      <c r="F17" s="9">
        <f>((((F6*0.00314)*((F6+545)/1000))*'Технический лист'!$K$8)+370+((F7*0.00314)*((F7+450)/1000))*'Технический лист'!$K$11)*1.5</f>
        <v>2124.036556246753</v>
      </c>
      <c r="G17" s="9">
        <f>((((G6*0.00314)*((G6+545)/1000))*'Технический лист'!$K$8)+370+((G7*0.00314)*((G7+450)/1000))*'Технический лист'!$K$11)*1.5</f>
        <v>2193.2788922077925</v>
      </c>
      <c r="H17" s="9">
        <f>((((H6*0.00314)*((H6+545)/1000))*'Технический лист'!$K$8)+370+((H7*0.00314)*((H7+450)/1000))*'Технический лист'!$K$11)*1.5</f>
        <v>2334.3331810909094</v>
      </c>
      <c r="I17" s="9">
        <f>((((I6*0.00314)*((I6+545)/1000))*'Технический лист'!$K$8)+370+((I7*0.00314)*((I7+450)/1000))*'Технический лист'!$K$11)*1.5</f>
        <v>2478.8136259220773</v>
      </c>
      <c r="J17" s="9">
        <f>((((J6*0.00314)*((J6+545)/1000))*'Технический лист'!$K$8)+370+((J7*0.00314)*((J7+450)/1000))*'Технический лист'!$K$11)*1.5</f>
        <v>2626.720226701298</v>
      </c>
      <c r="K17" s="9">
        <f>((((K6*0.00314)*((K6+545)/1000))*'Технический лист'!$K$8)+370+((K7*0.00314)*((K7+450)/1000))*'Технический лист'!$K$11)*1.5</f>
        <v>2932.811896103896</v>
      </c>
      <c r="L17" s="9">
        <f>((((L6*0.00314)*((L6+545)/1000))*'Технический лист'!$K$8)+370+((L7*0.00314)*((L7+450)/1000))*'Технический лист'!$K$11)*1.5</f>
        <v>3252.6081892987013</v>
      </c>
      <c r="M17" s="9">
        <f>((((M6*0.00314)*((M6+545)/1000))*'Технический лист'!$K$8)+370+((M7*0.00314)*((M7+450)/1000))*'Технический лист'!$K$11)*1.5</f>
        <v>3586.109106285714</v>
      </c>
      <c r="N17" s="9">
        <f>((((N6*0.00314)*((N6+545)/1000))*'Технический лист'!$K$8)+370+((N7*0.00314)*((N7+450)/1000))*'Технический лист'!$K$11)*1.5</f>
        <v>4112.0566513766225</v>
      </c>
      <c r="O17" s="9">
        <f>((((O6*0.00314)*((O6+545)/1000))*'Технический лист'!$K$8)+370+((O7*0.00314)*((O7+450)/1000))*'Технический лист'!$K$11)*1.5</f>
        <v>4294.2248116363635</v>
      </c>
      <c r="P17" s="9">
        <f>((((P6*0.00314)*((P6+545)/1000))*'Технический лист'!$K$8)+370+((P7*0.00314)*((P7+450)/1000))*'Технический лист'!$K$11)*1.5</f>
        <v>4479.819127844155</v>
      </c>
      <c r="Q17" s="9">
        <f>((((Q6*0.00314)*((Q6+545)/1000))*'Технический лист'!$K$8)+370+((Q7*0.00314)*((Q7+450)/1000))*'Технический лист'!$K$11)*1.5</f>
        <v>4668.839599999999</v>
      </c>
      <c r="R17" s="9">
        <f>((((R6*0.00314)*((R6+545)/1000))*'Технический лист'!$K$8)+370+((R7*0.00314)*((R7+450)/1000))*'Технический лист'!$K$11)*1.5</f>
        <v>4861.286228103895</v>
      </c>
      <c r="S17" s="9">
        <f>((((S6*0.00314)*((S6+545)/1000))*'Технический лист'!$K$8)+370+((S7*0.00314)*((S7+450)/1000))*'Технический лист'!$K$11)*1.5</f>
        <v>5057.159012155844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46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лист'!$G$8)+310+((B23*0.00314)*'Технический лист'!$G$5))*1.5</f>
        <v>2344.121174025974</v>
      </c>
      <c r="C24" s="16">
        <f>(((C22*0.00314)*'Технический лист'!$G$8)+310+((C23*0.00314)*'Технический лист'!$G$5))*1.5</f>
        <v>2494.5793714285714</v>
      </c>
      <c r="D24" s="16">
        <f>(((D22*0.00314)*'Технический лист'!$G$8)+310+((D23*0.00314)*'Технический лист'!$G$5))*1.5</f>
        <v>2569.80847012987</v>
      </c>
      <c r="E24" s="16">
        <f>(((E22*0.00314)*'Технический лист'!$G$8)+310+((E23*0.00314)*'Технический лист'!$G$5))*1.5</f>
        <v>2645.0375688311688</v>
      </c>
      <c r="F24" s="16">
        <f>(((F22*0.00314)*'Технический лист'!$G$8)+310+((F23*0.00314)*'Технический лист'!$G$5))*1.5</f>
        <v>2720.266667532467</v>
      </c>
      <c r="G24" s="16">
        <f>(((G22*0.00314)*'Технический лист'!$G$8)+310+((G23*0.00314)*'Технический лист'!$G$5))*1.5</f>
        <v>2795.4957662337656</v>
      </c>
      <c r="H24" s="16">
        <f>(((H22*0.00314)*'Технический лист'!$G$8)+310+((H23*0.00314)*'Технический лист'!$G$5))*1.5</f>
        <v>2945.9539636363634</v>
      </c>
      <c r="I24" s="16">
        <f>(((I22*0.00314)*'Технический лист'!$G$8)+310+((I23*0.00314)*'Технический лист'!$G$5))*1.5</f>
        <v>3096.4121610389607</v>
      </c>
      <c r="J24" s="16">
        <f>(((J22*0.00314)*'Технический лист'!$G$8)+310+((J23*0.00314)*'Технический лист'!$G$5))*1.5</f>
        <v>3246.8703584415584</v>
      </c>
      <c r="K24" s="16">
        <f>(((K22*0.00314)*'Технический лист'!$G$8)+310+((K23*0.00314)*'Технический лист'!$G$5))*1.5</f>
        <v>3547.7867532467535</v>
      </c>
      <c r="L24" s="16">
        <f>(((L22*0.00314)*'Технический лист'!$G$8)+310+((L23*0.00314)*'Технический лист'!$G$5))*1.5</f>
        <v>3848.703148051948</v>
      </c>
      <c r="M24" s="16">
        <f>(((M22*0.00314)*'Технический лист'!$G$8)+310+((M23*0.00314)*'Технический лист'!$G$5))*1.5</f>
        <v>4149.619542857143</v>
      </c>
      <c r="N24" s="16">
        <f>(((N22*0.00314)*'Технический лист'!$G$8)+310+((N23*0.00314)*'Технический лист'!$G$5))*1.5</f>
        <v>4600.994135064934</v>
      </c>
      <c r="O24" s="16">
        <f>(((O22*0.00314)*'Технический лист'!$G$8)+310+((O23*0.00314)*'Технический лист'!$G$5))*1.5</f>
        <v>4751.452332467532</v>
      </c>
      <c r="P24" s="16">
        <f>(((P22*0.00314)*'Технический лист'!$G$8)+310+((P23*0.00314)*'Технический лист'!$G$5))*1.5</f>
        <v>4901.91052987013</v>
      </c>
      <c r="Q24" s="16">
        <f>(((Q22*0.00314)*'Технический лист'!$G$8)+310+((Q23*0.00314)*'Технический лист'!$G$5))*1.5</f>
        <v>5052.368727272727</v>
      </c>
      <c r="R24" s="16">
        <f>(((R22*0.00314)*'Технический лист'!$G$8)+310+((R23*0.00314)*'Технический лист'!$G$5))*1.5</f>
        <v>5202.826924675324</v>
      </c>
      <c r="S24" s="16">
        <f>(((S22*0.00314)*'Технический лист'!$G$8)+310+((S23*0.00314)*'Технический лист'!$G$5))*1.5</f>
        <v>5353.285122077921</v>
      </c>
    </row>
    <row r="25" spans="1:19" ht="15">
      <c r="A25" s="4" t="s">
        <v>3</v>
      </c>
      <c r="B25" s="9">
        <f>((B24/2)*1.07)-10</f>
        <v>1244.1048281038964</v>
      </c>
      <c r="C25" s="9">
        <f aca="true" t="shared" si="10" ref="C25:N25">((C24/2)*1.07)-10</f>
        <v>1324.5999637142859</v>
      </c>
      <c r="D25" s="9">
        <f t="shared" si="10"/>
        <v>1364.8475315194805</v>
      </c>
      <c r="E25" s="9">
        <f t="shared" si="10"/>
        <v>1405.0950993246754</v>
      </c>
      <c r="F25" s="9">
        <f t="shared" si="10"/>
        <v>1445.34266712987</v>
      </c>
      <c r="G25" s="9">
        <f t="shared" si="10"/>
        <v>1485.5902349350647</v>
      </c>
      <c r="H25" s="9">
        <f t="shared" si="10"/>
        <v>1566.0853705454545</v>
      </c>
      <c r="I25" s="9">
        <f t="shared" si="10"/>
        <v>1646.580506155844</v>
      </c>
      <c r="J25" s="9">
        <f t="shared" si="10"/>
        <v>1727.075641766234</v>
      </c>
      <c r="K25" s="9">
        <f t="shared" si="10"/>
        <v>1888.0659129870132</v>
      </c>
      <c r="L25" s="9">
        <f t="shared" si="10"/>
        <v>2049.0561842077923</v>
      </c>
      <c r="M25" s="9">
        <f t="shared" si="10"/>
        <v>2210.0464554285713</v>
      </c>
      <c r="N25" s="9">
        <f t="shared" si="10"/>
        <v>2451.53186225974</v>
      </c>
      <c r="O25" s="9">
        <f aca="true" t="shared" si="11" ref="O25:S25">((O24/2)*1.07)-10</f>
        <v>2532.02699787013</v>
      </c>
      <c r="P25" s="9">
        <f t="shared" si="11"/>
        <v>2612.5221334805196</v>
      </c>
      <c r="Q25" s="9">
        <f t="shared" si="11"/>
        <v>2693.017269090909</v>
      </c>
      <c r="R25" s="9">
        <f t="shared" si="11"/>
        <v>2773.5124047012987</v>
      </c>
      <c r="S25" s="9">
        <f t="shared" si="11"/>
        <v>2854.007540311688</v>
      </c>
    </row>
    <row r="26" spans="1:19" ht="15">
      <c r="A26" s="4" t="s">
        <v>5</v>
      </c>
      <c r="B26" s="16">
        <f>((((B22*0.00314)*0.5)*'Технический лист'!$I$8)+310+(((B23*0.00314)*0.5)*'Технический лист'!$I$5))*1.55</f>
        <v>1931.9955232467532</v>
      </c>
      <c r="C26" s="16">
        <f>((((C22*0.00314)*0.5)*'Технический лист'!$I$8)+310+(((C23*0.00314)*0.5)*'Технический лист'!$I$5))*1.55</f>
        <v>2046.7214585714285</v>
      </c>
      <c r="D26" s="16">
        <f>((((D22*0.00314)*0.5)*'Технический лист'!$I$8)+310+(((D23*0.00314)*0.5)*'Технический лист'!$I$5))*1.55</f>
        <v>2104.0844262337664</v>
      </c>
      <c r="E26" s="16">
        <f>((((E22*0.00314)*0.5)*'Технический лист'!$I$8)+310+(((E23*0.00314)*0.5)*'Технический лист'!$I$5))*1.55</f>
        <v>2161.447393896104</v>
      </c>
      <c r="F26" s="16">
        <f>((((F22*0.00314)*0.5)*'Технический лист'!$I$8)+310+(((F23*0.00314)*0.5)*'Технический лист'!$I$5))*1.55</f>
        <v>2218.810361558442</v>
      </c>
      <c r="G26" s="16">
        <f>((((G22*0.00314)*0.5)*'Технический лист'!$I$8)+310+(((G23*0.00314)*0.5)*'Технический лист'!$I$5))*1.55</f>
        <v>2276.173329220779</v>
      </c>
      <c r="H26" s="16">
        <f>((((H22*0.00314)*0.5)*'Технический лист'!$I$8)+310+(((H23*0.00314)*0.5)*'Технический лист'!$I$5))*1.55</f>
        <v>2390.8992645454546</v>
      </c>
      <c r="I26" s="16">
        <f>((((I22*0.00314)*0.5)*'Технический лист'!$I$8)+310+(((I23*0.00314)*0.5)*'Технический лист'!$I$5))*1.55</f>
        <v>2505.6251998701296</v>
      </c>
      <c r="J26" s="16">
        <f>((((J22*0.00314)*0.5)*'Технический лист'!$I$8)+310+(((J23*0.00314)*0.5)*'Технический лист'!$I$5))*1.55</f>
        <v>2620.3511351948055</v>
      </c>
      <c r="K26" s="16">
        <f>((((K22*0.00314)*0.5)*'Технический лист'!$I$8)+310+(((K23*0.00314)*0.5)*'Технический лист'!$I$5))*1.55</f>
        <v>2849.803005844156</v>
      </c>
      <c r="L26" s="16">
        <f>((((L22*0.00314)*0.5)*'Технический лист'!$I$8)+310+(((L23*0.00314)*0.5)*'Технический лист'!$I$5))*1.55</f>
        <v>3079.254876493507</v>
      </c>
      <c r="M26" s="16">
        <f>((((M22*0.00314)*0.5)*'Технический лист'!$I$8)+310+(((M23*0.00314)*0.5)*'Технический лист'!$I$5))*1.55</f>
        <v>3308.706747142857</v>
      </c>
      <c r="N26" s="16">
        <f>((((N22*0.00314)*0.5)*'Технический лист'!$I$8)+310+(((N23*0.00314)*0.5)*'Технический лист'!$I$5))*1.55</f>
        <v>3652.884553116883</v>
      </c>
      <c r="O26" s="16">
        <f>((((O22*0.00314)*0.5)*'Технический лист'!$I$8)+310+(((O23*0.00314)*0.5)*'Технический лист'!$I$5))*1.55</f>
        <v>3767.610488441559</v>
      </c>
      <c r="P26" s="16">
        <f>((((P22*0.00314)*0.5)*'Технический лист'!$I$8)+310+(((P23*0.00314)*0.5)*'Технический лист'!$I$5))*1.55</f>
        <v>3882.3364237662336</v>
      </c>
      <c r="Q26" s="16">
        <f>((((Q22*0.00314)*0.5)*'Технический лист'!$I$8)+310+(((Q23*0.00314)*0.5)*'Технический лист'!$I$5))*1.55</f>
        <v>3997.0623590909086</v>
      </c>
      <c r="R26" s="16">
        <f>((((R22*0.00314)*0.5)*'Технический лист'!$I$8)+310+(((R23*0.00314)*0.5)*'Технический лист'!$I$5))*1.55</f>
        <v>4111.7882944155845</v>
      </c>
      <c r="S26" s="16">
        <f>((((S22*0.00314)*0.5)*'Технический лист'!$I$8)+310+(((S23*0.00314)*0.5)*'Технический лист'!$I$5))*1.55</f>
        <v>4226.51422974026</v>
      </c>
    </row>
    <row r="27" spans="1:19" ht="15">
      <c r="A27" s="4" t="s">
        <v>96</v>
      </c>
      <c r="B27" s="9">
        <f>((B26*2)/3)-6</f>
        <v>1281.9970154978355</v>
      </c>
      <c r="C27" s="9">
        <f aca="true" t="shared" si="12" ref="C27:N27">((C26*2)/3)-6</f>
        <v>1358.4809723809524</v>
      </c>
      <c r="D27" s="9">
        <f t="shared" si="12"/>
        <v>1396.722950822511</v>
      </c>
      <c r="E27" s="9">
        <f t="shared" si="12"/>
        <v>1434.9649292640695</v>
      </c>
      <c r="F27" s="9">
        <f t="shared" si="12"/>
        <v>1473.2069077056278</v>
      </c>
      <c r="G27" s="9">
        <f t="shared" si="12"/>
        <v>1511.4488861471862</v>
      </c>
      <c r="H27" s="9">
        <f t="shared" si="12"/>
        <v>1587.932843030303</v>
      </c>
      <c r="I27" s="9">
        <f t="shared" si="12"/>
        <v>1664.4167999134197</v>
      </c>
      <c r="J27" s="9">
        <f t="shared" si="12"/>
        <v>1740.900756796537</v>
      </c>
      <c r="K27" s="9">
        <f t="shared" si="12"/>
        <v>1893.8686705627706</v>
      </c>
      <c r="L27" s="9">
        <f t="shared" si="12"/>
        <v>2046.8365843290044</v>
      </c>
      <c r="M27" s="9">
        <f t="shared" si="12"/>
        <v>2199.8044980952377</v>
      </c>
      <c r="N27" s="9">
        <f t="shared" si="12"/>
        <v>2429.2563687445886</v>
      </c>
      <c r="O27" s="9">
        <f aca="true" t="shared" si="13" ref="O27:S27">((O26*2)/3)-6</f>
        <v>2505.740325627706</v>
      </c>
      <c r="P27" s="9">
        <f t="shared" si="13"/>
        <v>2582.2242825108224</v>
      </c>
      <c r="Q27" s="9">
        <f t="shared" si="13"/>
        <v>2658.708239393939</v>
      </c>
      <c r="R27" s="9">
        <f t="shared" si="13"/>
        <v>2735.192196277056</v>
      </c>
      <c r="S27" s="9">
        <f t="shared" si="13"/>
        <v>2811.6761531601733</v>
      </c>
    </row>
    <row r="28" spans="1:19" ht="15">
      <c r="A28" s="4" t="s">
        <v>6</v>
      </c>
      <c r="B28" s="16">
        <f>((((B22*0.00314)*0.22)*'Технический лист'!$M$8)+100+(((B23*0.00314)*0.21)*'Технический лист'!$O$5)+(((B22+30)*(B22+30)/1000000)*'Технический лист'!$E$20))*1.6</f>
        <v>984.3659373714286</v>
      </c>
      <c r="C28" s="16">
        <f>((((C22*0.00314)*0.22)*'Технический лист'!$M$8)+100+(((C23*0.00314)*0.21)*'Технический лист'!$O$5)+(((C22+30)*(C22+30)/1000000)*'Технический лист'!$E$20))*1.6</f>
        <v>1058.3778066285713</v>
      </c>
      <c r="D28" s="16">
        <f>((((D22*0.00314)*0.22)*'Технический лист'!$M$8)+100+(((D23*0.00314)*0.21)*'Технический лист'!$O$5)+(((D22+30)*(D22+30)/1000000)*'Технический лист'!$E$20))*1.6</f>
        <v>1095.863741257143</v>
      </c>
      <c r="E28" s="16">
        <f>((((E22*0.00314)*0.22)*'Технический лист'!$M$8)+100+(((E23*0.00314)*0.21)*'Технический лист'!$O$5)+(((E22+30)*(E22+30)/1000000)*'Технический лист'!$E$20))*1.6</f>
        <v>1133.6696758857145</v>
      </c>
      <c r="F28" s="16">
        <f>((((F22*0.00314)*0.22)*'Технический лист'!$M$8)+100+(((F23*0.00314)*0.21)*'Технический лист'!$O$5)+(((F22+30)*(F22+30)/1000000)*'Технический лист'!$E$20))*1.6</f>
        <v>1171.7956105142855</v>
      </c>
      <c r="G28" s="16">
        <f>((((G22*0.00314)*0.22)*'Технический лист'!$M$8)+100+(((G23*0.00314)*0.21)*'Технический лист'!$O$5)+(((G22+30)*(G22+30)/1000000)*'Технический лист'!$E$20))*1.6</f>
        <v>1210.2415451428571</v>
      </c>
      <c r="H28" s="16">
        <f>((((H22*0.00314)*0.22)*'Технический лист'!$M$8)+100+(((H23*0.00314)*0.21)*'Технический лист'!$O$5)+(((H22+30)*(H22+30)/1000000)*'Технический лист'!$E$20))*1.6</f>
        <v>1288.0934144</v>
      </c>
      <c r="I28" s="16">
        <f>((((I22*0.00314)*0.22)*'Технический лист'!$M$8)+100+(((I23*0.00314)*0.21)*'Технический лист'!$O$5)+(((I22+30)*(I22+30)/1000000)*'Технический лист'!$E$20))*1.6</f>
        <v>1367.2252836571427</v>
      </c>
      <c r="J28" s="16">
        <f>((((J22*0.00314)*0.22)*'Технический лист'!$M$8)+100+(((J23*0.00314)*0.21)*'Технический лист'!$O$5)+(((J22+30)*(J22+30)/1000000)*'Технический лист'!$E$20))*1.6</f>
        <v>1447.6371529142855</v>
      </c>
      <c r="K28" s="16">
        <f>((((K22*0.00314)*0.22)*'Технический лист'!$M$8)+100+(((K23*0.00314)*0.21)*'Технический лист'!$O$5)+(((K22+30)*(K22+30)/1000000)*'Технический лист'!$E$20))*1.6</f>
        <v>1612.3008914285715</v>
      </c>
      <c r="L28" s="16">
        <f>((((L22*0.00314)*0.22)*'Технический лист'!$M$8)+100+(((L23*0.00314)*0.21)*'Технический лист'!$O$5)+(((L22+30)*(L22+30)/1000000)*'Технический лист'!$E$20))*1.6</f>
        <v>1782.0846299428574</v>
      </c>
      <c r="M28" s="16">
        <f>((((M22*0.00314)*0.22)*'Технический лист'!$M$8)+100+(((M23*0.00314)*0.21)*'Технический лист'!$O$5)+(((M22+30)*(M22+30)/1000000)*'Технический лист'!$E$20))*1.6</f>
        <v>1956.988368457143</v>
      </c>
      <c r="N28" s="16">
        <f>((((N22*0.00314)*0.22)*'Технический лист'!$M$8)+100+(((N23*0.00314)*0.21)*'Технический лист'!$O$5)+(((N22+30)*(N22+30)/1000000)*'Технический лист'!$E$20))*1.6</f>
        <v>2228.9439762285715</v>
      </c>
      <c r="O28" s="16">
        <f>((((O22*0.00314)*0.22)*'Технический лист'!$M$8)+100+(((O23*0.00314)*0.21)*'Технический лист'!$O$5)+(((O22+30)*(O22+30)/1000000)*'Технический лист'!$E$20))*1.6</f>
        <v>2322.1558454857145</v>
      </c>
      <c r="P28" s="16">
        <f>((((P22*0.00314)*0.22)*'Технический лист'!$M$8)+100+(((P23*0.00314)*0.21)*'Технический лист'!$O$5)+(((P22+30)*(P22+30)/1000000)*'Технический лист'!$E$20))*1.6</f>
        <v>2416.6477147428573</v>
      </c>
      <c r="Q28" s="16">
        <f>((((Q22*0.00314)*0.22)*'Технический лист'!$M$8)+100+(((Q23*0.00314)*0.21)*'Технический лист'!$O$5)+(((Q22+30)*(Q22+30)/1000000)*'Технический лист'!$E$20))*1.6</f>
        <v>2512.419584</v>
      </c>
      <c r="R28" s="16">
        <f>((((R22*0.00314)*0.22)*'Технический лист'!$M$8)+100+(((R23*0.00314)*0.21)*'Технический лист'!$O$5)+(((R22+30)*(R22+30)/1000000)*'Технический лист'!$E$20))*1.6</f>
        <v>2609.4714532571434</v>
      </c>
      <c r="S28" s="16">
        <f>((((S22*0.00314)*0.22)*'Технический лист'!$M$8)+100+(((S23*0.00314)*0.21)*'Технический лист'!$O$5)+(((S22+30)*(S22+30)/1000000)*'Технический лист'!$E$20))*1.6</f>
        <v>2707.8033225142854</v>
      </c>
    </row>
    <row r="29" spans="1:19" ht="15">
      <c r="A29" s="4" t="s">
        <v>7</v>
      </c>
      <c r="B29" s="9">
        <f>(B28*2.2)+24</f>
        <v>2189.605062217143</v>
      </c>
      <c r="C29" s="9">
        <f aca="true" t="shared" si="14" ref="C29:N29">(C28*2.2)+24</f>
        <v>2352.4311745828572</v>
      </c>
      <c r="D29" s="9">
        <f t="shared" si="14"/>
        <v>2434.9002307657147</v>
      </c>
      <c r="E29" s="9">
        <f t="shared" si="14"/>
        <v>2518.073286948572</v>
      </c>
      <c r="F29" s="9">
        <f t="shared" si="14"/>
        <v>2601.9503431314283</v>
      </c>
      <c r="G29" s="9">
        <f t="shared" si="14"/>
        <v>2686.531399314286</v>
      </c>
      <c r="H29" s="9">
        <f t="shared" si="14"/>
        <v>2857.80551168</v>
      </c>
      <c r="I29" s="9">
        <f t="shared" si="14"/>
        <v>3031.895624045714</v>
      </c>
      <c r="J29" s="9">
        <f t="shared" si="14"/>
        <v>3208.8017364114285</v>
      </c>
      <c r="K29" s="9">
        <f t="shared" si="14"/>
        <v>3571.0619611428574</v>
      </c>
      <c r="L29" s="9">
        <f t="shared" si="14"/>
        <v>3944.5861858742865</v>
      </c>
      <c r="M29" s="9">
        <f t="shared" si="14"/>
        <v>4329.374410605715</v>
      </c>
      <c r="N29" s="9">
        <f t="shared" si="14"/>
        <v>4927.676747702858</v>
      </c>
      <c r="O29" s="9">
        <f aca="true" t="shared" si="15" ref="O29:S29">(O28*2.2)+24</f>
        <v>5132.742860068573</v>
      </c>
      <c r="P29" s="9">
        <f t="shared" si="15"/>
        <v>5340.624972434286</v>
      </c>
      <c r="Q29" s="9">
        <f t="shared" si="15"/>
        <v>5551.323084800001</v>
      </c>
      <c r="R29" s="9">
        <f t="shared" si="15"/>
        <v>5764.837197165716</v>
      </c>
      <c r="S29" s="9">
        <f t="shared" si="15"/>
        <v>5981.167309531428</v>
      </c>
    </row>
    <row r="30" spans="1:19" ht="15">
      <c r="A30" s="4" t="s">
        <v>8</v>
      </c>
      <c r="B30" s="16">
        <f>((((B22*0.00314)*0.2)*'Технический лист'!$M$8)+50+(((B23*0.00314)*0.22)*'Технический лист'!$O$5))*1.55</f>
        <v>756.7737140987014</v>
      </c>
      <c r="C30" s="16">
        <f>((((C22*0.00314)*0.2)*'Технический лист'!$M$8)+50+(((C23*0.00314)*0.22)*'Технический лист'!$O$5))*1.55</f>
        <v>809.5908026285714</v>
      </c>
      <c r="D30" s="16">
        <f>((((D22*0.00314)*0.2)*'Технический лист'!$M$8)+50+(((D23*0.00314)*0.22)*'Технический лист'!$O$5))*1.55</f>
        <v>835.9993468935065</v>
      </c>
      <c r="E30" s="16">
        <f>((((E22*0.00314)*0.2)*'Технический лист'!$M$8)+50+(((E23*0.00314)*0.22)*'Технический лист'!$O$5))*1.55</f>
        <v>862.4078911584415</v>
      </c>
      <c r="F30" s="16">
        <f>((((F22*0.00314)*0.2)*'Технический лист'!$M$8)+50+(((F23*0.00314)*0.22)*'Технический лист'!$O$5))*1.55</f>
        <v>888.8164354233767</v>
      </c>
      <c r="G30" s="16">
        <f>((((G22*0.00314)*0.2)*'Технический лист'!$M$8)+50+(((G23*0.00314)*0.22)*'Технический лист'!$O$5))*1.55</f>
        <v>915.2249796883118</v>
      </c>
      <c r="H30" s="16">
        <f>((((H22*0.00314)*0.2)*'Технический лист'!$M$8)+50+(((H23*0.00314)*0.22)*'Технический лист'!$O$5))*1.55</f>
        <v>968.0420682181818</v>
      </c>
      <c r="I30" s="16">
        <f>((((I22*0.00314)*0.2)*'Технический лист'!$M$8)+50+(((I23*0.00314)*0.22)*'Технический лист'!$O$5))*1.55</f>
        <v>1020.859156748052</v>
      </c>
      <c r="J30" s="16">
        <f>((((J22*0.00314)*0.2)*'Технический лист'!$M$8)+50+(((J23*0.00314)*0.22)*'Технический лист'!$O$5))*1.55</f>
        <v>1073.676245277922</v>
      </c>
      <c r="K30" s="16">
        <f>((((K22*0.00314)*0.2)*'Технический лист'!$M$8)+50+(((K23*0.00314)*0.22)*'Технический лист'!$O$5))*1.55</f>
        <v>1179.3104223376624</v>
      </c>
      <c r="L30" s="16">
        <f>((((L22*0.00314)*0.2)*'Технический лист'!$M$8)+50+(((L23*0.00314)*0.22)*'Технический лист'!$O$5))*1.55</f>
        <v>1284.9445993974027</v>
      </c>
      <c r="M30" s="16">
        <f>((((M22*0.00314)*0.2)*'Технический лист'!$M$8)+50+(((M23*0.00314)*0.22)*'Технический лист'!$O$5))*1.55</f>
        <v>1390.5787764571428</v>
      </c>
      <c r="N30" s="16">
        <f>((((N22*0.00314)*0.2)*'Технический лист'!$M$8)+50+(((N23*0.00314)*0.22)*'Технический лист'!$O$5))*1.55</f>
        <v>1549.0300420467534</v>
      </c>
      <c r="O30" s="16">
        <f>((((O22*0.00314)*0.2)*'Технический лист'!$M$8)+50+(((O23*0.00314)*0.22)*'Технический лист'!$O$5))*1.55</f>
        <v>1601.8471305766232</v>
      </c>
      <c r="P30" s="16">
        <f>((((P22*0.00314)*0.2)*'Технический лист'!$M$8)+50+(((P23*0.00314)*0.22)*'Технический лист'!$O$5))*1.55</f>
        <v>1654.6642191064939</v>
      </c>
      <c r="Q30" s="16">
        <f>((((Q22*0.00314)*0.2)*'Технический лист'!$M$8)+50+(((Q23*0.00314)*0.22)*'Технический лист'!$O$5))*1.55</f>
        <v>1707.4813076363637</v>
      </c>
      <c r="R30" s="16">
        <f>((((R22*0.00314)*0.2)*'Технический лист'!$M$8)+50+(((R23*0.00314)*0.22)*'Технический лист'!$O$5))*1.55</f>
        <v>1760.298396166234</v>
      </c>
      <c r="S30" s="16">
        <f>((((S22*0.00314)*0.2)*'Технический лист'!$M$8)+50+(((S23*0.00314)*0.22)*'Технический лист'!$O$5))*1.55</f>
        <v>1813.115484696104</v>
      </c>
    </row>
    <row r="31" spans="1:19" ht="15">
      <c r="A31" s="4" t="s">
        <v>99</v>
      </c>
      <c r="B31" s="16">
        <v>2675</v>
      </c>
      <c r="C31" s="16">
        <v>2870</v>
      </c>
      <c r="D31" s="16">
        <v>2970</v>
      </c>
      <c r="E31" s="16">
        <v>3070</v>
      </c>
      <c r="F31" s="16">
        <v>3175</v>
      </c>
      <c r="G31" s="16">
        <v>3280</v>
      </c>
      <c r="H31" s="16">
        <v>3495</v>
      </c>
      <c r="I31" s="16">
        <v>3710</v>
      </c>
      <c r="J31" s="16">
        <v>3935</v>
      </c>
      <c r="K31" s="16">
        <v>4395</v>
      </c>
      <c r="L31" s="16">
        <v>4875</v>
      </c>
      <c r="M31" s="16">
        <v>5375</v>
      </c>
      <c r="N31" s="16">
        <v>6160</v>
      </c>
      <c r="O31" s="16">
        <v>6440</v>
      </c>
      <c r="P31" s="16">
        <v>6720</v>
      </c>
      <c r="Q31" s="16">
        <v>7005</v>
      </c>
      <c r="R31" s="16">
        <v>7295</v>
      </c>
      <c r="S31" s="16">
        <v>7585</v>
      </c>
    </row>
    <row r="32" spans="1:19" ht="15">
      <c r="A32" s="4" t="s">
        <v>102</v>
      </c>
      <c r="B32" s="16">
        <v>3450</v>
      </c>
      <c r="C32" s="16">
        <v>3705</v>
      </c>
      <c r="D32" s="16">
        <v>3835</v>
      </c>
      <c r="E32" s="16">
        <v>3965</v>
      </c>
      <c r="F32" s="16">
        <v>4100</v>
      </c>
      <c r="G32" s="16">
        <v>4235</v>
      </c>
      <c r="H32" s="16">
        <v>4505</v>
      </c>
      <c r="I32" s="16">
        <v>4790</v>
      </c>
      <c r="J32" s="16">
        <v>5075</v>
      </c>
      <c r="K32" s="16">
        <v>5670</v>
      </c>
      <c r="L32" s="16">
        <v>6290</v>
      </c>
      <c r="M32" s="16">
        <v>6940</v>
      </c>
      <c r="N32" s="16">
        <v>7960</v>
      </c>
      <c r="O32" s="16">
        <v>8315</v>
      </c>
      <c r="P32" s="16">
        <v>8675</v>
      </c>
      <c r="Q32" s="16">
        <v>9040</v>
      </c>
      <c r="R32" s="16">
        <v>9415</v>
      </c>
      <c r="S32" s="16">
        <v>9790</v>
      </c>
    </row>
    <row r="33" spans="1:19" ht="15">
      <c r="A33" s="4" t="s">
        <v>9</v>
      </c>
      <c r="B33" s="9">
        <f>((((B22*0.00314)*((B22+545)/1000))*'Технический лист'!$K$8)+370+((B23*0.00314)*((B23+450)/1000))*'Технический лист'!$K$5)*1.65</f>
        <v>2672.723896971429</v>
      </c>
      <c r="C33" s="9">
        <f>((((C22*0.00314)*((C22+545)/1000))*'Технический лист'!$K$8)+370+((C23*0.00314)*((C23+450)/1000))*'Технический лист'!$K$5)*1.65</f>
        <v>2869.9346921142856</v>
      </c>
      <c r="D33" s="9">
        <f>((((D22*0.00314)*((D22+545)/1000))*'Технический лист'!$K$8)+370+((D23*0.00314)*((D23+450)/1000))*'Технический лист'!$K$5)*1.65</f>
        <v>2970.4536045642853</v>
      </c>
      <c r="E33" s="9">
        <f>((((E22*0.00314)*((E22+545)/1000))*'Технический лист'!$K$8)+370+((E23*0.00314)*((E23+450)/1000))*'Технический лист'!$K$5)*1.65</f>
        <v>3072.2481936</v>
      </c>
      <c r="F33" s="9">
        <f>((((F22*0.00314)*((F22+545)/1000))*'Технический лист'!$K$8)+370+((F23*0.00314)*((F23+450)/1000))*'Технический лист'!$K$5)*1.65</f>
        <v>3175.318459221428</v>
      </c>
      <c r="G33" s="9">
        <f>((((G22*0.00314)*((G22+545)/1000))*'Технический лист'!$K$8)+370+((G23*0.00314)*((G23+450)/1000))*'Технический лист'!$K$5)*1.65</f>
        <v>3279.6644014285716</v>
      </c>
      <c r="H33" s="9">
        <f>((((H22*0.00314)*((H22+545)/1000))*'Технический лист'!$K$8)+370+((H23*0.00314)*((H23+450)/1000))*'Технический лист'!$K$5)*1.65</f>
        <v>3492.1833156000002</v>
      </c>
      <c r="I33" s="9">
        <f>((((I22*0.00314)*((I22+545)/1000))*'Технический лист'!$K$8)+370+((I23*0.00314)*((I23+450)/1000))*'Технический лист'!$K$5)*1.65</f>
        <v>3709.8049361142857</v>
      </c>
      <c r="J33" s="9">
        <f>((((J22*0.00314)*((J22+545)/1000))*'Технический лист'!$K$8)+370+((J23*0.00314)*((J23+450)/1000))*'Технический лист'!$K$5)*1.65</f>
        <v>3932.5292629714277</v>
      </c>
      <c r="K33" s="9">
        <f>((((K22*0.00314)*((K22+545)/1000))*'Технический лист'!$K$8)+370+((K23*0.00314)*((K23+450)/1000))*'Технический лист'!$K$5)*1.65</f>
        <v>4393.286035714285</v>
      </c>
      <c r="L33" s="9">
        <f>((((L22*0.00314)*((L22+545)/1000))*'Технический лист'!$K$8)+370+((L23*0.00314)*((L23+450)/1000))*'Технический лист'!$K$5)*1.65</f>
        <v>4874.453633828571</v>
      </c>
      <c r="M33" s="9">
        <f>((((M22*0.00314)*((M22+545)/1000))*'Технический лист'!$K$8)+370+((M23*0.00314)*((M23+450)/1000))*'Технический лист'!$K$5)*1.65</f>
        <v>5376.032057314285</v>
      </c>
      <c r="N33" s="9">
        <f>((((N22*0.00314)*((N22+545)/1000))*'Технический лист'!$K$8)+370+((N23*0.00314)*((N23+450)/1000))*'Технический лист'!$K$5)*1.65</f>
        <v>6166.669990114285</v>
      </c>
      <c r="O33" s="9">
        <f>((((O22*0.00314)*((O22+545)/1000))*'Технический лист'!$K$8)+370+((O23*0.00314)*((O23+450)/1000))*'Технический лист'!$K$5)*1.65</f>
        <v>6440.4213804</v>
      </c>
      <c r="P33" s="9">
        <f>((((P22*0.00314)*((P22+545)/1000))*'Технический лист'!$K$8)+370+((P23*0.00314)*((P23+450)/1000))*'Технический лист'!$K$5)*1.65</f>
        <v>6719.275477028571</v>
      </c>
      <c r="Q33" s="9">
        <f>((((Q22*0.00314)*((Q22+545)/1000))*'Технический лист'!$K$8)+370+((Q23*0.00314)*((Q23+450)/1000))*'Технический лист'!$K$5)*1.65</f>
        <v>7003.23228</v>
      </c>
      <c r="R33" s="9">
        <f>((((R22*0.00314)*((R22+545)/1000))*'Технический лист'!$K$8)+370+((R23*0.00314)*((R23+450)/1000))*'Технический лист'!$K$5)*1.65</f>
        <v>7292.291789314285</v>
      </c>
      <c r="S33" s="9">
        <f>((((S22*0.00314)*((S22+545)/1000))*'Технический лист'!$K$8)+370+((S23*0.00314)*((S23+450)/1000))*'Технический лист'!$K$5)*1.65</f>
        <v>7586.454004971427</v>
      </c>
    </row>
    <row r="34" spans="1:19" ht="0.75" customHeight="1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4:15" ht="2.25" customHeight="1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>
      <c r="A5" s="41" t="s">
        <v>47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лист'!$G$9)+310+((B7*0.00314)*'Технический лист'!$G$11))*1.5</f>
        <v>1480.6801</v>
      </c>
      <c r="C8" s="16">
        <f>(((C6*0.00314)*'Технический лист'!$G$9)+310+((C7*0.00314)*'Технический лист'!$G$11))*1.5</f>
        <v>1570.58772</v>
      </c>
      <c r="D8" s="16">
        <f>(((D6*0.00314)*'Технический лист'!$G$9)+310+((D7*0.00314)*'Технический лист'!$G$11))*1.5</f>
        <v>1615.54153</v>
      </c>
      <c r="E8" s="16">
        <f>(((E6*0.00314)*'Технический лист'!$G$9)+310+((E7*0.00314)*'Технический лист'!$G$11))*1.5</f>
        <v>1660.4953400000002</v>
      </c>
      <c r="F8" s="16">
        <f>(((F6*0.00314)*'Технический лист'!$G$9)+310+((F7*0.00314)*'Технический лист'!$G$11))*1.5</f>
        <v>1705.4491500000001</v>
      </c>
      <c r="G8" s="16">
        <f>(((G6*0.00314)*'Технический лист'!$G$9)+310+((G7*0.00314)*'Технический лист'!$G$11))*1.5</f>
        <v>1750.4029600000001</v>
      </c>
      <c r="H8" s="16">
        <f>(((H6*0.00314)*'Технический лист'!$G$9)+310+((H7*0.00314)*'Технический лист'!$G$11))*1.5</f>
        <v>1840.31058</v>
      </c>
      <c r="I8" s="16">
        <f>(((I6*0.00314)*'Технический лист'!$G$9)+310+((I7*0.00314)*'Технический лист'!$G$11))*1.5</f>
        <v>1930.2182</v>
      </c>
      <c r="J8" s="16">
        <f>(((J6*0.00314)*'Технический лист'!$G$9)+310+((J7*0.00314)*'Технический лист'!$G$11))*1.5</f>
        <v>2020.12582</v>
      </c>
      <c r="K8" s="16">
        <f>(((K6*0.00314)*'Технический лист'!$G$9)+310+((K7*0.00314)*'Технический лист'!$G$11))*1.5</f>
        <v>2199.94106</v>
      </c>
      <c r="L8" s="16">
        <f>(((L6*0.00314)*'Технический лист'!$G$9)+310+((L7*0.00314)*'Технический лист'!$G$11))*1.5</f>
        <v>2379.7563</v>
      </c>
      <c r="M8" s="16">
        <f>(((M6*0.00314)*'Технический лист'!$G$9)+310+((M7*0.00314)*'Технический лист'!$G$11))*1.5</f>
        <v>2559.57154</v>
      </c>
      <c r="N8" s="16">
        <f>(((N6*0.00314)*'Технический лист'!$G$9)+310+((N7*0.00314)*'Технический лист'!$G$11))*1.5</f>
        <v>2829.2944</v>
      </c>
      <c r="O8" s="16">
        <f>(((O6*0.00314)*'Технический лист'!$G$9)+310+((O7*0.00314)*'Технический лист'!$G$11))*1.5</f>
        <v>2919.20202</v>
      </c>
      <c r="P8" s="16">
        <f>(((P6*0.00314)*'Технический лист'!$G$9)+310+((P7*0.00314)*'Технический лист'!$G$11))*1.5</f>
        <v>3009.10964</v>
      </c>
      <c r="Q8" s="16">
        <f>(((Q6*0.00314)*'Технический лист'!$G$9)+310+((Q7*0.00314)*'Технический лист'!$G$11))*1.5</f>
        <v>3099.01726</v>
      </c>
      <c r="R8" s="16">
        <f>(((R6*0.00314)*'Технический лист'!$G$9)+310+((R7*0.00314)*'Технический лист'!$G$11))*1.5</f>
        <v>3188.92488</v>
      </c>
      <c r="S8" s="16">
        <f>(((S6*0.00314)*'Технический лист'!$G$9)+310+((S7*0.00314)*'Технический лист'!$G$11))*1.5</f>
        <v>3278.8325</v>
      </c>
    </row>
    <row r="9" spans="1:19" ht="15">
      <c r="A9" s="4" t="s">
        <v>3</v>
      </c>
      <c r="B9" s="9">
        <f>((B8/2)*1.07)-10</f>
        <v>782.1638535000001</v>
      </c>
      <c r="C9" s="9">
        <f aca="true" t="shared" si="2" ref="C9:N9">((C8/2)*1.07)-10</f>
        <v>830.2644302</v>
      </c>
      <c r="D9" s="9">
        <f t="shared" si="2"/>
        <v>854.3147185500001</v>
      </c>
      <c r="E9" s="9">
        <f t="shared" si="2"/>
        <v>878.3650069000001</v>
      </c>
      <c r="F9" s="9">
        <f t="shared" si="2"/>
        <v>902.4152952500001</v>
      </c>
      <c r="G9" s="9">
        <f t="shared" si="2"/>
        <v>926.4655836000002</v>
      </c>
      <c r="H9" s="9">
        <f t="shared" si="2"/>
        <v>974.5661603000001</v>
      </c>
      <c r="I9" s="9">
        <f t="shared" si="2"/>
        <v>1022.666737</v>
      </c>
      <c r="J9" s="9">
        <f t="shared" si="2"/>
        <v>1070.7673137000002</v>
      </c>
      <c r="K9" s="9">
        <f t="shared" si="2"/>
        <v>1166.9684671000002</v>
      </c>
      <c r="L9" s="9">
        <f t="shared" si="2"/>
        <v>1263.1696205</v>
      </c>
      <c r="M9" s="9">
        <f t="shared" si="2"/>
        <v>1359.3707739000001</v>
      </c>
      <c r="N9" s="9">
        <f t="shared" si="2"/>
        <v>1503.6725040000001</v>
      </c>
      <c r="O9" s="9">
        <f aca="true" t="shared" si="3" ref="O9:S9">((O8/2)*1.07)-10</f>
        <v>1551.7730807000003</v>
      </c>
      <c r="P9" s="9">
        <f t="shared" si="3"/>
        <v>1599.8736574000002</v>
      </c>
      <c r="Q9" s="9">
        <f t="shared" si="3"/>
        <v>1647.9742341</v>
      </c>
      <c r="R9" s="9">
        <f t="shared" si="3"/>
        <v>1696.0748108</v>
      </c>
      <c r="S9" s="9">
        <f t="shared" si="3"/>
        <v>1744.1753875000002</v>
      </c>
    </row>
    <row r="10" spans="1:19" ht="15">
      <c r="A10" s="4" t="s">
        <v>5</v>
      </c>
      <c r="B10" s="16">
        <f>((((B6*0.00314)*0.5)*'Технический лист'!$I$9)+310+(((B7*0.00314)*0.5)*'Технический лист'!$I$11))*1.55</f>
        <v>1327.0984266666665</v>
      </c>
      <c r="C10" s="16">
        <f>((((C6*0.00314)*0.5)*'Технический лист'!$I$9)+310+(((C7*0.00314)*0.5)*'Технический лист'!$I$11))*1.55</f>
        <v>1400.1975220000002</v>
      </c>
      <c r="D10" s="16">
        <f>((((D6*0.00314)*0.5)*'Технический лист'!$I$9)+310+(((D7*0.00314)*0.5)*'Технический лист'!$I$11))*1.55</f>
        <v>1436.7470696666667</v>
      </c>
      <c r="E10" s="16">
        <f>((((E6*0.00314)*0.5)*'Технический лист'!$I$9)+310+(((E7*0.00314)*0.5)*'Технический лист'!$I$11))*1.55</f>
        <v>1473.2966173333334</v>
      </c>
      <c r="F10" s="16">
        <f>((((F6*0.00314)*0.5)*'Технический лист'!$I$9)+310+(((F7*0.00314)*0.5)*'Технический лист'!$I$11))*1.55</f>
        <v>1509.846165</v>
      </c>
      <c r="G10" s="16">
        <f>((((G6*0.00314)*0.5)*'Технический лист'!$I$9)+310+(((G7*0.00314)*0.5)*'Технический лист'!$I$11))*1.55</f>
        <v>1546.3957126666667</v>
      </c>
      <c r="H10" s="16">
        <f>((((H6*0.00314)*0.5)*'Технический лист'!$I$9)+310+(((H7*0.00314)*0.5)*'Технический лист'!$I$11))*1.55</f>
        <v>1619.4948080000001</v>
      </c>
      <c r="I10" s="16">
        <f>((((I6*0.00314)*0.5)*'Технический лист'!$I$9)+310+(((I7*0.00314)*0.5)*'Технический лист'!$I$11))*1.55</f>
        <v>1692.5939033333332</v>
      </c>
      <c r="J10" s="16">
        <f>((((J6*0.00314)*0.5)*'Технический лист'!$I$9)+310+(((J7*0.00314)*0.5)*'Технический лист'!$I$11))*1.55</f>
        <v>1765.6929986666664</v>
      </c>
      <c r="K10" s="16">
        <f>((((K6*0.00314)*0.5)*'Технический лист'!$I$9)+310+(((K7*0.00314)*0.5)*'Технический лист'!$I$11))*1.55</f>
        <v>1911.8911893333334</v>
      </c>
      <c r="L10" s="16">
        <f>((((L6*0.00314)*0.5)*'Технический лист'!$I$9)+310+(((L7*0.00314)*0.5)*'Технический лист'!$I$11))*1.55</f>
        <v>2058.08938</v>
      </c>
      <c r="M10" s="16">
        <f>((((M6*0.00314)*0.5)*'Технический лист'!$I$9)+310+(((M7*0.00314)*0.5)*'Технический лист'!$I$11))*1.55</f>
        <v>2204.287570666667</v>
      </c>
      <c r="N10" s="16">
        <f>((((N6*0.00314)*0.5)*'Технический лист'!$I$9)+310+(((N7*0.00314)*0.5)*'Технический лист'!$I$11))*1.55</f>
        <v>2423.584856666667</v>
      </c>
      <c r="O10" s="16">
        <f>((((O6*0.00314)*0.5)*'Технический лист'!$I$9)+310+(((O7*0.00314)*0.5)*'Технический лист'!$I$11))*1.55</f>
        <v>2496.683952</v>
      </c>
      <c r="P10" s="16">
        <f>((((P6*0.00314)*0.5)*'Технический лист'!$I$9)+310+(((P7*0.00314)*0.5)*'Технический лист'!$I$11))*1.55</f>
        <v>2569.783047333333</v>
      </c>
      <c r="Q10" s="16">
        <f>((((Q6*0.00314)*0.5)*'Технический лист'!$I$9)+310+(((Q7*0.00314)*0.5)*'Технический лист'!$I$11))*1.55</f>
        <v>2642.8821426666664</v>
      </c>
      <c r="R10" s="16">
        <f>((((R6*0.00314)*0.5)*'Технический лист'!$I$9)+310+(((R7*0.00314)*0.5)*'Технический лист'!$I$11))*1.55</f>
        <v>2715.981238</v>
      </c>
      <c r="S10" s="16">
        <f>((((S6*0.00314)*0.5)*'Технический лист'!$I$9)+310+(((S7*0.00314)*0.5)*'Технический лист'!$I$11))*1.55</f>
        <v>2789.0803333333333</v>
      </c>
    </row>
    <row r="11" spans="1:19" ht="15">
      <c r="A11" s="4" t="s">
        <v>96</v>
      </c>
      <c r="B11" s="9">
        <f>((B10*2)/3)-6</f>
        <v>878.7322844444443</v>
      </c>
      <c r="C11" s="9">
        <f aca="true" t="shared" si="4" ref="C11:N11">((C10*2)/3)-6</f>
        <v>927.4650146666668</v>
      </c>
      <c r="D11" s="9">
        <f t="shared" si="4"/>
        <v>951.8313797777778</v>
      </c>
      <c r="E11" s="9">
        <f t="shared" si="4"/>
        <v>976.1977448888889</v>
      </c>
      <c r="F11" s="9">
        <f t="shared" si="4"/>
        <v>1000.5641099999999</v>
      </c>
      <c r="G11" s="9">
        <f t="shared" si="4"/>
        <v>1024.930475111111</v>
      </c>
      <c r="H11" s="9">
        <f t="shared" si="4"/>
        <v>1073.6632053333335</v>
      </c>
      <c r="I11" s="9">
        <f t="shared" si="4"/>
        <v>1122.3959355555555</v>
      </c>
      <c r="J11" s="9">
        <f t="shared" si="4"/>
        <v>1171.1286657777775</v>
      </c>
      <c r="K11" s="9">
        <f t="shared" si="4"/>
        <v>1268.5941262222223</v>
      </c>
      <c r="L11" s="9">
        <f t="shared" si="4"/>
        <v>1366.0595866666665</v>
      </c>
      <c r="M11" s="9">
        <f t="shared" si="4"/>
        <v>1463.5250471111112</v>
      </c>
      <c r="N11" s="9">
        <f t="shared" si="4"/>
        <v>1609.723237777778</v>
      </c>
      <c r="O11" s="9">
        <f aca="true" t="shared" si="5" ref="O11:S11">((O10*2)/3)-6</f>
        <v>1658.455968</v>
      </c>
      <c r="P11" s="9">
        <f t="shared" si="5"/>
        <v>1707.188698222222</v>
      </c>
      <c r="Q11" s="9">
        <f t="shared" si="5"/>
        <v>1755.9214284444442</v>
      </c>
      <c r="R11" s="9">
        <f t="shared" si="5"/>
        <v>1804.6541586666665</v>
      </c>
      <c r="S11" s="9">
        <f t="shared" si="5"/>
        <v>1853.386888888889</v>
      </c>
    </row>
    <row r="12" spans="1:19" ht="15">
      <c r="A12" s="4" t="s">
        <v>6</v>
      </c>
      <c r="B12" s="16">
        <f>((((B6*0.00314)*0.22)*'Технический лист'!$M$9)+100+(((B7*0.00314)*0.21)*'Технический лист'!$O$11)+(((B6+30)*(B6+30)/1000000)*'Технический лист'!$E$20))*1.6</f>
        <v>755.1001472</v>
      </c>
      <c r="C12" s="16">
        <f>((((C6*0.00314)*0.22)*'Технический лист'!$M$9)+100+(((C7*0.00314)*0.21)*'Технический лист'!$O$11)+(((C6+30)*(C6+30)/1000000)*'Технический лист'!$E$20))*1.6</f>
        <v>813.1079065600001</v>
      </c>
      <c r="D12" s="16">
        <f>((((D6*0.00314)*0.22)*'Технический лист'!$M$9)+100+(((D7*0.00314)*0.21)*'Технический лист'!$O$11)+(((D6+30)*(D6+30)/1000000)*'Технический лист'!$E$20))*1.6</f>
        <v>842.59178624</v>
      </c>
      <c r="E12" s="16">
        <f>((((E6*0.00314)*0.22)*'Технический лист'!$M$9)+100+(((E7*0.00314)*0.21)*'Технический лист'!$O$11)+(((E6+30)*(E6+30)/1000000)*'Технический лист'!$E$20))*1.6</f>
        <v>872.3956659200002</v>
      </c>
      <c r="F12" s="16">
        <f>((((F6*0.00314)*0.22)*'Технический лист'!$M$9)+100+(((F7*0.00314)*0.21)*'Технический лист'!$O$11)+(((F6+30)*(F6+30)/1000000)*'Технический лист'!$E$20))*1.6</f>
        <v>902.5195456</v>
      </c>
      <c r="G12" s="16">
        <f>((((G6*0.00314)*0.22)*'Технический лист'!$M$9)+100+(((G7*0.00314)*0.21)*'Технический лист'!$O$11)+(((G6+30)*(G6+30)/1000000)*'Технический лист'!$E$20))*1.6</f>
        <v>932.9634252799999</v>
      </c>
      <c r="H12" s="16">
        <f>((((H6*0.00314)*0.22)*'Технический лист'!$M$9)+100+(((H7*0.00314)*0.21)*'Технический лист'!$O$11)+(((H6+30)*(H6+30)/1000000)*'Технический лист'!$E$20))*1.6</f>
        <v>994.81118464</v>
      </c>
      <c r="I12" s="16">
        <f>((((I6*0.00314)*0.22)*'Технический лист'!$M$9)+100+(((I7*0.00314)*0.21)*'Технический лист'!$O$11)+(((I6+30)*(I6+30)/1000000)*'Технический лист'!$E$20))*1.6</f>
        <v>1057.938944</v>
      </c>
      <c r="J12" s="16">
        <f>((((J6*0.00314)*0.22)*'Технический лист'!$M$9)+100+(((J7*0.00314)*0.21)*'Технический лист'!$O$11)+(((J6+30)*(J6+30)/1000000)*'Технический лист'!$E$20))*1.6</f>
        <v>1122.3467033599998</v>
      </c>
      <c r="K12" s="16">
        <f>((((K6*0.00314)*0.22)*'Технический лист'!$M$9)+100+(((K7*0.00314)*0.21)*'Технический лист'!$O$11)+(((K6+30)*(K6+30)/1000000)*'Технический лист'!$E$20))*1.6</f>
        <v>1255.0022220800001</v>
      </c>
      <c r="L12" s="16">
        <f>((((L6*0.00314)*0.22)*'Технический лист'!$M$9)+100+(((L7*0.00314)*0.21)*'Технический лист'!$O$11)+(((L6+30)*(L6+30)/1000000)*'Технический лист'!$E$20))*1.6</f>
        <v>1392.7777408000002</v>
      </c>
      <c r="M12" s="16">
        <f>((((M6*0.00314)*0.22)*'Технический лист'!$M$9)+100+(((M7*0.00314)*0.21)*'Технический лист'!$O$11)+(((M6+30)*(M6+30)/1000000)*'Технический лист'!$E$20))*1.6</f>
        <v>1535.67325952</v>
      </c>
      <c r="N12" s="16">
        <f>((((N6*0.00314)*0.22)*'Технический лист'!$M$9)+100+(((N7*0.00314)*0.21)*'Технический лист'!$O$11)+(((N6+30)*(N6+30)/1000000)*'Технический лист'!$E$20))*1.6</f>
        <v>1759.6165376000001</v>
      </c>
      <c r="O12" s="16">
        <f>((((O6*0.00314)*0.22)*'Технический лист'!$M$9)+100+(((O7*0.00314)*0.21)*'Технический лист'!$O$11)+(((O6+30)*(O6+30)/1000000)*'Технический лист'!$E$20))*1.6</f>
        <v>1836.8242969599996</v>
      </c>
      <c r="P12" s="16">
        <f>((((P6*0.00314)*0.22)*'Технический лист'!$M$9)+100+(((P7*0.00314)*0.21)*'Технический лист'!$O$11)+(((P6+30)*(P6+30)/1000000)*'Технический лист'!$E$20))*1.6</f>
        <v>1915.31205632</v>
      </c>
      <c r="Q12" s="16">
        <f>((((Q6*0.00314)*0.22)*'Технический лист'!$M$9)+100+(((Q7*0.00314)*0.21)*'Технический лист'!$O$11)+(((Q6+30)*(Q6+30)/1000000)*'Технический лист'!$E$20))*1.6</f>
        <v>1995.0798156800001</v>
      </c>
      <c r="R12" s="16">
        <f>((((R6*0.00314)*0.22)*'Технический лист'!$M$9)+100+(((R7*0.00314)*0.21)*'Технический лист'!$O$11)+(((R6+30)*(R6+30)/1000000)*'Технический лист'!$E$20))*1.6</f>
        <v>2076.12757504</v>
      </c>
      <c r="S12" s="16">
        <f>((((S6*0.00314)*0.22)*'Технический лист'!$M$9)+100+(((S7*0.00314)*0.21)*'Технический лист'!$O$11)+(((S6+30)*(S6+30)/1000000)*'Технический лист'!$E$20))*1.6</f>
        <v>2158.4553343999996</v>
      </c>
    </row>
    <row r="13" spans="1:19" ht="15">
      <c r="A13" s="4" t="s">
        <v>7</v>
      </c>
      <c r="B13" s="9">
        <f>(B12*2.2)+24</f>
        <v>1685.2203238400002</v>
      </c>
      <c r="C13" s="9">
        <f aca="true" t="shared" si="6" ref="C13:N13">(C12*2.2)+24</f>
        <v>1812.8373944320003</v>
      </c>
      <c r="D13" s="9">
        <f t="shared" si="6"/>
        <v>1877.7019297280003</v>
      </c>
      <c r="E13" s="9">
        <f t="shared" si="6"/>
        <v>1943.2704650240005</v>
      </c>
      <c r="F13" s="9">
        <f t="shared" si="6"/>
        <v>2009.5430003200001</v>
      </c>
      <c r="G13" s="9">
        <f t="shared" si="6"/>
        <v>2076.5195356159998</v>
      </c>
      <c r="H13" s="9">
        <f t="shared" si="6"/>
        <v>2212.584606208</v>
      </c>
      <c r="I13" s="9">
        <f t="shared" si="6"/>
        <v>2351.4656768</v>
      </c>
      <c r="J13" s="9">
        <f t="shared" si="6"/>
        <v>2493.162747392</v>
      </c>
      <c r="K13" s="9">
        <f t="shared" si="6"/>
        <v>2785.0048885760007</v>
      </c>
      <c r="L13" s="9">
        <f t="shared" si="6"/>
        <v>3088.1110297600007</v>
      </c>
      <c r="M13" s="9">
        <f t="shared" si="6"/>
        <v>3402.4811709440005</v>
      </c>
      <c r="N13" s="9">
        <f t="shared" si="6"/>
        <v>3895.1563827200007</v>
      </c>
      <c r="O13" s="9">
        <f aca="true" t="shared" si="7" ref="O13:S13">(O12*2.2)+24</f>
        <v>4065.0134533119995</v>
      </c>
      <c r="P13" s="9">
        <f t="shared" si="7"/>
        <v>4237.686523904001</v>
      </c>
      <c r="Q13" s="9">
        <f t="shared" si="7"/>
        <v>4413.1755944960005</v>
      </c>
      <c r="R13" s="9">
        <f t="shared" si="7"/>
        <v>4591.480665088</v>
      </c>
      <c r="S13" s="9">
        <f t="shared" si="7"/>
        <v>4772.601735679999</v>
      </c>
    </row>
    <row r="14" spans="1:19" ht="15">
      <c r="A14" s="4" t="s">
        <v>8</v>
      </c>
      <c r="B14" s="16">
        <f>((((B6*0.00314)*0.2)*'Технический лист'!$M$9)+50+(((B7*0.00314)*0.22)*'Технический лист'!$O$11))*1.6</f>
        <v>549.4733738666667</v>
      </c>
      <c r="C14" s="16">
        <f>((((C6*0.00314)*0.2)*'Технический лист'!$M$9)+50+(((C7*0.00314)*0.22)*'Технический лист'!$O$11))*1.6</f>
        <v>588.0751104</v>
      </c>
      <c r="D14" s="16">
        <f>((((D6*0.00314)*0.2)*'Технический лист'!$M$9)+50+(((D7*0.00314)*0.22)*'Технический лист'!$O$11))*1.6</f>
        <v>607.3759786666667</v>
      </c>
      <c r="E14" s="16">
        <f>((((E6*0.00314)*0.2)*'Технический лист'!$M$9)+50+(((E7*0.00314)*0.22)*'Технический лист'!$O$11))*1.6</f>
        <v>626.6768469333334</v>
      </c>
      <c r="F14" s="16">
        <f>((((F6*0.00314)*0.2)*'Технический лист'!$M$9)+50+(((F7*0.00314)*0.22)*'Технический лист'!$O$11))*1.6</f>
        <v>645.9777152000001</v>
      </c>
      <c r="G14" s="16">
        <f>((((G6*0.00314)*0.2)*'Технический лист'!$M$9)+50+(((G7*0.00314)*0.22)*'Технический лист'!$O$11))*1.6</f>
        <v>665.2785834666668</v>
      </c>
      <c r="H14" s="16">
        <f>((((H6*0.00314)*0.2)*'Технический лист'!$M$9)+50+(((H7*0.00314)*0.22)*'Технический лист'!$O$11))*1.6</f>
        <v>703.8803200000001</v>
      </c>
      <c r="I14" s="16">
        <f>((((I6*0.00314)*0.2)*'Технический лист'!$M$9)+50+(((I7*0.00314)*0.22)*'Технический лист'!$O$11))*1.6</f>
        <v>742.4820565333334</v>
      </c>
      <c r="J14" s="16">
        <f>((((J6*0.00314)*0.2)*'Технический лист'!$M$9)+50+(((J7*0.00314)*0.22)*'Технический лист'!$O$11))*1.6</f>
        <v>781.0837930666667</v>
      </c>
      <c r="K14" s="16">
        <f>((((K6*0.00314)*0.2)*'Технический лист'!$M$9)+50+(((K7*0.00314)*0.22)*'Технический лист'!$O$11))*1.6</f>
        <v>858.2872661333336</v>
      </c>
      <c r="L14" s="16">
        <f>((((L6*0.00314)*0.2)*'Технический лист'!$M$9)+50+(((L7*0.00314)*0.22)*'Технический лист'!$O$11))*1.6</f>
        <v>935.4907392000001</v>
      </c>
      <c r="M14" s="16">
        <f>((((M6*0.00314)*0.2)*'Технический лист'!$M$9)+50+(((M7*0.00314)*0.22)*'Технический лист'!$O$11))*1.6</f>
        <v>1012.6942122666668</v>
      </c>
      <c r="N14" s="16">
        <f>((((N6*0.00314)*0.2)*'Технический лист'!$M$9)+50+(((N7*0.00314)*0.22)*'Технический лист'!$O$11))*1.6</f>
        <v>1128.4994218666668</v>
      </c>
      <c r="O14" s="16">
        <f>((((O6*0.00314)*0.2)*'Технический лист'!$M$9)+50+(((O7*0.00314)*0.22)*'Технический лист'!$O$11))*1.6</f>
        <v>1167.1011584</v>
      </c>
      <c r="P14" s="16">
        <f>((((P6*0.00314)*0.2)*'Технический лист'!$M$9)+50+(((P7*0.00314)*0.22)*'Технический лист'!$O$11))*1.6</f>
        <v>1205.7028949333333</v>
      </c>
      <c r="Q14" s="16">
        <f>((((Q6*0.00314)*0.2)*'Технический лист'!$M$9)+50+(((Q7*0.00314)*0.22)*'Технический лист'!$O$11))*1.6</f>
        <v>1244.3046314666667</v>
      </c>
      <c r="R14" s="16">
        <f>((((R6*0.00314)*0.2)*'Технический лист'!$M$9)+50+(((R7*0.00314)*0.22)*'Технический лист'!$O$11))*1.6</f>
        <v>1282.906368</v>
      </c>
      <c r="S14" s="16">
        <f>((((S6*0.00314)*0.2)*'Технический лист'!$M$9)+50+(((S7*0.00314)*0.22)*'Технический лист'!$O$11))*1.6</f>
        <v>1321.5081045333336</v>
      </c>
    </row>
    <row r="15" spans="1:19" ht="15">
      <c r="A15" s="4" t="s">
        <v>99</v>
      </c>
      <c r="B15" s="16">
        <v>1785</v>
      </c>
      <c r="C15" s="16">
        <v>1905</v>
      </c>
      <c r="D15" s="16">
        <v>1970</v>
      </c>
      <c r="E15" s="16">
        <v>2035</v>
      </c>
      <c r="F15" s="16">
        <v>2100</v>
      </c>
      <c r="G15" s="16">
        <v>2165</v>
      </c>
      <c r="H15" s="16">
        <v>2295</v>
      </c>
      <c r="I15" s="16">
        <v>2430</v>
      </c>
      <c r="J15" s="16">
        <v>2570</v>
      </c>
      <c r="K15" s="16">
        <v>2855</v>
      </c>
      <c r="L15" s="16">
        <v>3155</v>
      </c>
      <c r="M15" s="16">
        <v>3465</v>
      </c>
      <c r="N15" s="16">
        <v>3955</v>
      </c>
      <c r="O15" s="16">
        <v>4125</v>
      </c>
      <c r="P15" s="16">
        <v>4300</v>
      </c>
      <c r="Q15" s="16">
        <v>4475</v>
      </c>
      <c r="R15" s="16">
        <v>4655</v>
      </c>
      <c r="S15" s="16">
        <v>4835</v>
      </c>
    </row>
    <row r="16" spans="1:19" ht="15">
      <c r="A16" s="4" t="s">
        <v>102</v>
      </c>
      <c r="B16" s="16">
        <v>1785</v>
      </c>
      <c r="C16" s="16">
        <v>1905</v>
      </c>
      <c r="D16" s="16">
        <v>1970</v>
      </c>
      <c r="E16" s="16">
        <v>2035</v>
      </c>
      <c r="F16" s="16">
        <v>2100</v>
      </c>
      <c r="G16" s="16">
        <v>2165</v>
      </c>
      <c r="H16" s="16">
        <v>2295</v>
      </c>
      <c r="I16" s="16">
        <v>2430</v>
      </c>
      <c r="J16" s="16">
        <v>2570</v>
      </c>
      <c r="K16" s="16">
        <v>2855</v>
      </c>
      <c r="L16" s="16">
        <v>3155</v>
      </c>
      <c r="M16" s="16">
        <v>3465</v>
      </c>
      <c r="N16" s="16">
        <v>3955</v>
      </c>
      <c r="O16" s="16">
        <v>4125</v>
      </c>
      <c r="P16" s="16">
        <v>4300</v>
      </c>
      <c r="Q16" s="16">
        <v>4475</v>
      </c>
      <c r="R16" s="16">
        <v>4655</v>
      </c>
      <c r="S16" s="16">
        <v>4835</v>
      </c>
    </row>
    <row r="17" spans="1:19" ht="15">
      <c r="A17" s="4" t="s">
        <v>9</v>
      </c>
      <c r="B17" s="9">
        <f>((((B6*0.00314)*((B6+545)/1000))*'Технический лист'!$K$9)+370+((B7*0.00314)*((B7+450)/1000))*'Технический лист'!$K$11)*1.6</f>
        <v>1730.7743381333335</v>
      </c>
      <c r="C17" s="9">
        <f>((((C6*0.00314)*((C6+545)/1000))*'Технический лист'!$K$9)+370+((C7*0.00314)*((C7+450)/1000))*'Технический лист'!$K$11)*1.6</f>
        <v>1849.2834310399999</v>
      </c>
      <c r="D17" s="9">
        <f>((((D6*0.00314)*((D6+545)/1000))*'Технический лист'!$K$9)+370+((D7*0.00314)*((D7+450)/1000))*'Технический лист'!$K$11)*1.6</f>
        <v>1909.6999784533332</v>
      </c>
      <c r="E17" s="9">
        <f>((((E6*0.00314)*((E6+545)/1000))*'Технический лист'!$K$9)+370+((E7*0.00314)*((E7+450)/1000))*'Технический лист'!$K$11)*1.6</f>
        <v>1970.8911931733332</v>
      </c>
      <c r="F17" s="9">
        <f>((((F6*0.00314)*((F6+545)/1000))*'Технический лист'!$K$9)+370+((F7*0.00314)*((F7+450)/1000))*'Технический лист'!$K$11)*1.6</f>
        <v>2032.8570752</v>
      </c>
      <c r="G17" s="9">
        <f>((((G6*0.00314)*((G6+545)/1000))*'Технический лист'!$K$9)+370+((G7*0.00314)*((G7+450)/1000))*'Технический лист'!$K$11)*1.6</f>
        <v>2095.597624533333</v>
      </c>
      <c r="H17" s="9">
        <f>((((H6*0.00314)*((H6+545)/1000))*'Технический лист'!$K$9)+370+((H7*0.00314)*((H7+450)/1000))*'Технический лист'!$K$11)*1.6</f>
        <v>2223.40272512</v>
      </c>
      <c r="I17" s="9">
        <f>((((I6*0.00314)*((I6+545)/1000))*'Технический лист'!$K$9)+370+((I7*0.00314)*((I7+450)/1000))*'Технический лист'!$K$11)*1.6</f>
        <v>2354.3064949333325</v>
      </c>
      <c r="J17" s="9">
        <f>((((J6*0.00314)*((J6+545)/1000))*'Технический лист'!$K$9)+370+((J7*0.00314)*((J7+450)/1000))*'Технический лист'!$K$11)*1.6</f>
        <v>2488.3089339733338</v>
      </c>
      <c r="K17" s="9">
        <f>((((K6*0.00314)*((K6+545)/1000))*'Технический лист'!$K$9)+370+((K7*0.00314)*((K7+450)/1000))*'Технический лист'!$K$11)*1.6</f>
        <v>2765.6098197333336</v>
      </c>
      <c r="L17" s="9">
        <f>((((L6*0.00314)*((L6+545)/1000))*'Технический лист'!$K$9)+370+((L7*0.00314)*((L7+450)/1000))*'Технический лист'!$K$11)*1.6</f>
        <v>3055.3053824</v>
      </c>
      <c r="M17" s="9">
        <f>((((M6*0.00314)*((M6+545)/1000))*'Технический лист'!$K$9)+370+((M7*0.00314)*((M7+450)/1000))*'Технический лист'!$K$11)*1.6</f>
        <v>3357.395621973333</v>
      </c>
      <c r="N17" s="9">
        <f>((((N6*0.00314)*((N6+545)/1000))*'Технический лист'!$K$9)+370+((N7*0.00314)*((N7+450)/1000))*'Технический лист'!$K$11)*1.6</f>
        <v>3833.771000533334</v>
      </c>
      <c r="O17" s="9">
        <f>((((O6*0.00314)*((O6+545)/1000))*'Технический лист'!$K$9)+370+((O7*0.00314)*((O7+450)/1000))*'Технический лист'!$K$11)*1.6</f>
        <v>3998.7601318400007</v>
      </c>
      <c r="P17" s="9">
        <f>((((P6*0.00314)*((P6+545)/1000))*'Технический лист'!$K$9)+370+((P7*0.00314)*((P7+450)/1000))*'Технический лист'!$K$11)*1.6</f>
        <v>4166.847932373333</v>
      </c>
      <c r="Q17" s="9">
        <f>((((Q6*0.00314)*((Q6+545)/1000))*'Технический лист'!$K$9)+370+((Q7*0.00314)*((Q7+450)/1000))*'Технический лист'!$K$11)*1.6</f>
        <v>4338.034402133333</v>
      </c>
      <c r="R17" s="9">
        <f>((((R6*0.00314)*((R6+545)/1000))*'Технический лист'!$K$9)+370+((R7*0.00314)*((R7+450)/1000))*'Технический лист'!$K$11)*1.6</f>
        <v>4512.3195411199995</v>
      </c>
      <c r="S17" s="9">
        <f>((((S6*0.00314)*((S6+545)/1000))*'Технический лист'!$K$9)+370+((S7*0.00314)*((S7+450)/1000))*'Технический лист'!$K$11)*1.6</f>
        <v>4689.703349333332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48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лист'!$G$9)+310+((B23*0.00314)*'Технический лист'!$G$5))*1.5</f>
        <v>2107.0944</v>
      </c>
      <c r="C24" s="16">
        <f>(((C22*0.00314)*'Технический лист'!$G$9)+310+((C23*0.00314)*'Технический лист'!$G$5))*1.5</f>
        <v>2233.8499199999997</v>
      </c>
      <c r="D24" s="16">
        <f>(((D22*0.00314)*'Технический лист'!$G$9)+310+((D23*0.00314)*'Технический лист'!$G$5))*1.5</f>
        <v>2297.22768</v>
      </c>
      <c r="E24" s="16">
        <f>(((E22*0.00314)*'Технический лист'!$G$9)+310+((E23*0.00314)*'Технический лист'!$G$5))*1.5</f>
        <v>2360.6054400000003</v>
      </c>
      <c r="F24" s="16">
        <f>(((F22*0.00314)*'Технический лист'!$G$9)+310+((F23*0.00314)*'Технический лист'!$G$5))*1.5</f>
        <v>2423.9832</v>
      </c>
      <c r="G24" s="16">
        <f>(((G22*0.00314)*'Технический лист'!$G$9)+310+((G23*0.00314)*'Технический лист'!$G$5))*1.5</f>
        <v>2487.36096</v>
      </c>
      <c r="H24" s="16">
        <f>(((H22*0.00314)*'Технический лист'!$G$9)+310+((H23*0.00314)*'Технический лист'!$G$5))*1.5</f>
        <v>2614.11648</v>
      </c>
      <c r="I24" s="16">
        <f>(((I22*0.00314)*'Технический лист'!$G$9)+310+((I23*0.00314)*'Технический лист'!$G$5))*1.5</f>
        <v>2740.8720000000003</v>
      </c>
      <c r="J24" s="16">
        <f>(((J22*0.00314)*'Технический лист'!$G$9)+310+((J23*0.00314)*'Технический лист'!$G$5))*1.5</f>
        <v>2867.62752</v>
      </c>
      <c r="K24" s="16">
        <f>(((K22*0.00314)*'Технический лист'!$G$9)+310+((K23*0.00314)*'Технический лист'!$G$5))*1.5</f>
        <v>3121.13856</v>
      </c>
      <c r="L24" s="16">
        <f>(((L22*0.00314)*'Технический лист'!$G$9)+310+((L23*0.00314)*'Технический лист'!$G$5))*1.5</f>
        <v>3374.6495999999997</v>
      </c>
      <c r="M24" s="16">
        <f>(((M22*0.00314)*'Технический лист'!$G$9)+310+((M23*0.00314)*'Технический лист'!$G$5))*1.5</f>
        <v>3628.16064</v>
      </c>
      <c r="N24" s="16">
        <f>(((N22*0.00314)*'Технический лист'!$G$9)+310+((N23*0.00314)*'Технический лист'!$G$5))*1.5</f>
        <v>4008.4272</v>
      </c>
      <c r="O24" s="16">
        <f>(((O22*0.00314)*'Технический лист'!$G$9)+310+((O23*0.00314)*'Технический лист'!$G$5))*1.5</f>
        <v>4135.182720000001</v>
      </c>
      <c r="P24" s="16">
        <f>(((P22*0.00314)*'Технический лист'!$G$9)+310+((P23*0.00314)*'Технический лист'!$G$5))*1.5</f>
        <v>4261.9382399999995</v>
      </c>
      <c r="Q24" s="16">
        <f>(((Q22*0.00314)*'Технический лист'!$G$9)+310+((Q23*0.00314)*'Технический лист'!$G$5))*1.5</f>
        <v>4388.69376</v>
      </c>
      <c r="R24" s="16">
        <f>(((R22*0.00314)*'Технический лист'!$G$9)+310+((R23*0.00314)*'Технический лист'!$G$5))*1.5</f>
        <v>4515.44928</v>
      </c>
      <c r="S24" s="16">
        <f>(((S22*0.00314)*'Технический лист'!$G$9)+310+((S23*0.00314)*'Технический лист'!$G$5))*1.5</f>
        <v>4642.2047999999995</v>
      </c>
    </row>
    <row r="25" spans="1:19" ht="15">
      <c r="A25" s="4" t="s">
        <v>3</v>
      </c>
      <c r="B25" s="9">
        <f>((B24/2)*1.07)-10</f>
        <v>1117.295504</v>
      </c>
      <c r="C25" s="9">
        <f aca="true" t="shared" si="10" ref="C25:N25">((C24/2)*1.07)-10</f>
        <v>1185.1097071999998</v>
      </c>
      <c r="D25" s="9">
        <f t="shared" si="10"/>
        <v>1219.0168088</v>
      </c>
      <c r="E25" s="9">
        <f t="shared" si="10"/>
        <v>1252.9239104000003</v>
      </c>
      <c r="F25" s="9">
        <f t="shared" si="10"/>
        <v>1286.831012</v>
      </c>
      <c r="G25" s="9">
        <f t="shared" si="10"/>
        <v>1320.7381136000001</v>
      </c>
      <c r="H25" s="9">
        <f t="shared" si="10"/>
        <v>1388.5523168000002</v>
      </c>
      <c r="I25" s="9">
        <f t="shared" si="10"/>
        <v>1456.3665200000003</v>
      </c>
      <c r="J25" s="9">
        <f t="shared" si="10"/>
        <v>1524.1807232</v>
      </c>
      <c r="K25" s="9">
        <f t="shared" si="10"/>
        <v>1659.8091296</v>
      </c>
      <c r="L25" s="9">
        <f t="shared" si="10"/>
        <v>1795.437536</v>
      </c>
      <c r="M25" s="9">
        <f t="shared" si="10"/>
        <v>1931.0659424</v>
      </c>
      <c r="N25" s="9">
        <f t="shared" si="10"/>
        <v>2134.5085520000002</v>
      </c>
      <c r="O25" s="9">
        <f aca="true" t="shared" si="11" ref="O25:S25">((O24/2)*1.07)-10</f>
        <v>2202.3227552000003</v>
      </c>
      <c r="P25" s="9">
        <f t="shared" si="11"/>
        <v>2270.1369584</v>
      </c>
      <c r="Q25" s="9">
        <f t="shared" si="11"/>
        <v>2337.9511616</v>
      </c>
      <c r="R25" s="9">
        <f t="shared" si="11"/>
        <v>2405.7653648</v>
      </c>
      <c r="S25" s="9">
        <f t="shared" si="11"/>
        <v>2473.579568</v>
      </c>
    </row>
    <row r="26" spans="1:19" ht="15">
      <c r="A26" s="4" t="s">
        <v>5</v>
      </c>
      <c r="B26" s="16">
        <f>((((B22*0.00314)*0.5)*'Технический лист'!$I$9)+310+(((B23*0.00314)*0.5)*'Технический лист'!$I$5))*1.55</f>
        <v>1785.1966900000002</v>
      </c>
      <c r="C26" s="16">
        <f>((((C22*0.00314)*0.5)*'Технический лист'!$I$9)+310+(((C23*0.00314)*0.5)*'Технический лист'!$I$5))*1.55</f>
        <v>1885.2427420000001</v>
      </c>
      <c r="D26" s="16">
        <f>((((D22*0.00314)*0.5)*'Технический лист'!$I$9)+310+(((D23*0.00314)*0.5)*'Технический лист'!$I$5))*1.55</f>
        <v>1935.265768</v>
      </c>
      <c r="E26" s="16">
        <f>((((E22*0.00314)*0.5)*'Технический лист'!$I$9)+310+(((E23*0.00314)*0.5)*'Технический лист'!$I$5))*1.55</f>
        <v>1985.288794</v>
      </c>
      <c r="F26" s="16">
        <f>((((F22*0.00314)*0.5)*'Технический лист'!$I$9)+310+(((F23*0.00314)*0.5)*'Технический лист'!$I$5))*1.55</f>
        <v>2035.3118200000004</v>
      </c>
      <c r="G26" s="16">
        <f>((((G22*0.00314)*0.5)*'Технический лист'!$I$9)+310+(((G23*0.00314)*0.5)*'Технический лист'!$I$5))*1.55</f>
        <v>2085.334846</v>
      </c>
      <c r="H26" s="16">
        <f>((((H22*0.00314)*0.5)*'Технический лист'!$I$9)+310+(((H23*0.00314)*0.5)*'Технический лист'!$I$5))*1.55</f>
        <v>2185.380898</v>
      </c>
      <c r="I26" s="16">
        <f>((((I22*0.00314)*0.5)*'Технический лист'!$I$9)+310+(((I23*0.00314)*0.5)*'Технический лист'!$I$5))*1.55</f>
        <v>2285.42695</v>
      </c>
      <c r="J26" s="16">
        <f>((((J22*0.00314)*0.5)*'Технический лист'!$I$9)+310+(((J23*0.00314)*0.5)*'Технический лист'!$I$5))*1.55</f>
        <v>2385.4730019999997</v>
      </c>
      <c r="K26" s="16">
        <f>((((K22*0.00314)*0.5)*'Технический лист'!$I$9)+310+(((K23*0.00314)*0.5)*'Технический лист'!$I$5))*1.55</f>
        <v>2585.565106</v>
      </c>
      <c r="L26" s="16">
        <f>((((L22*0.00314)*0.5)*'Технический лист'!$I$9)+310+(((L23*0.00314)*0.5)*'Технический лист'!$I$5))*1.55</f>
        <v>2785.65721</v>
      </c>
      <c r="M26" s="16">
        <f>((((M22*0.00314)*0.5)*'Технический лист'!$I$9)+310+(((M23*0.00314)*0.5)*'Технический лист'!$I$5))*1.55</f>
        <v>2985.749314</v>
      </c>
      <c r="N26" s="16">
        <f>((((N22*0.00314)*0.5)*'Технический лист'!$I$9)+310+(((N23*0.00314)*0.5)*'Технический лист'!$I$5))*1.55</f>
        <v>3285.88747</v>
      </c>
      <c r="O26" s="16">
        <f>((((O22*0.00314)*0.5)*'Технический лист'!$I$9)+310+(((O23*0.00314)*0.5)*'Технический лист'!$I$5))*1.55</f>
        <v>3385.933522</v>
      </c>
      <c r="P26" s="16">
        <f>((((P22*0.00314)*0.5)*'Технический лист'!$I$9)+310+(((P23*0.00314)*0.5)*'Технический лист'!$I$5))*1.55</f>
        <v>3485.979574</v>
      </c>
      <c r="Q26" s="16">
        <f>((((Q22*0.00314)*0.5)*'Технический лист'!$I$9)+310+(((Q23*0.00314)*0.5)*'Технический лист'!$I$5))*1.55</f>
        <v>3586.0256259999996</v>
      </c>
      <c r="R26" s="16">
        <f>((((R22*0.00314)*0.5)*'Технический лист'!$I$9)+310+(((R23*0.00314)*0.5)*'Технический лист'!$I$5))*1.55</f>
        <v>3686.0716780000002</v>
      </c>
      <c r="S26" s="16">
        <f>((((S22*0.00314)*0.5)*'Технический лист'!$I$9)+310+(((S23*0.00314)*0.5)*'Технический лист'!$I$5))*1.55</f>
        <v>3786.11773</v>
      </c>
    </row>
    <row r="27" spans="1:19" ht="15">
      <c r="A27" s="4" t="s">
        <v>96</v>
      </c>
      <c r="B27" s="9">
        <f>((B26*2)/3)-6</f>
        <v>1184.131126666667</v>
      </c>
      <c r="C27" s="9">
        <f aca="true" t="shared" si="12" ref="C27:N27">((C26*2)/3)-6</f>
        <v>1250.8284946666668</v>
      </c>
      <c r="D27" s="9">
        <f t="shared" si="12"/>
        <v>1284.1771786666666</v>
      </c>
      <c r="E27" s="9">
        <f t="shared" si="12"/>
        <v>1317.5258626666666</v>
      </c>
      <c r="F27" s="9">
        <f t="shared" si="12"/>
        <v>1350.874546666667</v>
      </c>
      <c r="G27" s="9">
        <f t="shared" si="12"/>
        <v>1384.2232306666667</v>
      </c>
      <c r="H27" s="9">
        <f t="shared" si="12"/>
        <v>1450.9205986666666</v>
      </c>
      <c r="I27" s="9">
        <f t="shared" si="12"/>
        <v>1517.6179666666667</v>
      </c>
      <c r="J27" s="9">
        <f t="shared" si="12"/>
        <v>1584.3153346666666</v>
      </c>
      <c r="K27" s="9">
        <f t="shared" si="12"/>
        <v>1717.7100706666668</v>
      </c>
      <c r="L27" s="9">
        <f t="shared" si="12"/>
        <v>1851.1048066666665</v>
      </c>
      <c r="M27" s="9">
        <f t="shared" si="12"/>
        <v>1984.4995426666667</v>
      </c>
      <c r="N27" s="9">
        <f t="shared" si="12"/>
        <v>2184.5916466666667</v>
      </c>
      <c r="O27" s="9">
        <f aca="true" t="shared" si="13" ref="O27:S27">((O26*2)/3)-6</f>
        <v>2251.2890146666664</v>
      </c>
      <c r="P27" s="9">
        <f t="shared" si="13"/>
        <v>2317.9863826666665</v>
      </c>
      <c r="Q27" s="9">
        <f t="shared" si="13"/>
        <v>2384.6837506666666</v>
      </c>
      <c r="R27" s="9">
        <f t="shared" si="13"/>
        <v>2451.3811186666667</v>
      </c>
      <c r="S27" s="9">
        <f t="shared" si="13"/>
        <v>2518.078486666667</v>
      </c>
    </row>
    <row r="28" spans="1:19" ht="15">
      <c r="A28" s="4" t="s">
        <v>6</v>
      </c>
      <c r="B28" s="16">
        <f>((((B22*0.00314)*0.22)*'Технический лист'!$M$9)+100+(((B23*0.00314)*0.21)*'Технический лист'!$O$5)+(((B22+30)*(B22+30)/1000000)*'Технический лист'!$E$20))*1.6</f>
        <v>923.2172544</v>
      </c>
      <c r="C28" s="16">
        <f>((((C22*0.00314)*0.22)*'Технический лист'!$M$9)+100+(((C23*0.00314)*0.21)*'Технический лист'!$O$5)+(((C22+30)*(C22+30)/1000000)*'Технический лист'!$E$20))*1.6</f>
        <v>991.1142553600001</v>
      </c>
      <c r="D28" s="16">
        <f>((((D22*0.00314)*0.22)*'Технический лист'!$M$9)+100+(((D23*0.00314)*0.21)*'Технический лист'!$O$5)+(((D22+30)*(D22+30)/1000000)*'Технический лист'!$E$20))*1.6</f>
        <v>1025.54275584</v>
      </c>
      <c r="E28" s="16">
        <f>((((E22*0.00314)*0.22)*'Технический лист'!$M$9)+100+(((E23*0.00314)*0.21)*'Технический лист'!$O$5)+(((E22+30)*(E22+30)/1000000)*'Технический лист'!$E$20))*1.6</f>
        <v>1060.2912563200002</v>
      </c>
      <c r="F28" s="16">
        <f>((((F22*0.00314)*0.22)*'Технический лист'!$M$9)+100+(((F23*0.00314)*0.21)*'Технический лист'!$O$5)+(((F22+30)*(F22+30)/1000000)*'Технический лист'!$E$20))*1.6</f>
        <v>1095.3597568</v>
      </c>
      <c r="G28" s="16">
        <f>((((G22*0.00314)*0.22)*'Технический лист'!$M$9)+100+(((G23*0.00314)*0.21)*'Технический лист'!$O$5)+(((G22+30)*(G22+30)/1000000)*'Технический лист'!$E$20))*1.6</f>
        <v>1130.7482572799997</v>
      </c>
      <c r="H28" s="16">
        <f>((((H22*0.00314)*0.22)*'Технический лист'!$M$9)+100+(((H23*0.00314)*0.21)*'Технический лист'!$O$5)+(((H22+30)*(H22+30)/1000000)*'Технический лист'!$E$20))*1.6</f>
        <v>1202.48525824</v>
      </c>
      <c r="I28" s="16">
        <f>((((I22*0.00314)*0.22)*'Технический лист'!$M$9)+100+(((I23*0.00314)*0.21)*'Технический лист'!$O$5)+(((I22+30)*(I22+30)/1000000)*'Технический лист'!$E$20))*1.6</f>
        <v>1275.5022592</v>
      </c>
      <c r="J28" s="16">
        <f>((((J22*0.00314)*0.22)*'Технический лист'!$M$9)+100+(((J23*0.00314)*0.21)*'Технический лист'!$O$5)+(((J22+30)*(J22+30)/1000000)*'Технический лист'!$E$20))*1.6</f>
        <v>1349.79926016</v>
      </c>
      <c r="K28" s="16">
        <f>((((K22*0.00314)*0.22)*'Технический лист'!$M$9)+100+(((K23*0.00314)*0.21)*'Технический лист'!$O$5)+(((K22+30)*(K22+30)/1000000)*'Технический лист'!$E$20))*1.6</f>
        <v>1502.23326208</v>
      </c>
      <c r="L28" s="16">
        <f>((((L22*0.00314)*0.22)*'Технический лист'!$M$9)+100+(((L23*0.00314)*0.21)*'Технический лист'!$O$5)+(((L22+30)*(L22+30)/1000000)*'Технический лист'!$E$20))*1.6</f>
        <v>1659.7872640000003</v>
      </c>
      <c r="M28" s="16">
        <f>((((M22*0.00314)*0.22)*'Технический лист'!$M$9)+100+(((M23*0.00314)*0.21)*'Технический лист'!$O$5)+(((M22+30)*(M22+30)/1000000)*'Технический лист'!$E$20))*1.6</f>
        <v>1822.4612659200002</v>
      </c>
      <c r="N28" s="16">
        <f>((((N22*0.00314)*0.22)*'Технический лист'!$M$9)+100+(((N23*0.00314)*0.21)*'Технический лист'!$O$5)+(((N22+30)*(N22+30)/1000000)*'Технический лист'!$E$20))*1.6</f>
        <v>2076.0722688</v>
      </c>
      <c r="O28" s="16">
        <f>((((O22*0.00314)*0.22)*'Технический лист'!$M$9)+100+(((O23*0.00314)*0.21)*'Технический лист'!$O$5)+(((O22+30)*(O22+30)/1000000)*'Технический лист'!$E$20))*1.6</f>
        <v>2163.1692697599997</v>
      </c>
      <c r="P28" s="16">
        <f>((((P22*0.00314)*0.22)*'Технический лист'!$M$9)+100+(((P23*0.00314)*0.21)*'Технический лист'!$O$5)+(((P22+30)*(P22+30)/1000000)*'Технический лист'!$E$20))*1.6</f>
        <v>2251.54627072</v>
      </c>
      <c r="Q28" s="16">
        <f>((((Q22*0.00314)*0.22)*'Технический лист'!$M$9)+100+(((Q23*0.00314)*0.21)*'Технический лист'!$O$5)+(((Q22+30)*(Q22+30)/1000000)*'Технический лист'!$E$20))*1.6</f>
        <v>2341.20327168</v>
      </c>
      <c r="R28" s="16">
        <f>((((R22*0.00314)*0.22)*'Технический лист'!$M$9)+100+(((R23*0.00314)*0.21)*'Технический лист'!$O$5)+(((R22+30)*(R22+30)/1000000)*'Технический лист'!$E$20))*1.6</f>
        <v>2432.1402726399997</v>
      </c>
      <c r="S28" s="16">
        <f>((((S22*0.00314)*0.22)*'Технический лист'!$M$9)+100+(((S23*0.00314)*0.21)*'Технический лист'!$O$5)+(((S22+30)*(S22+30)/1000000)*'Технический лист'!$E$20))*1.6</f>
        <v>2524.3572735999996</v>
      </c>
    </row>
    <row r="29" spans="1:19" ht="15">
      <c r="A29" s="4" t="s">
        <v>7</v>
      </c>
      <c r="B29" s="9">
        <f>(B28*2.2)+24</f>
        <v>2055.0779596800003</v>
      </c>
      <c r="C29" s="9">
        <f aca="true" t="shared" si="14" ref="C29:N29">(C28*2.2)+24</f>
        <v>2204.4513617920006</v>
      </c>
      <c r="D29" s="9">
        <f t="shared" si="14"/>
        <v>2280.194062848</v>
      </c>
      <c r="E29" s="9">
        <f t="shared" si="14"/>
        <v>2356.640763904001</v>
      </c>
      <c r="F29" s="9">
        <f t="shared" si="14"/>
        <v>2433.79146496</v>
      </c>
      <c r="G29" s="9">
        <f t="shared" si="14"/>
        <v>2511.646166016</v>
      </c>
      <c r="H29" s="9">
        <f t="shared" si="14"/>
        <v>2669.467568128</v>
      </c>
      <c r="I29" s="9">
        <f t="shared" si="14"/>
        <v>2830.10497024</v>
      </c>
      <c r="J29" s="9">
        <f t="shared" si="14"/>
        <v>2993.558372352</v>
      </c>
      <c r="K29" s="9">
        <f t="shared" si="14"/>
        <v>3328.9131765760003</v>
      </c>
      <c r="L29" s="9">
        <f t="shared" si="14"/>
        <v>3675.531980800001</v>
      </c>
      <c r="M29" s="9">
        <f t="shared" si="14"/>
        <v>4033.4147850240006</v>
      </c>
      <c r="N29" s="9">
        <f t="shared" si="14"/>
        <v>4591.358991360001</v>
      </c>
      <c r="O29" s="9">
        <f aca="true" t="shared" si="15" ref="O29:S29">(O28*2.2)+24</f>
        <v>4782.972393472</v>
      </c>
      <c r="P29" s="9">
        <f t="shared" si="15"/>
        <v>4977.401795584</v>
      </c>
      <c r="Q29" s="9">
        <f t="shared" si="15"/>
        <v>5174.647197696</v>
      </c>
      <c r="R29" s="9">
        <f t="shared" si="15"/>
        <v>5374.708599808</v>
      </c>
      <c r="S29" s="9">
        <f t="shared" si="15"/>
        <v>5577.58600192</v>
      </c>
    </row>
    <row r="30" spans="1:19" ht="15">
      <c r="A30" s="4" t="s">
        <v>8</v>
      </c>
      <c r="B30" s="16">
        <f>((((B22*0.00314)*0.2)*'Технический лист'!$M$9)+50+(((B23*0.00314)*0.22)*'Технический лист'!$O$5))*1.6</f>
        <v>725.5960576000002</v>
      </c>
      <c r="C30" s="16">
        <f>((((C22*0.00314)*0.2)*'Технический лист'!$M$9)+50+(((C23*0.00314)*0.22)*'Технический лист'!$O$5))*1.6</f>
        <v>774.5579520000001</v>
      </c>
      <c r="D30" s="16">
        <f>((((D22*0.00314)*0.2)*'Технический лист'!$M$9)+50+(((D23*0.00314)*0.22)*'Технический лист'!$O$5))*1.6</f>
        <v>799.0388992</v>
      </c>
      <c r="E30" s="16">
        <f>((((E22*0.00314)*0.2)*'Технический лист'!$M$9)+50+(((E23*0.00314)*0.22)*'Технический лист'!$O$5))*1.6</f>
        <v>823.5198464000001</v>
      </c>
      <c r="F30" s="16">
        <f>((((F22*0.00314)*0.2)*'Технический лист'!$M$9)+50+(((F23*0.00314)*0.22)*'Технический лист'!$O$5))*1.6</f>
        <v>848.0007936000002</v>
      </c>
      <c r="G30" s="16">
        <f>((((G22*0.00314)*0.2)*'Технический лист'!$M$9)+50+(((G23*0.00314)*0.22)*'Технический лист'!$O$5))*1.6</f>
        <v>872.4817408000001</v>
      </c>
      <c r="H30" s="16">
        <f>((((H22*0.00314)*0.2)*'Технический лист'!$M$9)+50+(((H23*0.00314)*0.22)*'Технический лист'!$O$5))*1.6</f>
        <v>921.4436352000001</v>
      </c>
      <c r="I30" s="16">
        <f>((((I22*0.00314)*0.2)*'Технический лист'!$M$9)+50+(((I23*0.00314)*0.22)*'Технический лист'!$O$5))*1.6</f>
        <v>970.4055296000001</v>
      </c>
      <c r="J30" s="16">
        <f>((((J22*0.00314)*0.2)*'Технический лист'!$M$9)+50+(((J23*0.00314)*0.22)*'Технический лист'!$O$5))*1.6</f>
        <v>1019.367424</v>
      </c>
      <c r="K30" s="16">
        <f>((((K22*0.00314)*0.2)*'Технический лист'!$M$9)+50+(((K23*0.00314)*0.22)*'Технический лист'!$O$5))*1.6</f>
        <v>1117.2912128</v>
      </c>
      <c r="L30" s="16">
        <f>((((L22*0.00314)*0.2)*'Технический лист'!$M$9)+50+(((L23*0.00314)*0.22)*'Технический лист'!$O$5))*1.6</f>
        <v>1215.2150016</v>
      </c>
      <c r="M30" s="16">
        <f>((((M22*0.00314)*0.2)*'Технический лист'!$M$9)+50+(((M23*0.00314)*0.22)*'Технический лист'!$O$5))*1.6</f>
        <v>1313.1387904</v>
      </c>
      <c r="N30" s="16">
        <f>((((N22*0.00314)*0.2)*'Технический лист'!$M$9)+50+(((N23*0.00314)*0.22)*'Технический лист'!$O$5))*1.6</f>
        <v>1460.0244736000002</v>
      </c>
      <c r="O30" s="16">
        <f>((((O22*0.00314)*0.2)*'Технический лист'!$M$9)+50+(((O23*0.00314)*0.22)*'Технический лист'!$O$5))*1.6</f>
        <v>1508.9863679999999</v>
      </c>
      <c r="P30" s="16">
        <f>((((P22*0.00314)*0.2)*'Технический лист'!$M$9)+50+(((P23*0.00314)*0.22)*'Технический лист'!$O$5))*1.6</f>
        <v>1557.9482624000002</v>
      </c>
      <c r="Q30" s="16">
        <f>((((Q22*0.00314)*0.2)*'Технический лист'!$M$9)+50+(((Q23*0.00314)*0.22)*'Технический лист'!$O$5))*1.6</f>
        <v>1606.9101567999999</v>
      </c>
      <c r="R30" s="16">
        <f>((((R22*0.00314)*0.2)*'Технический лист'!$M$9)+50+(((R23*0.00314)*0.22)*'Технический лист'!$O$5))*1.6</f>
        <v>1655.8720512</v>
      </c>
      <c r="S30" s="16">
        <f>((((S22*0.00314)*0.2)*'Технический лист'!$M$9)+50+(((S23*0.00314)*0.22)*'Технический лист'!$O$5))*1.6</f>
        <v>1704.8339456000003</v>
      </c>
    </row>
    <row r="31" spans="1:19" ht="15">
      <c r="A31" s="4" t="s">
        <v>99</v>
      </c>
      <c r="B31" s="16">
        <v>2490</v>
      </c>
      <c r="C31" s="16">
        <v>2665</v>
      </c>
      <c r="D31" s="16">
        <v>2755</v>
      </c>
      <c r="E31" s="16">
        <v>2845</v>
      </c>
      <c r="F31" s="16">
        <v>2935</v>
      </c>
      <c r="G31" s="16">
        <v>3030</v>
      </c>
      <c r="H31" s="16">
        <v>3220</v>
      </c>
      <c r="I31" s="16">
        <v>3610</v>
      </c>
      <c r="J31" s="16">
        <v>3610</v>
      </c>
      <c r="K31" s="16">
        <v>4020</v>
      </c>
      <c r="L31" s="16">
        <v>4450</v>
      </c>
      <c r="M31" s="16">
        <v>4895</v>
      </c>
      <c r="N31" s="16">
        <v>5595</v>
      </c>
      <c r="O31" s="16">
        <v>5840</v>
      </c>
      <c r="P31" s="16">
        <v>6090</v>
      </c>
      <c r="Q31" s="16">
        <v>6340</v>
      </c>
      <c r="R31" s="16">
        <v>6600</v>
      </c>
      <c r="S31" s="16">
        <v>6860</v>
      </c>
    </row>
    <row r="32" spans="1:19" ht="15">
      <c r="A32" s="4" t="s">
        <v>102</v>
      </c>
      <c r="B32" s="16">
        <v>2490</v>
      </c>
      <c r="C32" s="16">
        <v>2665</v>
      </c>
      <c r="D32" s="16">
        <v>2755</v>
      </c>
      <c r="E32" s="16">
        <v>2845</v>
      </c>
      <c r="F32" s="16">
        <v>2935</v>
      </c>
      <c r="G32" s="16">
        <v>3030</v>
      </c>
      <c r="H32" s="16">
        <v>3220</v>
      </c>
      <c r="I32" s="16">
        <v>3610</v>
      </c>
      <c r="J32" s="16">
        <v>3610</v>
      </c>
      <c r="K32" s="16">
        <v>4020</v>
      </c>
      <c r="L32" s="16">
        <v>4450</v>
      </c>
      <c r="M32" s="16">
        <v>4895</v>
      </c>
      <c r="N32" s="16">
        <v>5595</v>
      </c>
      <c r="O32" s="16">
        <v>5840</v>
      </c>
      <c r="P32" s="16">
        <v>6090</v>
      </c>
      <c r="Q32" s="16">
        <v>6340</v>
      </c>
      <c r="R32" s="16">
        <v>6600</v>
      </c>
      <c r="S32" s="16">
        <v>6860</v>
      </c>
    </row>
    <row r="33" spans="1:19" ht="14.25" customHeight="1">
      <c r="A33" s="4" t="s">
        <v>9</v>
      </c>
      <c r="B33" s="9">
        <f>((((B22*0.00314)*((B22+545)/1000))*'Технический лист'!$K$9)+370+((B23*0.00314)*((B23+450)/1000))*'Технический лист'!$K$5)*1.65</f>
        <v>2487.8446758000005</v>
      </c>
      <c r="C33" s="9">
        <f>((((C22*0.00314)*((C22+545)/1000))*'Технический лист'!$K$9)+370+((C23*0.00314)*((C23+450)/1000))*'Технический лист'!$K$5)*1.65</f>
        <v>2663.41456986</v>
      </c>
      <c r="D33" s="9">
        <f>((((D22*0.00314)*((D22+545)/1000))*'Технический лист'!$K$9)+370+((D23*0.00314)*((D23+450)/1000))*'Технический лист'!$K$5)*1.65</f>
        <v>2752.8980559299994</v>
      </c>
      <c r="E33" s="9">
        <f>((((E22*0.00314)*((E22+545)/1000))*'Технический лист'!$K$9)+370+((E23*0.00314)*((E23+450)/1000))*'Технический лист'!$K$5)*1.65</f>
        <v>2843.5139013599996</v>
      </c>
      <c r="F33" s="9">
        <f>((((F22*0.00314)*((F22+545)/1000))*'Технический лист'!$K$9)+370+((F23*0.00314)*((F23+450)/1000))*'Технический лист'!$K$5)*1.65</f>
        <v>2935.26210615</v>
      </c>
      <c r="G33" s="9">
        <f>((((G22*0.00314)*((G22+545)/1000))*'Технический лист'!$K$9)+370+((G23*0.00314)*((G23+450)/1000))*'Технический лист'!$K$5)*1.65</f>
        <v>3028.1426703</v>
      </c>
      <c r="H33" s="9">
        <f>((((H22*0.00314)*((H22+545)/1000))*'Технический лист'!$K$9)+370+((H23*0.00314)*((H23+450)/1000))*'Технический лист'!$K$5)*1.65</f>
        <v>3217.3008766800003</v>
      </c>
      <c r="I33" s="9">
        <f>((((I22*0.00314)*((I22+545)/1000))*'Технический лист'!$K$9)+370+((I23*0.00314)*((I23+450)/1000))*'Технический лист'!$K$5)*1.65</f>
        <v>3410.9885204999996</v>
      </c>
      <c r="J33" s="9">
        <f>((((J22*0.00314)*((J22+545)/1000))*'Технический лист'!$K$9)+370+((J23*0.00314)*((J23+450)/1000))*'Технический лист'!$K$5)*1.65</f>
        <v>3609.20560176</v>
      </c>
      <c r="K33" s="9">
        <f>((((K22*0.00314)*((K22+545)/1000))*'Технический лист'!$K$9)+370+((K23*0.00314)*((K23+450)/1000))*'Технический лист'!$K$5)*1.65</f>
        <v>4019.2280765999994</v>
      </c>
      <c r="L33" s="9">
        <f>((((L22*0.00314)*((L22+545)/1000))*'Технический лист'!$K$9)+370+((L23*0.00314)*((L23+450)/1000))*'Технический лист'!$K$5)*1.65</f>
        <v>4447.368301199999</v>
      </c>
      <c r="M33" s="9">
        <f>((((M22*0.00314)*((M22+545)/1000))*'Технический лист'!$K$9)+370+((M23*0.00314)*((M23+450)/1000))*'Технический лист'!$K$5)*1.65</f>
        <v>4893.626275559999</v>
      </c>
      <c r="N33" s="9">
        <f>((((N22*0.00314)*((N22+545)/1000))*'Технический лист'!$K$9)+370+((N23*0.00314)*((N23+450)/1000))*'Технический лист'!$K$5)*1.65</f>
        <v>5596.984017899999</v>
      </c>
      <c r="O33" s="9">
        <f>((((O22*0.00314)*((O22+545)/1000))*'Технический лист'!$K$9)+370+((O23*0.00314)*((O23+450)/1000))*'Технический лист'!$K$5)*1.65</f>
        <v>5840.4954735599995</v>
      </c>
      <c r="P33" s="9">
        <f>((((P22*0.00314)*((P22+545)/1000))*'Технический лист'!$K$9)+370+((P23*0.00314)*((P23+450)/1000))*'Технический лист'!$K$5)*1.65</f>
        <v>6088.53636666</v>
      </c>
      <c r="Q33" s="9">
        <f>((((Q22*0.00314)*((Q22+545)/1000))*'Технический лист'!$K$9)+370+((Q23*0.00314)*((Q23+450)/1000))*'Технический лист'!$K$5)*1.65</f>
        <v>6341.1066972</v>
      </c>
      <c r="R33" s="9">
        <f>((((R22*0.00314)*((R22+545)/1000))*'Технический лист'!$K$9)+370+((R23*0.00314)*((R23+450)/1000))*'Технический лист'!$K$5)*1.65</f>
        <v>6598.20646518</v>
      </c>
      <c r="S33" s="9">
        <f>((((S22*0.00314)*((S22+545)/1000))*'Технический лист'!$K$9)+370+((S23*0.00314)*((S23+450)/1000))*'Технический лист'!$K$5)*1.65</f>
        <v>6859.8356705999995</v>
      </c>
    </row>
    <row r="34" spans="1:19" ht="0.75" customHeight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A1" sqref="A1:C1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53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B6+70</f>
        <v>170</v>
      </c>
      <c r="C7" s="10">
        <f aca="true" t="shared" si="0" ref="C7:N7">C6+70</f>
        <v>180</v>
      </c>
      <c r="D7" s="10">
        <f t="shared" si="0"/>
        <v>185</v>
      </c>
      <c r="E7" s="10">
        <f t="shared" si="0"/>
        <v>190</v>
      </c>
      <c r="F7" s="10">
        <f t="shared" si="0"/>
        <v>195</v>
      </c>
      <c r="G7" s="10">
        <f t="shared" si="0"/>
        <v>200</v>
      </c>
      <c r="H7" s="10">
        <f t="shared" si="0"/>
        <v>210</v>
      </c>
      <c r="I7" s="10">
        <f t="shared" si="0"/>
        <v>220</v>
      </c>
      <c r="J7" s="10">
        <f t="shared" si="0"/>
        <v>230</v>
      </c>
      <c r="K7" s="10">
        <f t="shared" si="0"/>
        <v>250</v>
      </c>
      <c r="L7" s="10">
        <f t="shared" si="0"/>
        <v>270</v>
      </c>
      <c r="M7" s="10">
        <f t="shared" si="0"/>
        <v>290</v>
      </c>
      <c r="N7" s="10">
        <f t="shared" si="0"/>
        <v>320</v>
      </c>
      <c r="O7" s="10">
        <f aca="true" t="shared" si="1" ref="O7:S7">O6+70</f>
        <v>330</v>
      </c>
      <c r="P7" s="10">
        <f t="shared" si="1"/>
        <v>340</v>
      </c>
      <c r="Q7" s="10">
        <f t="shared" si="1"/>
        <v>350</v>
      </c>
      <c r="R7" s="10">
        <f t="shared" si="1"/>
        <v>360</v>
      </c>
      <c r="S7" s="10">
        <f t="shared" si="1"/>
        <v>370</v>
      </c>
    </row>
    <row r="8" spans="1:19" ht="15">
      <c r="A8" s="4" t="s">
        <v>4</v>
      </c>
      <c r="B8" s="16">
        <f>(((B6*0.00314)*'Технический лист'!$G$10)+310+((B7*0.00314)*'Технический лист'!$G$11))*1.5</f>
        <v>1825.6698610389612</v>
      </c>
      <c r="C8" s="16">
        <f>(((C6*0.00314)*'Технический лист'!$G$10)+310+((C7*0.00314)*'Технический лист'!$G$11))*1.5</f>
        <v>1950.076457142857</v>
      </c>
      <c r="D8" s="16">
        <f>(((D6*0.00314)*'Технический лист'!$G$10)+310+((D7*0.00314)*'Технический лист'!$G$11))*1.5</f>
        <v>2012.2797551948047</v>
      </c>
      <c r="E8" s="16">
        <f>(((E6*0.00314)*'Технический лист'!$G$10)+310+((E7*0.00314)*'Технический лист'!$G$11))*1.5</f>
        <v>2074.483053246753</v>
      </c>
      <c r="F8" s="16">
        <f>(((F6*0.00314)*'Технический лист'!$G$10)+310+((F7*0.00314)*'Технический лист'!$G$11))*1.5</f>
        <v>2136.686351298701</v>
      </c>
      <c r="G8" s="16">
        <f>(((G6*0.00314)*'Технический лист'!$G$10)+310+((G7*0.00314)*'Технический лист'!$G$11))*1.5</f>
        <v>2198.889649350649</v>
      </c>
      <c r="H8" s="16">
        <f>(((H6*0.00314)*'Технический лист'!$G$10)+310+((H7*0.00314)*'Технический лист'!$G$11))*1.5</f>
        <v>2323.296245454545</v>
      </c>
      <c r="I8" s="16">
        <f>(((I6*0.00314)*'Технический лист'!$G$10)+310+((I7*0.00314)*'Технический лист'!$G$11))*1.5</f>
        <v>2447.7028415584414</v>
      </c>
      <c r="J8" s="16">
        <f>(((J6*0.00314)*'Технический лист'!$G$10)+310+((J7*0.00314)*'Технический лист'!$G$11))*1.5</f>
        <v>2572.1094376623373</v>
      </c>
      <c r="K8" s="16">
        <f>(((K6*0.00314)*'Технический лист'!$G$10)+310+((K7*0.00314)*'Технический лист'!$G$11))*1.5</f>
        <v>2820.9226298701296</v>
      </c>
      <c r="L8" s="16">
        <f>(((L6*0.00314)*'Технический лист'!$G$10)+310+((L7*0.00314)*'Технический лист'!$G$11))*1.5</f>
        <v>3069.735822077922</v>
      </c>
      <c r="M8" s="16">
        <f>(((M6*0.00314)*'Технический лист'!$G$10)+310+((M7*0.00314)*'Технический лист'!$G$11))*1.5</f>
        <v>3318.549014285714</v>
      </c>
      <c r="N8" s="16">
        <f>(((N6*0.00314)*'Технический лист'!$G$10)+310+((N7*0.00314)*'Технический лист'!$G$11))*1.5</f>
        <v>3691.768802597402</v>
      </c>
      <c r="O8" s="16">
        <f>(((O6*0.00314)*'Технический лист'!$G$10)+310+((O7*0.00314)*'Технический лист'!$G$11))*1.5</f>
        <v>3816.175398701298</v>
      </c>
      <c r="P8" s="16">
        <f>(((P6*0.00314)*'Технический лист'!$G$10)+310+((P7*0.00314)*'Технический лист'!$G$11))*1.5</f>
        <v>3940.5819948051944</v>
      </c>
      <c r="Q8" s="16">
        <f>(((Q6*0.00314)*'Технический лист'!$G$10)+310+((Q7*0.00314)*'Технический лист'!$G$11))*1.5</f>
        <v>4064.98859090909</v>
      </c>
      <c r="R8" s="16">
        <f>(((R6*0.00314)*'Технический лист'!$G$10)+310+((R7*0.00314)*'Технический лист'!$G$11))*1.5</f>
        <v>4189.395187012987</v>
      </c>
      <c r="S8" s="16">
        <f>(((S6*0.00314)*'Технический лист'!$G$10)+310+((S7*0.00314)*'Технический лист'!$G$11))*1.5</f>
        <v>4313.801783116883</v>
      </c>
    </row>
    <row r="9" spans="1:19" ht="15">
      <c r="A9" s="4" t="s">
        <v>3</v>
      </c>
      <c r="B9" s="9">
        <f>((B8/2)*1.07)-10</f>
        <v>966.7333756558443</v>
      </c>
      <c r="C9" s="9">
        <f aca="true" t="shared" si="2" ref="C9:N9">((C8/2)*1.07)-10</f>
        <v>1033.2909045714284</v>
      </c>
      <c r="D9" s="9">
        <f t="shared" si="2"/>
        <v>1066.5696690292207</v>
      </c>
      <c r="E9" s="9">
        <f t="shared" si="2"/>
        <v>1099.848433487013</v>
      </c>
      <c r="F9" s="9">
        <f t="shared" si="2"/>
        <v>1133.1271979448052</v>
      </c>
      <c r="G9" s="9">
        <f t="shared" si="2"/>
        <v>1166.4059624025974</v>
      </c>
      <c r="H9" s="9">
        <f t="shared" si="2"/>
        <v>1232.9634913181817</v>
      </c>
      <c r="I9" s="9">
        <f t="shared" si="2"/>
        <v>1299.5210202337662</v>
      </c>
      <c r="J9" s="9">
        <f t="shared" si="2"/>
        <v>1366.0785491493505</v>
      </c>
      <c r="K9" s="9">
        <f t="shared" si="2"/>
        <v>1499.1936069805195</v>
      </c>
      <c r="L9" s="9">
        <f t="shared" si="2"/>
        <v>1632.3086648116885</v>
      </c>
      <c r="M9" s="9">
        <f t="shared" si="2"/>
        <v>1765.423722642857</v>
      </c>
      <c r="N9" s="9">
        <f t="shared" si="2"/>
        <v>1965.0963093896103</v>
      </c>
      <c r="O9" s="9">
        <f aca="true" t="shared" si="3" ref="O9:S9">((O8/2)*1.07)-10</f>
        <v>2031.6538383051945</v>
      </c>
      <c r="P9" s="9">
        <f t="shared" si="3"/>
        <v>2098.2113672207793</v>
      </c>
      <c r="Q9" s="9">
        <f t="shared" si="3"/>
        <v>2164.7688961363633</v>
      </c>
      <c r="R9" s="9">
        <f t="shared" si="3"/>
        <v>2231.3264250519483</v>
      </c>
      <c r="S9" s="9">
        <f t="shared" si="3"/>
        <v>2297.8839539675323</v>
      </c>
    </row>
    <row r="10" spans="1:19" ht="15">
      <c r="A10" s="4" t="s">
        <v>5</v>
      </c>
      <c r="B10" s="16">
        <f>((((B6*0.00314)*0.5)*'Технический лист'!$I$10)+310+(((B7*0.00314)*0.5)*'Технический лист'!$I$11))*1.55</f>
        <v>1529.6781365367965</v>
      </c>
      <c r="C10" s="16">
        <f>((((C6*0.00314)*0.5)*'Технический лист'!$I$10)+310+(((C7*0.00314)*0.5)*'Технический лист'!$I$11))*1.55</f>
        <v>1623.0352028571428</v>
      </c>
      <c r="D10" s="16">
        <f>((((D6*0.00314)*0.5)*'Технический лист'!$I$10)+310+(((D7*0.00314)*0.5)*'Технический лист'!$I$11))*1.55</f>
        <v>1669.7137360173158</v>
      </c>
      <c r="E10" s="16">
        <f>((((E6*0.00314)*0.5)*'Технический лист'!$I$10)+310+(((E7*0.00314)*0.5)*'Технический лист'!$I$11))*1.55</f>
        <v>1716.3922691774892</v>
      </c>
      <c r="F10" s="16">
        <f>((((F6*0.00314)*0.5)*'Технический лист'!$I$10)+310+(((F7*0.00314)*0.5)*'Технический лист'!$I$11))*1.55</f>
        <v>1763.0708023376624</v>
      </c>
      <c r="G10" s="16">
        <f>((((G6*0.00314)*0.5)*'Технический лист'!$I$10)+310+(((G7*0.00314)*0.5)*'Технический лист'!$I$11))*1.55</f>
        <v>1809.7493354978358</v>
      </c>
      <c r="H10" s="16">
        <f>((((H6*0.00314)*0.5)*'Технический лист'!$I$10)+310+(((H7*0.00314)*0.5)*'Технический лист'!$I$11))*1.55</f>
        <v>1903.1064018181817</v>
      </c>
      <c r="I10" s="16">
        <f>((((I6*0.00314)*0.5)*'Технический лист'!$I$10)+310+(((I7*0.00314)*0.5)*'Технический лист'!$I$11))*1.55</f>
        <v>1996.4634681385282</v>
      </c>
      <c r="J10" s="16">
        <f>((((J6*0.00314)*0.5)*'Технический лист'!$I$10)+310+(((J7*0.00314)*0.5)*'Технический лист'!$I$11))*1.55</f>
        <v>2089.8205344588746</v>
      </c>
      <c r="K10" s="16">
        <f>((((K6*0.00314)*0.5)*'Технический лист'!$I$10)+310+(((K7*0.00314)*0.5)*'Технический лист'!$I$11))*1.55</f>
        <v>2276.5346670995673</v>
      </c>
      <c r="L10" s="16">
        <f>((((L6*0.00314)*0.5)*'Технический лист'!$I$10)+310+(((L7*0.00314)*0.5)*'Технический лист'!$I$11))*1.55</f>
        <v>2463.2487997402595</v>
      </c>
      <c r="M10" s="16">
        <f>((((M6*0.00314)*0.5)*'Технический лист'!$I$10)+310+(((M7*0.00314)*0.5)*'Технический лист'!$I$11))*1.55</f>
        <v>2649.962932380952</v>
      </c>
      <c r="N10" s="16">
        <f>((((N6*0.00314)*0.5)*'Технический лист'!$I$10)+310+(((N7*0.00314)*0.5)*'Технический лист'!$I$11))*1.55</f>
        <v>2930.0341313419913</v>
      </c>
      <c r="O10" s="16">
        <f>((((O6*0.00314)*0.5)*'Технический лист'!$I$10)+310+(((O7*0.00314)*0.5)*'Технический лист'!$I$11))*1.55</f>
        <v>3023.3911976623376</v>
      </c>
      <c r="P10" s="16">
        <f>((((P6*0.00314)*0.5)*'Технический лист'!$I$10)+310+(((P7*0.00314)*0.5)*'Технический лист'!$I$11))*1.55</f>
        <v>3116.748263982684</v>
      </c>
      <c r="Q10" s="16">
        <f>((((Q6*0.00314)*0.5)*'Технический лист'!$I$10)+310+(((Q7*0.00314)*0.5)*'Технический лист'!$I$11))*1.55</f>
        <v>3210.1053303030303</v>
      </c>
      <c r="R10" s="16">
        <f>((((R6*0.00314)*0.5)*'Технический лист'!$I$10)+310+(((R7*0.00314)*0.5)*'Технический лист'!$I$11))*1.55</f>
        <v>3303.4623966233767</v>
      </c>
      <c r="S10" s="16">
        <f>((((S6*0.00314)*0.5)*'Технический лист'!$I$10)+310+(((S7*0.00314)*0.5)*'Технический лист'!$I$11))*1.55</f>
        <v>3396.8194629437226</v>
      </c>
    </row>
    <row r="11" spans="1:19" ht="15">
      <c r="A11" s="4" t="s">
        <v>96</v>
      </c>
      <c r="B11" s="9">
        <f>((B10*2)/3)-6</f>
        <v>1013.7854243578644</v>
      </c>
      <c r="C11" s="9">
        <f aca="true" t="shared" si="4" ref="C11:N11">((C10*2)/3)-6</f>
        <v>1076.0234685714286</v>
      </c>
      <c r="D11" s="9">
        <f t="shared" si="4"/>
        <v>1107.1424906782106</v>
      </c>
      <c r="E11" s="9">
        <f t="shared" si="4"/>
        <v>1138.2615127849929</v>
      </c>
      <c r="F11" s="9">
        <f t="shared" si="4"/>
        <v>1169.380534891775</v>
      </c>
      <c r="G11" s="9">
        <f t="shared" si="4"/>
        <v>1200.4995569985572</v>
      </c>
      <c r="H11" s="9">
        <f t="shared" si="4"/>
        <v>1262.737601212121</v>
      </c>
      <c r="I11" s="9">
        <f t="shared" si="4"/>
        <v>1324.9756454256856</v>
      </c>
      <c r="J11" s="9">
        <f t="shared" si="4"/>
        <v>1387.2136896392497</v>
      </c>
      <c r="K11" s="9">
        <f t="shared" si="4"/>
        <v>1511.6897780663783</v>
      </c>
      <c r="L11" s="9">
        <f t="shared" si="4"/>
        <v>1636.1658664935064</v>
      </c>
      <c r="M11" s="9">
        <f t="shared" si="4"/>
        <v>1760.6419549206348</v>
      </c>
      <c r="N11" s="9">
        <f t="shared" si="4"/>
        <v>1947.3560875613275</v>
      </c>
      <c r="O11" s="9">
        <f aca="true" t="shared" si="5" ref="O11:S11">((O10*2)/3)-6</f>
        <v>2009.5941317748918</v>
      </c>
      <c r="P11" s="9">
        <f t="shared" si="5"/>
        <v>2071.832175988456</v>
      </c>
      <c r="Q11" s="9">
        <f t="shared" si="5"/>
        <v>2134.07022020202</v>
      </c>
      <c r="R11" s="9">
        <f t="shared" si="5"/>
        <v>2196.3082644155843</v>
      </c>
      <c r="S11" s="9">
        <f t="shared" si="5"/>
        <v>2258.5463086291484</v>
      </c>
    </row>
    <row r="12" spans="1:19" ht="15">
      <c r="A12" s="4" t="s">
        <v>6</v>
      </c>
      <c r="B12" s="16">
        <f>((((B6*0.00314)*0.22)*'Технический лист'!$M$10)+100+(((B7*0.00314)*0.21)*'Технический лист'!$O$11)+(((B6+30)*(B6+30)/1000000)*'Технический лист'!$E$20))*1.6</f>
        <v>841.5841444571429</v>
      </c>
      <c r="C12" s="16">
        <f>((((C6*0.00314)*0.22)*'Технический лист'!$M$10)+100+(((C7*0.00314)*0.21)*'Технический лист'!$O$11)+(((C6+30)*(C6+30)/1000000)*'Технический лист'!$E$20))*1.6</f>
        <v>908.2403035428572</v>
      </c>
      <c r="D12" s="16">
        <f>((((D6*0.00314)*0.22)*'Технический лист'!$M$10)+100+(((D7*0.00314)*0.21)*'Технический лист'!$O$11)+(((D6+30)*(D6+30)/1000000)*'Технический лист'!$E$20))*1.6</f>
        <v>942.0483830857142</v>
      </c>
      <c r="E12" s="16">
        <f>((((E6*0.00314)*0.22)*'Технический лист'!$M$10)+100+(((E7*0.00314)*0.21)*'Технический лист'!$O$11)+(((E6+30)*(E6+30)/1000000)*'Технический лист'!$E$20))*1.6</f>
        <v>976.1764626285717</v>
      </c>
      <c r="F12" s="16">
        <f>((((F6*0.00314)*0.22)*'Технический лист'!$M$10)+100+(((F7*0.00314)*0.21)*'Технический лист'!$O$11)+(((F6+30)*(F6+30)/1000000)*'Технический лист'!$E$20))*1.6</f>
        <v>1010.6245421714286</v>
      </c>
      <c r="G12" s="16">
        <f>((((G6*0.00314)*0.22)*'Технический лист'!$M$10)+100+(((G7*0.00314)*0.21)*'Технический лист'!$O$11)+(((G6+30)*(G6+30)/1000000)*'Технический лист'!$E$20))*1.6</f>
        <v>1045.3926217142857</v>
      </c>
      <c r="H12" s="16">
        <f>((((H6*0.00314)*0.22)*'Технический лист'!$M$10)+100+(((H7*0.00314)*0.21)*'Технический лист'!$O$11)+(((H6+30)*(H6+30)/1000000)*'Технический лист'!$E$20))*1.6</f>
        <v>1115.8887808</v>
      </c>
      <c r="I12" s="16">
        <f>((((I6*0.00314)*0.22)*'Технический лист'!$M$10)+100+(((I7*0.00314)*0.21)*'Технический лист'!$O$11)+(((I6+30)*(I6+30)/1000000)*'Технический лист'!$E$20))*1.6</f>
        <v>1187.6649398857141</v>
      </c>
      <c r="J12" s="16">
        <f>((((J6*0.00314)*0.22)*'Технический лист'!$M$10)+100+(((J7*0.00314)*0.21)*'Технический лист'!$O$11)+(((J6+30)*(J6+30)/1000000)*'Технический лист'!$E$20))*1.6</f>
        <v>1260.7210989714285</v>
      </c>
      <c r="K12" s="16">
        <f>((((K6*0.00314)*0.22)*'Технический лист'!$M$10)+100+(((K7*0.00314)*0.21)*'Технический лист'!$O$11)+(((K6+30)*(K6+30)/1000000)*'Технический лист'!$E$20))*1.6</f>
        <v>1410.6734171428573</v>
      </c>
      <c r="L12" s="16">
        <f>((((L6*0.00314)*0.22)*'Технический лист'!$M$10)+100+(((L7*0.00314)*0.21)*'Технический лист'!$O$11)+(((L6+30)*(L6+30)/1000000)*'Технический лист'!$E$20))*1.6</f>
        <v>1565.7457353142859</v>
      </c>
      <c r="M12" s="16">
        <f>((((M6*0.00314)*0.22)*'Технический лист'!$M$10)+100+(((M7*0.00314)*0.21)*'Технический лист'!$O$11)+(((M6+30)*(M6+30)/1000000)*'Технический лист'!$E$20))*1.6</f>
        <v>1725.9380534857141</v>
      </c>
      <c r="N12" s="16">
        <f>((((N6*0.00314)*0.22)*'Технический лист'!$M$10)+100+(((N7*0.00314)*0.21)*'Технический лист'!$O$11)+(((N6+30)*(N6+30)/1000000)*'Технический лист'!$E$20))*1.6</f>
        <v>1975.8265307428571</v>
      </c>
      <c r="O12" s="16">
        <f>((((O6*0.00314)*0.22)*'Технический лист'!$M$10)+100+(((O7*0.00314)*0.21)*'Технический лист'!$O$11)+(((O6+30)*(O6+30)/1000000)*'Технический лист'!$E$20))*1.6</f>
        <v>2061.6826898285713</v>
      </c>
      <c r="P12" s="16">
        <f>((((P6*0.00314)*0.22)*'Технический лист'!$M$10)+100+(((P7*0.00314)*0.21)*'Технический лист'!$O$11)+(((P6+30)*(P6+30)/1000000)*'Технический лист'!$E$20))*1.6</f>
        <v>2148.818848914286</v>
      </c>
      <c r="Q12" s="16">
        <f>((((Q6*0.00314)*0.22)*'Технический лист'!$M$10)+100+(((Q7*0.00314)*0.21)*'Технический лист'!$O$11)+(((Q6+30)*(Q6+30)/1000000)*'Технический лист'!$E$20))*1.6</f>
        <v>2237.235008</v>
      </c>
      <c r="R12" s="16">
        <f>((((R6*0.00314)*0.22)*'Технический лист'!$M$10)+100+(((R7*0.00314)*0.21)*'Технический лист'!$O$11)+(((R6+30)*(R6+30)/1000000)*'Технический лист'!$E$20))*1.6</f>
        <v>2326.931167085714</v>
      </c>
      <c r="S12" s="16">
        <f>((((S6*0.00314)*0.22)*'Технический лист'!$M$10)+100+(((S7*0.00314)*0.21)*'Технический лист'!$O$11)+(((S6+30)*(S6+30)/1000000)*'Технический лист'!$E$20))*1.6</f>
        <v>2417.9073261714284</v>
      </c>
    </row>
    <row r="13" spans="1:19" ht="15">
      <c r="A13" s="4" t="s">
        <v>7</v>
      </c>
      <c r="B13" s="9">
        <f>(B12*2.2)+24</f>
        <v>1875.4851178057145</v>
      </c>
      <c r="C13" s="9">
        <f aca="true" t="shared" si="6" ref="C13:N13">(C12*2.2)+24</f>
        <v>2022.128667794286</v>
      </c>
      <c r="D13" s="9">
        <f t="shared" si="6"/>
        <v>2096.5064427885713</v>
      </c>
      <c r="E13" s="9">
        <f t="shared" si="6"/>
        <v>2171.588217782858</v>
      </c>
      <c r="F13" s="9">
        <f t="shared" si="6"/>
        <v>2247.373992777143</v>
      </c>
      <c r="G13" s="9">
        <f t="shared" si="6"/>
        <v>2323.8637677714287</v>
      </c>
      <c r="H13" s="9">
        <f t="shared" si="6"/>
        <v>2478.95531776</v>
      </c>
      <c r="I13" s="9">
        <f t="shared" si="6"/>
        <v>2636.8628677485713</v>
      </c>
      <c r="J13" s="9">
        <f t="shared" si="6"/>
        <v>2797.586417737143</v>
      </c>
      <c r="K13" s="9">
        <f t="shared" si="6"/>
        <v>3127.4815177142864</v>
      </c>
      <c r="L13" s="9">
        <f t="shared" si="6"/>
        <v>3468.6406176914293</v>
      </c>
      <c r="M13" s="9">
        <f t="shared" si="6"/>
        <v>3821.0637176685714</v>
      </c>
      <c r="N13" s="9">
        <f t="shared" si="6"/>
        <v>4370.818367634286</v>
      </c>
      <c r="O13" s="9">
        <f aca="true" t="shared" si="7" ref="O13:S13">(O12*2.2)+24</f>
        <v>4559.701917622857</v>
      </c>
      <c r="P13" s="9">
        <f t="shared" si="7"/>
        <v>4751.401467611429</v>
      </c>
      <c r="Q13" s="9">
        <f t="shared" si="7"/>
        <v>4945.917017600001</v>
      </c>
      <c r="R13" s="9">
        <f t="shared" si="7"/>
        <v>5143.248567588572</v>
      </c>
      <c r="S13" s="9">
        <f t="shared" si="7"/>
        <v>5343.396117577143</v>
      </c>
    </row>
    <row r="14" spans="1:19" ht="15">
      <c r="A14" s="4" t="s">
        <v>8</v>
      </c>
      <c r="B14" s="16">
        <f>((((B6*0.00314)*0.2)*'Технический лист'!$M$10)+50+(((B7*0.00314)*0.22)*'Технический лист'!$O$11))*1.6</f>
        <v>628.0951895549784</v>
      </c>
      <c r="C14" s="16">
        <f>((((C6*0.00314)*0.2)*'Технический лист'!$M$10)+50+(((C7*0.00314)*0.22)*'Технический лист'!$O$11))*1.6</f>
        <v>674.5591076571429</v>
      </c>
      <c r="D14" s="16">
        <f>((((D6*0.00314)*0.2)*'Технический лист'!$M$10)+50+(((D7*0.00314)*0.22)*'Технический лист'!$O$11))*1.6</f>
        <v>697.7910667082251</v>
      </c>
      <c r="E14" s="16">
        <f>((((E6*0.00314)*0.2)*'Технический лист'!$M$10)+50+(((E7*0.00314)*0.22)*'Технический лист'!$O$11))*1.6</f>
        <v>721.0230257593074</v>
      </c>
      <c r="F14" s="16">
        <f>((((F6*0.00314)*0.2)*'Технический лист'!$M$10)+50+(((F7*0.00314)*0.22)*'Технический лист'!$O$11))*1.6</f>
        <v>744.2549848103898</v>
      </c>
      <c r="G14" s="16">
        <f>((((G6*0.00314)*0.2)*'Технический лист'!$M$10)+50+(((G7*0.00314)*0.22)*'Технический лист'!$O$11))*1.6</f>
        <v>767.4869438614719</v>
      </c>
      <c r="H14" s="16">
        <f>((((H6*0.00314)*0.2)*'Технический лист'!$M$10)+50+(((H7*0.00314)*0.22)*'Технический лист'!$O$11))*1.6</f>
        <v>813.9508619636363</v>
      </c>
      <c r="I14" s="16">
        <f>((((I6*0.00314)*0.2)*'Технический лист'!$M$10)+50+(((I7*0.00314)*0.22)*'Технический лист'!$O$11))*1.6</f>
        <v>860.414780065801</v>
      </c>
      <c r="J14" s="16">
        <f>((((J6*0.00314)*0.2)*'Технический лист'!$M$10)+50+(((J7*0.00314)*0.22)*'Технический лист'!$O$11))*1.6</f>
        <v>906.8786981679655</v>
      </c>
      <c r="K14" s="16">
        <f>((((K6*0.00314)*0.2)*'Технический лист'!$M$10)+50+(((K7*0.00314)*0.22)*'Технический лист'!$O$11))*1.6</f>
        <v>999.8065343722945</v>
      </c>
      <c r="L14" s="16">
        <f>((((L6*0.00314)*0.2)*'Технический лист'!$M$10)+50+(((L7*0.00314)*0.22)*'Технический лист'!$O$11))*1.6</f>
        <v>1092.7343705766234</v>
      </c>
      <c r="M14" s="16">
        <f>((((M6*0.00314)*0.2)*'Технический лист'!$M$10)+50+(((M7*0.00314)*0.22)*'Технический лист'!$O$11))*1.6</f>
        <v>1185.6622067809524</v>
      </c>
      <c r="N14" s="16">
        <f>((((N6*0.00314)*0.2)*'Технический лист'!$M$10)+50+(((N7*0.00314)*0.22)*'Технический лист'!$O$11))*1.6</f>
        <v>1325.0539610874462</v>
      </c>
      <c r="O14" s="16">
        <f>((((O6*0.00314)*0.2)*'Технический лист'!$M$10)+50+(((O7*0.00314)*0.22)*'Технический лист'!$O$11))*1.6</f>
        <v>1371.5178791896105</v>
      </c>
      <c r="P14" s="16">
        <f>((((P6*0.00314)*0.2)*'Технический лист'!$M$10)+50+(((P7*0.00314)*0.22)*'Технический лист'!$O$11))*1.6</f>
        <v>1417.9817972917751</v>
      </c>
      <c r="Q14" s="16">
        <f>((((Q6*0.00314)*0.2)*'Технический лист'!$M$10)+50+(((Q7*0.00314)*0.22)*'Технический лист'!$O$11))*1.6</f>
        <v>1464.4457153939393</v>
      </c>
      <c r="R14" s="16">
        <f>((((R6*0.00314)*0.2)*'Технический лист'!$M$10)+50+(((R7*0.00314)*0.22)*'Технический лист'!$O$11))*1.6</f>
        <v>1510.909633496104</v>
      </c>
      <c r="S14" s="16">
        <f>((((S6*0.00314)*0.2)*'Технический лист'!$M$10)+50+(((S7*0.00314)*0.22)*'Технический лист'!$O$11))*1.6</f>
        <v>1557.3735515982685</v>
      </c>
    </row>
    <row r="15" spans="1:19" ht="15">
      <c r="A15" s="4" t="s">
        <v>99</v>
      </c>
      <c r="B15" s="16">
        <v>2055</v>
      </c>
      <c r="C15" s="16">
        <v>2210</v>
      </c>
      <c r="D15" s="16">
        <v>2285</v>
      </c>
      <c r="E15" s="16">
        <v>2365</v>
      </c>
      <c r="F15" s="16">
        <v>2445</v>
      </c>
      <c r="G15" s="16">
        <v>2525</v>
      </c>
      <c r="H15" s="16">
        <v>2695</v>
      </c>
      <c r="I15" s="16">
        <v>2865</v>
      </c>
      <c r="J15" s="16">
        <v>3035</v>
      </c>
      <c r="K15" s="16">
        <v>3395</v>
      </c>
      <c r="L15" s="16">
        <v>3775</v>
      </c>
      <c r="M15" s="16">
        <v>4165</v>
      </c>
      <c r="N15" s="16">
        <v>4780</v>
      </c>
      <c r="O15" s="16">
        <v>4995</v>
      </c>
      <c r="P15" s="16">
        <v>5215</v>
      </c>
      <c r="Q15" s="16">
        <v>5435</v>
      </c>
      <c r="R15" s="16">
        <v>5660</v>
      </c>
      <c r="S15" s="16">
        <v>5890</v>
      </c>
    </row>
    <row r="16" spans="1:19" ht="15">
      <c r="A16" s="4" t="s">
        <v>102</v>
      </c>
      <c r="B16" s="16">
        <v>2055</v>
      </c>
      <c r="C16" s="16">
        <v>2210</v>
      </c>
      <c r="D16" s="16">
        <v>2285</v>
      </c>
      <c r="E16" s="16">
        <v>2365</v>
      </c>
      <c r="F16" s="16">
        <v>2445</v>
      </c>
      <c r="G16" s="16">
        <v>2525</v>
      </c>
      <c r="H16" s="16">
        <v>2695</v>
      </c>
      <c r="I16" s="16">
        <v>2865</v>
      </c>
      <c r="J16" s="16">
        <v>3035</v>
      </c>
      <c r="K16" s="16">
        <v>3395</v>
      </c>
      <c r="L16" s="16">
        <v>3775</v>
      </c>
      <c r="M16" s="16">
        <v>4165</v>
      </c>
      <c r="N16" s="16">
        <v>4780</v>
      </c>
      <c r="O16" s="16">
        <v>4995</v>
      </c>
      <c r="P16" s="16">
        <v>5215</v>
      </c>
      <c r="Q16" s="16">
        <v>5435</v>
      </c>
      <c r="R16" s="16">
        <v>5660</v>
      </c>
      <c r="S16" s="16">
        <v>5890</v>
      </c>
    </row>
    <row r="17" spans="1:19" ht="15">
      <c r="A17" s="4" t="s">
        <v>9</v>
      </c>
      <c r="B17" s="9">
        <f>((((B6*0.00314)*((B6+545)/1000))*'Технический лист'!$K$10)+370+((B7*0.00314)*((B7+450)/1000))*'Технический лист'!$K$11)*1.65</f>
        <v>2053.0234866571427</v>
      </c>
      <c r="C17" s="9">
        <f>((((C6*0.00314)*((C6+545)/1000))*'Технический лист'!$K$10)+370+((C7*0.00314)*((C7+450)/1000))*'Технический лист'!$K$11)*1.65</f>
        <v>2206.6255468714285</v>
      </c>
      <c r="D17" s="9">
        <f>((((D6*0.00314)*((D6+545)/1000))*'Технический лист'!$K$10)+370+((D7*0.00314)*((D7+450)/1000))*'Технический лист'!$K$11)*1.65</f>
        <v>2284.936707271428</v>
      </c>
      <c r="E17" s="9">
        <f>((((E6*0.00314)*((E6+545)/1000))*'Технический лист'!$K$10)+370+((E7*0.00314)*((E7+450)/1000))*'Технический лист'!$K$11)*1.65</f>
        <v>2364.2546211999997</v>
      </c>
      <c r="F17" s="9">
        <f>((((F6*0.00314)*((F6+545)/1000))*'Технический лист'!$K$10)+370+((F7*0.00314)*((F7+450)/1000))*'Технический лист'!$K$11)*1.65</f>
        <v>2444.5792886571426</v>
      </c>
      <c r="G17" s="9">
        <f>((((G6*0.00314)*((G6+545)/1000))*'Технический лист'!$K$10)+370+((G7*0.00314)*((G7+450)/1000))*'Технический лист'!$K$11)*1.65</f>
        <v>2525.910709642857</v>
      </c>
      <c r="H17" s="9">
        <f>((((H6*0.00314)*((H6+545)/1000))*'Технический лист'!$K$10)+370+((H7*0.00314)*((H7+450)/1000))*'Технический лист'!$K$11)*1.65</f>
        <v>2691.5938122</v>
      </c>
      <c r="I17" s="9">
        <f>((((I6*0.00314)*((I6+545)/1000))*'Технический лист'!$K$10)+370+((I7*0.00314)*((I7+450)/1000))*'Технический лист'!$K$11)*1.65</f>
        <v>2861.303928871428</v>
      </c>
      <c r="J17" s="9">
        <f>((((J6*0.00314)*((J6+545)/1000))*'Технический лист'!$K$10)+370+((J7*0.00314)*((J7+450)/1000))*'Технический лист'!$K$11)*1.65</f>
        <v>3035.041059657142</v>
      </c>
      <c r="K17" s="9">
        <f>((((K6*0.00314)*((K6+545)/1000))*'Технический лист'!$K$10)+370+((K7*0.00314)*((K7+450)/1000))*'Технический лист'!$K$11)*1.65</f>
        <v>3394.596363571429</v>
      </c>
      <c r="L17" s="9">
        <f>((((L6*0.00314)*((L6+545)/1000))*'Технический лист'!$K$10)+370+((L7*0.00314)*((L7+450)/1000))*'Технический лист'!$K$11)*1.65</f>
        <v>3770.259723942857</v>
      </c>
      <c r="M17" s="9">
        <f>((((M6*0.00314)*((M6+545)/1000))*'Технический лист'!$K$10)+370+((M7*0.00314)*((M7+450)/1000))*'Технический лист'!$K$11)*1.65</f>
        <v>4162.031140771428</v>
      </c>
      <c r="N17" s="9">
        <f>((((N6*0.00314)*((N6+545)/1000))*'Технический лист'!$K$10)+370+((N7*0.00314)*((N7+450)/1000))*'Технический лист'!$K$11)*1.65</f>
        <v>4779.890871871428</v>
      </c>
      <c r="O17" s="9">
        <f>((((O6*0.00314)*((O6+545)/1000))*'Технический лист'!$K$10)+370+((O7*0.00314)*((O7+450)/1000))*'Технический лист'!$K$11)*1.65</f>
        <v>4993.8981438</v>
      </c>
      <c r="P17" s="9">
        <f>((((P6*0.00314)*((P6+545)/1000))*'Технический лист'!$K$10)+370+((P7*0.00314)*((P7+450)/1000))*'Технический лист'!$K$11)*1.65</f>
        <v>5211.932429842856</v>
      </c>
      <c r="Q17" s="9">
        <f>((((Q6*0.00314)*((Q6+545)/1000))*'Технический лист'!$K$10)+370+((Q7*0.00314)*((Q7+450)/1000))*'Технический лист'!$K$11)*1.65</f>
        <v>5433.993729999999</v>
      </c>
      <c r="R17" s="9">
        <f>((((R6*0.00314)*((R6+545)/1000))*'Технический лист'!$K$10)+370+((R7*0.00314)*((R7+450)/1000))*'Технический лист'!$K$11)*1.65</f>
        <v>5660.082044271428</v>
      </c>
      <c r="S17" s="9">
        <f>((((S6*0.00314)*((S6+545)/1000))*'Технический лист'!$K$10)+370+((S7*0.00314)*((S7+450)/1000))*'Технический лист'!$K$11)*1.65</f>
        <v>5890.197372657142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1100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54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B22+70</f>
        <v>170</v>
      </c>
      <c r="C23" s="10">
        <f aca="true" t="shared" si="8" ref="C23:N23">C22+70</f>
        <v>180</v>
      </c>
      <c r="D23" s="10">
        <f t="shared" si="8"/>
        <v>185</v>
      </c>
      <c r="E23" s="10">
        <f t="shared" si="8"/>
        <v>190</v>
      </c>
      <c r="F23" s="10">
        <f t="shared" si="8"/>
        <v>195</v>
      </c>
      <c r="G23" s="10">
        <f t="shared" si="8"/>
        <v>200</v>
      </c>
      <c r="H23" s="10">
        <f t="shared" si="8"/>
        <v>210</v>
      </c>
      <c r="I23" s="10">
        <f t="shared" si="8"/>
        <v>220</v>
      </c>
      <c r="J23" s="10">
        <f t="shared" si="8"/>
        <v>230</v>
      </c>
      <c r="K23" s="10">
        <f t="shared" si="8"/>
        <v>250</v>
      </c>
      <c r="L23" s="10">
        <f t="shared" si="8"/>
        <v>270</v>
      </c>
      <c r="M23" s="10">
        <f t="shared" si="8"/>
        <v>290</v>
      </c>
      <c r="N23" s="10">
        <f t="shared" si="8"/>
        <v>320</v>
      </c>
      <c r="O23" s="10">
        <f aca="true" t="shared" si="9" ref="O23:S23">O22+70</f>
        <v>330</v>
      </c>
      <c r="P23" s="10">
        <f t="shared" si="9"/>
        <v>340</v>
      </c>
      <c r="Q23" s="10">
        <f t="shared" si="9"/>
        <v>350</v>
      </c>
      <c r="R23" s="10">
        <f t="shared" si="9"/>
        <v>360</v>
      </c>
      <c r="S23" s="10">
        <f t="shared" si="9"/>
        <v>370</v>
      </c>
    </row>
    <row r="24" spans="1:19" ht="15">
      <c r="A24" s="4" t="s">
        <v>4</v>
      </c>
      <c r="B24" s="16">
        <f>(((B22*0.00314)*'Технический лист'!$G$10)+310+((B23*0.00314)*'Технический лист'!$G$5))*1.5</f>
        <v>2452.084161038961</v>
      </c>
      <c r="C24" s="16">
        <f>(((C22*0.00314)*'Технический лист'!$G$10)+310+((C23*0.00314)*'Технический лист'!$G$5))*1.5</f>
        <v>2613.3386571428573</v>
      </c>
      <c r="D24" s="16">
        <f>(((D22*0.00314)*'Технический лист'!$G$10)+310+((D23*0.00314)*'Технический лист'!$G$5))*1.5</f>
        <v>2693.9659051948047</v>
      </c>
      <c r="E24" s="16">
        <f>(((E22*0.00314)*'Технический лист'!$G$10)+310+((E23*0.00314)*'Технический лист'!$G$5))*1.5</f>
        <v>2774.5931532467534</v>
      </c>
      <c r="F24" s="16">
        <f>(((F22*0.00314)*'Технический лист'!$G$10)+310+((F23*0.00314)*'Технический лист'!$G$5))*1.5</f>
        <v>2855.2204012987013</v>
      </c>
      <c r="G24" s="16">
        <f>(((G22*0.00314)*'Технический лист'!$G$10)+310+((G23*0.00314)*'Технический лист'!$G$5))*1.5</f>
        <v>2935.8476493506487</v>
      </c>
      <c r="H24" s="16">
        <f>(((H22*0.00314)*'Технический лист'!$G$10)+310+((H23*0.00314)*'Технический лист'!$G$5))*1.5</f>
        <v>3097.1021454545453</v>
      </c>
      <c r="I24" s="16">
        <f>(((I22*0.00314)*'Технический лист'!$G$10)+310+((I23*0.00314)*'Технический лист'!$G$5))*1.5</f>
        <v>3258.356641558441</v>
      </c>
      <c r="J24" s="16">
        <f>(((J22*0.00314)*'Технический лист'!$G$10)+310+((J23*0.00314)*'Технический лист'!$G$5))*1.5</f>
        <v>3419.6111376623376</v>
      </c>
      <c r="K24" s="16">
        <f>(((K22*0.00314)*'Технический лист'!$G$10)+310+((K23*0.00314)*'Технический лист'!$G$5))*1.5</f>
        <v>3742.12012987013</v>
      </c>
      <c r="L24" s="16">
        <f>(((L22*0.00314)*'Технический лист'!$G$10)+310+((L23*0.00314)*'Технический лист'!$G$5))*1.5</f>
        <v>4064.629122077922</v>
      </c>
      <c r="M24" s="16">
        <f>(((M22*0.00314)*'Технический лист'!$G$10)+310+((M23*0.00314)*'Технический лист'!$G$5))*1.5</f>
        <v>4387.1381142857135</v>
      </c>
      <c r="N24" s="16">
        <f>(((N22*0.00314)*'Технический лист'!$G$10)+310+((N23*0.00314)*'Технический лист'!$G$5))*1.5</f>
        <v>4870.9016025974015</v>
      </c>
      <c r="O24" s="16">
        <f>(((O22*0.00314)*'Технический лист'!$G$10)+310+((O23*0.00314)*'Технический лист'!$G$5))*1.5</f>
        <v>5032.156098701298</v>
      </c>
      <c r="P24" s="16">
        <f>(((P22*0.00314)*'Технический лист'!$G$10)+310+((P23*0.00314)*'Технический лист'!$G$5))*1.5</f>
        <v>5193.410594805195</v>
      </c>
      <c r="Q24" s="16">
        <f>(((Q22*0.00314)*'Технический лист'!$G$10)+310+((Q23*0.00314)*'Технический лист'!$G$5))*1.5</f>
        <v>5354.66509090909</v>
      </c>
      <c r="R24" s="16">
        <f>(((R22*0.00314)*'Технический лист'!$G$10)+310+((R23*0.00314)*'Технический лист'!$G$5))*1.5</f>
        <v>5515.919587012986</v>
      </c>
      <c r="S24" s="16">
        <f>(((S22*0.00314)*'Технический лист'!$G$10)+310+((S23*0.00314)*'Технический лист'!$G$5))*1.5</f>
        <v>5677.174083116883</v>
      </c>
    </row>
    <row r="25" spans="1:19" ht="15">
      <c r="A25" s="4" t="s">
        <v>3</v>
      </c>
      <c r="B25" s="9">
        <f>((B24/2)*1.07)-10</f>
        <v>1301.8650261558444</v>
      </c>
      <c r="C25" s="9">
        <f aca="true" t="shared" si="10" ref="C25:N25">((C24/2)*1.07)-10</f>
        <v>1388.1361815714288</v>
      </c>
      <c r="D25" s="9">
        <f t="shared" si="10"/>
        <v>1431.2717592792205</v>
      </c>
      <c r="E25" s="9">
        <f t="shared" si="10"/>
        <v>1474.4073369870132</v>
      </c>
      <c r="F25" s="9">
        <f t="shared" si="10"/>
        <v>1517.5429146948052</v>
      </c>
      <c r="G25" s="9">
        <f t="shared" si="10"/>
        <v>1560.6784924025972</v>
      </c>
      <c r="H25" s="9">
        <f t="shared" si="10"/>
        <v>1646.9496478181818</v>
      </c>
      <c r="I25" s="9">
        <f t="shared" si="10"/>
        <v>1733.220803233766</v>
      </c>
      <c r="J25" s="9">
        <f t="shared" si="10"/>
        <v>1819.4919586493506</v>
      </c>
      <c r="K25" s="9">
        <f t="shared" si="10"/>
        <v>1992.0342694805197</v>
      </c>
      <c r="L25" s="9">
        <f t="shared" si="10"/>
        <v>2164.5765803116883</v>
      </c>
      <c r="M25" s="9">
        <f t="shared" si="10"/>
        <v>2337.1188911428567</v>
      </c>
      <c r="N25" s="9">
        <f t="shared" si="10"/>
        <v>2595.93235738961</v>
      </c>
      <c r="O25" s="9">
        <f aca="true" t="shared" si="11" ref="O25:S25">((O24/2)*1.07)-10</f>
        <v>2682.203512805195</v>
      </c>
      <c r="P25" s="9">
        <f t="shared" si="11"/>
        <v>2768.474668220779</v>
      </c>
      <c r="Q25" s="9">
        <f t="shared" si="11"/>
        <v>2854.7458236363636</v>
      </c>
      <c r="R25" s="9">
        <f t="shared" si="11"/>
        <v>2941.0169790519476</v>
      </c>
      <c r="S25" s="9">
        <f t="shared" si="11"/>
        <v>3027.2881344675325</v>
      </c>
    </row>
    <row r="26" spans="1:19" ht="15">
      <c r="A26" s="4" t="s">
        <v>5</v>
      </c>
      <c r="B26" s="16">
        <f>((((B22*0.00314)*0.5)*'Технический лист'!$I$10)+310+(((B23*0.00314)*0.5)*'Технический лист'!$I$5))*1.55</f>
        <v>1987.77639987013</v>
      </c>
      <c r="C26" s="16">
        <f>((((C22*0.00314)*0.5)*'Технический лист'!$I$10)+310+(((C23*0.00314)*0.5)*'Технический лист'!$I$5))*1.55</f>
        <v>2108.080422857143</v>
      </c>
      <c r="D26" s="16">
        <f>((((D22*0.00314)*0.5)*'Технический лист'!$I$10)+310+(((D23*0.00314)*0.5)*'Технический лист'!$I$5))*1.55</f>
        <v>2168.2324343506493</v>
      </c>
      <c r="E26" s="16">
        <f>((((E22*0.00314)*0.5)*'Технический лист'!$I$10)+310+(((E23*0.00314)*0.5)*'Технический лист'!$I$5))*1.55</f>
        <v>2228.384445844156</v>
      </c>
      <c r="F26" s="16">
        <f>((((F22*0.00314)*0.5)*'Технический лист'!$I$10)+310+(((F23*0.00314)*0.5)*'Технический лист'!$I$5))*1.55</f>
        <v>2288.5364573376623</v>
      </c>
      <c r="G26" s="16">
        <f>((((G22*0.00314)*0.5)*'Технический лист'!$I$10)+310+(((G23*0.00314)*0.5)*'Технический лист'!$I$5))*1.55</f>
        <v>2348.688468831169</v>
      </c>
      <c r="H26" s="16">
        <f>((((H22*0.00314)*0.5)*'Технический лист'!$I$10)+310+(((H23*0.00314)*0.5)*'Технический лист'!$I$5))*1.55</f>
        <v>2468.992491818182</v>
      </c>
      <c r="I26" s="16">
        <f>((((I22*0.00314)*0.5)*'Технический лист'!$I$10)+310+(((I23*0.00314)*0.5)*'Технический лист'!$I$5))*1.55</f>
        <v>2589.296514805195</v>
      </c>
      <c r="J26" s="16">
        <f>((((J22*0.00314)*0.5)*'Технический лист'!$I$10)+310+(((J23*0.00314)*0.5)*'Технический лист'!$I$5))*1.55</f>
        <v>2709.6005377922074</v>
      </c>
      <c r="K26" s="16">
        <f>((((K22*0.00314)*0.5)*'Технический лист'!$I$10)+310+(((K23*0.00314)*0.5)*'Технический лист'!$I$5))*1.55</f>
        <v>2950.2085837662344</v>
      </c>
      <c r="L26" s="16">
        <f>((((L22*0.00314)*0.5)*'Технический лист'!$I$10)+310+(((L23*0.00314)*0.5)*'Технический лист'!$I$5))*1.55</f>
        <v>3190.8166297402595</v>
      </c>
      <c r="M26" s="16">
        <f>((((M22*0.00314)*0.5)*'Технический лист'!$I$10)+310+(((M23*0.00314)*0.5)*'Технический лист'!$I$5))*1.55</f>
        <v>3431.424675714286</v>
      </c>
      <c r="N26" s="16">
        <f>((((N22*0.00314)*0.5)*'Технический лист'!$I$10)+310+(((N23*0.00314)*0.5)*'Технический лист'!$I$5))*1.55</f>
        <v>3792.336744675325</v>
      </c>
      <c r="O26" s="16">
        <f>((((O22*0.00314)*0.5)*'Технический лист'!$I$10)+310+(((O23*0.00314)*0.5)*'Технический лист'!$I$5))*1.55</f>
        <v>3912.640767662338</v>
      </c>
      <c r="P26" s="16">
        <f>((((P22*0.00314)*0.5)*'Технический лист'!$I$10)+310+(((P23*0.00314)*0.5)*'Технический лист'!$I$5))*1.55</f>
        <v>4032.944790649351</v>
      </c>
      <c r="Q26" s="16">
        <f>((((Q22*0.00314)*0.5)*'Технический лист'!$I$10)+310+(((Q23*0.00314)*0.5)*'Технический лист'!$I$5))*1.55</f>
        <v>4153.248813636364</v>
      </c>
      <c r="R26" s="16">
        <f>((((R22*0.00314)*0.5)*'Технический лист'!$I$10)+310+(((R23*0.00314)*0.5)*'Технический лист'!$I$5))*1.55</f>
        <v>4273.552836623377</v>
      </c>
      <c r="S26" s="16">
        <f>((((S22*0.00314)*0.5)*'Технический лист'!$I$10)+310+(((S23*0.00314)*0.5)*'Технический лист'!$I$5))*1.55</f>
        <v>4393.85685961039</v>
      </c>
    </row>
    <row r="27" spans="1:19" ht="15">
      <c r="A27" s="4" t="s">
        <v>96</v>
      </c>
      <c r="B27" s="9">
        <f>((B26*2)/3)-6</f>
        <v>1319.1842665800866</v>
      </c>
      <c r="C27" s="9">
        <f aca="true" t="shared" si="12" ref="C27:N27">((C26*2)/3)-6</f>
        <v>1399.3869485714285</v>
      </c>
      <c r="D27" s="9">
        <f t="shared" si="12"/>
        <v>1439.4882895670996</v>
      </c>
      <c r="E27" s="9">
        <f t="shared" si="12"/>
        <v>1479.5896305627705</v>
      </c>
      <c r="F27" s="9">
        <f t="shared" si="12"/>
        <v>1519.6909715584416</v>
      </c>
      <c r="G27" s="9">
        <f t="shared" si="12"/>
        <v>1559.7923125541126</v>
      </c>
      <c r="H27" s="9">
        <f t="shared" si="12"/>
        <v>1639.9949945454546</v>
      </c>
      <c r="I27" s="9">
        <f t="shared" si="12"/>
        <v>1720.1976765367965</v>
      </c>
      <c r="J27" s="9">
        <f t="shared" si="12"/>
        <v>1800.4003585281382</v>
      </c>
      <c r="K27" s="9">
        <f t="shared" si="12"/>
        <v>1960.805722510823</v>
      </c>
      <c r="L27" s="9">
        <f t="shared" si="12"/>
        <v>2121.211086493506</v>
      </c>
      <c r="M27" s="9">
        <f t="shared" si="12"/>
        <v>2281.6164504761905</v>
      </c>
      <c r="N27" s="9">
        <f t="shared" si="12"/>
        <v>2522.2244964502165</v>
      </c>
      <c r="O27" s="9">
        <f aca="true" t="shared" si="13" ref="O27:S27">((O26*2)/3)-6</f>
        <v>2602.4271784415587</v>
      </c>
      <c r="P27" s="9">
        <f t="shared" si="13"/>
        <v>2682.629860432901</v>
      </c>
      <c r="Q27" s="9">
        <f t="shared" si="13"/>
        <v>2762.8325424242425</v>
      </c>
      <c r="R27" s="9">
        <f t="shared" si="13"/>
        <v>2843.0352244155843</v>
      </c>
      <c r="S27" s="9">
        <f t="shared" si="13"/>
        <v>2923.2379064069264</v>
      </c>
    </row>
    <row r="28" spans="1:19" ht="15">
      <c r="A28" s="4" t="s">
        <v>6</v>
      </c>
      <c r="B28" s="16">
        <f>((((B22*0.00314)*0.22)*'Технический лист'!$M$10)+100+(((B23*0.00314)*0.21)*'Технический лист'!$O$5)+(((B22+30)*(B22+30)/1000000)*'Технический лист'!$E$20))*1.6</f>
        <v>1009.701251657143</v>
      </c>
      <c r="C28" s="16">
        <f>((((C22*0.00314)*0.22)*'Технический лист'!$M$10)+100+(((C23*0.00314)*0.21)*'Технический лист'!$O$5)+(((C22+30)*(C22+30)/1000000)*'Технический лист'!$E$20))*1.6</f>
        <v>1086.2466523428573</v>
      </c>
      <c r="D28" s="16">
        <f>((((D22*0.00314)*0.22)*'Технический лист'!$M$10)+100+(((D23*0.00314)*0.21)*'Технический лист'!$O$5)+(((D22+30)*(D22+30)/1000000)*'Технический лист'!$E$20))*1.6</f>
        <v>1124.9993526857143</v>
      </c>
      <c r="E28" s="16">
        <f>((((E22*0.00314)*0.22)*'Технический лист'!$M$10)+100+(((E23*0.00314)*0.21)*'Технический лист'!$O$5)+(((E22+30)*(E22+30)/1000000)*'Технический лист'!$E$20))*1.6</f>
        <v>1164.0720530285714</v>
      </c>
      <c r="F28" s="16">
        <f>((((F22*0.00314)*0.22)*'Технический лист'!$M$10)+100+(((F23*0.00314)*0.21)*'Технический лист'!$O$5)+(((F22+30)*(F22+30)/1000000)*'Технический лист'!$E$20))*1.6</f>
        <v>1203.4647533714285</v>
      </c>
      <c r="G28" s="16">
        <f>((((G22*0.00314)*0.22)*'Технический лист'!$M$10)+100+(((G23*0.00314)*0.21)*'Технический лист'!$O$5)+(((G22+30)*(G22+30)/1000000)*'Технический лист'!$E$20))*1.6</f>
        <v>1243.1774537142855</v>
      </c>
      <c r="H28" s="16">
        <f>((((H22*0.00314)*0.22)*'Технический лист'!$M$10)+100+(((H23*0.00314)*0.21)*'Технический лист'!$O$5)+(((H22+30)*(H22+30)/1000000)*'Технический лист'!$E$20))*1.6</f>
        <v>1323.5628544</v>
      </c>
      <c r="I28" s="16">
        <f>((((I22*0.00314)*0.22)*'Технический лист'!$M$10)+100+(((I23*0.00314)*0.21)*'Технический лист'!$O$5)+(((I22+30)*(I22+30)/1000000)*'Технический лист'!$E$20))*1.6</f>
        <v>1405.2282550857144</v>
      </c>
      <c r="J28" s="16">
        <f>((((J22*0.00314)*0.22)*'Технический лист'!$M$10)+100+(((J23*0.00314)*0.21)*'Технический лист'!$O$5)+(((J22+30)*(J22+30)/1000000)*'Технический лист'!$E$20))*1.6</f>
        <v>1488.1736557714285</v>
      </c>
      <c r="K28" s="16">
        <f>((((K22*0.00314)*0.22)*'Технический лист'!$M$10)+100+(((K23*0.00314)*0.21)*'Технический лист'!$O$5)+(((K22+30)*(K22+30)/1000000)*'Технический лист'!$E$20))*1.6</f>
        <v>1657.9044571428576</v>
      </c>
      <c r="L28" s="16">
        <f>((((L22*0.00314)*0.22)*'Технический лист'!$M$10)+100+(((L23*0.00314)*0.21)*'Технический лист'!$O$5)+(((L22+30)*(L22+30)/1000000)*'Технический лист'!$E$20))*1.6</f>
        <v>1832.7552585142855</v>
      </c>
      <c r="M28" s="16">
        <f>((((M22*0.00314)*0.22)*'Технический лист'!$M$10)+100+(((M23*0.00314)*0.21)*'Технический лист'!$O$5)+(((M22+30)*(M22+30)/1000000)*'Технический лист'!$E$20))*1.6</f>
        <v>2012.7260598857142</v>
      </c>
      <c r="N28" s="16">
        <f>((((N22*0.00314)*0.22)*'Технический лист'!$M$10)+100+(((N23*0.00314)*0.21)*'Технический лист'!$O$5)+(((N22+30)*(N22+30)/1000000)*'Технический лист'!$E$20))*1.6</f>
        <v>2292.2822619428566</v>
      </c>
      <c r="O28" s="16">
        <f>((((O22*0.00314)*0.22)*'Технический лист'!$M$10)+100+(((O23*0.00314)*0.21)*'Технический лист'!$O$5)+(((O22+30)*(O22+30)/1000000)*'Технический лист'!$E$20))*1.6</f>
        <v>2388.0276626285713</v>
      </c>
      <c r="P28" s="16">
        <f>((((P22*0.00314)*0.22)*'Технический лист'!$M$10)+100+(((P23*0.00314)*0.21)*'Технический лист'!$O$5)+(((P22+30)*(P22+30)/1000000)*'Технический лист'!$E$20))*1.6</f>
        <v>2485.053063314286</v>
      </c>
      <c r="Q28" s="16">
        <f>((((Q22*0.00314)*0.22)*'Технический лист'!$M$10)+100+(((Q23*0.00314)*0.21)*'Технический лист'!$O$5)+(((Q22+30)*(Q22+30)/1000000)*'Технический лист'!$E$20))*1.6</f>
        <v>2583.3584640000004</v>
      </c>
      <c r="R28" s="16">
        <f>((((R22*0.00314)*0.22)*'Технический лист'!$M$10)+100+(((R23*0.00314)*0.21)*'Технический лист'!$O$5)+(((R22+30)*(R22+30)/1000000)*'Технический лист'!$E$20))*1.6</f>
        <v>2682.9438646857143</v>
      </c>
      <c r="S28" s="16">
        <f>((((S22*0.00314)*0.22)*'Технический лист'!$M$10)+100+(((S23*0.00314)*0.21)*'Технический лист'!$O$5)+(((S22+30)*(S22+30)/1000000)*'Технический лист'!$E$20))*1.6</f>
        <v>2783.8092653714284</v>
      </c>
    </row>
    <row r="29" spans="1:19" ht="15">
      <c r="A29" s="4" t="s">
        <v>7</v>
      </c>
      <c r="B29" s="9">
        <f>(B28*2.2)+24</f>
        <v>2245.3427536457148</v>
      </c>
      <c r="C29" s="9">
        <f aca="true" t="shared" si="14" ref="C29:N29">(C28*2.2)+24</f>
        <v>2413.7426351542863</v>
      </c>
      <c r="D29" s="9">
        <f t="shared" si="14"/>
        <v>2498.9985759085716</v>
      </c>
      <c r="E29" s="9">
        <f t="shared" si="14"/>
        <v>2584.958516662857</v>
      </c>
      <c r="F29" s="9">
        <f t="shared" si="14"/>
        <v>2671.622457417143</v>
      </c>
      <c r="G29" s="9">
        <f t="shared" si="14"/>
        <v>2758.9903981714283</v>
      </c>
      <c r="H29" s="9">
        <f t="shared" si="14"/>
        <v>2935.8382796800006</v>
      </c>
      <c r="I29" s="9">
        <f t="shared" si="14"/>
        <v>3115.502161188572</v>
      </c>
      <c r="J29" s="9">
        <f t="shared" si="14"/>
        <v>3297.982042697143</v>
      </c>
      <c r="K29" s="9">
        <f t="shared" si="14"/>
        <v>3671.389805714287</v>
      </c>
      <c r="L29" s="9">
        <f t="shared" si="14"/>
        <v>4056.0615687314285</v>
      </c>
      <c r="M29" s="9">
        <f t="shared" si="14"/>
        <v>4451.997331748572</v>
      </c>
      <c r="N29" s="9">
        <f t="shared" si="14"/>
        <v>5067.020976274285</v>
      </c>
      <c r="O29" s="9">
        <f aca="true" t="shared" si="15" ref="O29:S29">(O28*2.2)+24</f>
        <v>5277.660857782857</v>
      </c>
      <c r="P29" s="9">
        <f t="shared" si="15"/>
        <v>5491.11673929143</v>
      </c>
      <c r="Q29" s="9">
        <f t="shared" si="15"/>
        <v>5707.388620800001</v>
      </c>
      <c r="R29" s="9">
        <f t="shared" si="15"/>
        <v>5926.476502308572</v>
      </c>
      <c r="S29" s="9">
        <f t="shared" si="15"/>
        <v>6148.380383817143</v>
      </c>
    </row>
    <row r="30" spans="1:19" ht="15">
      <c r="A30" s="4" t="s">
        <v>8</v>
      </c>
      <c r="B30" s="16">
        <f>((((B22*0.00314)*0.2)*'Технический лист'!$M$10)+50+(((B23*0.00314)*0.22)*'Технический лист'!$O$5))*1.6</f>
        <v>804.2178732883118</v>
      </c>
      <c r="C30" s="16">
        <f>((((C22*0.00314)*0.2)*'Технический лист'!$M$10)+50+(((C23*0.00314)*0.22)*'Технический лист'!$O$5))*1.6</f>
        <v>861.041949257143</v>
      </c>
      <c r="D30" s="16">
        <f>((((D22*0.00314)*0.2)*'Технический лист'!$M$10)+50+(((D23*0.00314)*0.22)*'Технический лист'!$O$5))*1.6</f>
        <v>889.4539872415585</v>
      </c>
      <c r="E30" s="16">
        <f>((((E22*0.00314)*0.2)*'Технический лист'!$M$10)+50+(((E23*0.00314)*0.22)*'Технический лист'!$O$5))*1.6</f>
        <v>917.8660252259741</v>
      </c>
      <c r="F30" s="16">
        <f>((((F22*0.00314)*0.2)*'Технический лист'!$M$10)+50+(((F23*0.00314)*0.22)*'Технический лист'!$O$5))*1.6</f>
        <v>946.2780632103897</v>
      </c>
      <c r="G30" s="16">
        <f>((((G22*0.00314)*0.2)*'Технический лист'!$M$10)+50+(((G23*0.00314)*0.22)*'Технический лист'!$O$5))*1.6</f>
        <v>974.6901011948053</v>
      </c>
      <c r="H30" s="16">
        <f>((((H22*0.00314)*0.2)*'Технический лист'!$M$10)+50+(((H23*0.00314)*0.22)*'Технический лист'!$O$5))*1.6</f>
        <v>1031.5141771636363</v>
      </c>
      <c r="I30" s="16">
        <f>((((I22*0.00314)*0.2)*'Технический лист'!$M$10)+50+(((I23*0.00314)*0.22)*'Технический лист'!$O$5))*1.6</f>
        <v>1088.3382531324676</v>
      </c>
      <c r="J30" s="16">
        <f>((((J22*0.00314)*0.2)*'Технический лист'!$M$10)+50+(((J23*0.00314)*0.22)*'Технический лист'!$O$5))*1.6</f>
        <v>1145.1623291012988</v>
      </c>
      <c r="K30" s="16">
        <f>((((K22*0.00314)*0.2)*'Технический лист'!$M$10)+50+(((K23*0.00314)*0.22)*'Технический лист'!$O$5))*1.6</f>
        <v>1258.8104810389611</v>
      </c>
      <c r="L30" s="16">
        <f>((((L22*0.00314)*0.2)*'Технический лист'!$M$10)+50+(((L23*0.00314)*0.22)*'Технический лист'!$O$5))*1.6</f>
        <v>1372.4586329766234</v>
      </c>
      <c r="M30" s="16">
        <f>((((M22*0.00314)*0.2)*'Технический лист'!$M$10)+50+(((M23*0.00314)*0.22)*'Технический лист'!$O$5))*1.6</f>
        <v>1486.1067849142855</v>
      </c>
      <c r="N30" s="16">
        <f>((((N22*0.00314)*0.2)*'Технический лист'!$M$10)+50+(((N23*0.00314)*0.22)*'Технический лист'!$O$5))*1.6</f>
        <v>1656.5790128207796</v>
      </c>
      <c r="O30" s="16">
        <f>((((O22*0.00314)*0.2)*'Технический лист'!$M$10)+50+(((O23*0.00314)*0.22)*'Технический лист'!$O$5))*1.6</f>
        <v>1713.4030887896106</v>
      </c>
      <c r="P30" s="16">
        <f>((((P22*0.00314)*0.2)*'Технический лист'!$M$10)+50+(((P23*0.00314)*0.22)*'Технический лист'!$O$5))*1.6</f>
        <v>1770.2271647584419</v>
      </c>
      <c r="Q30" s="16">
        <f>((((Q22*0.00314)*0.2)*'Технический лист'!$M$10)+50+(((Q23*0.00314)*0.22)*'Технический лист'!$O$5))*1.6</f>
        <v>1827.0512407272727</v>
      </c>
      <c r="R30" s="16">
        <f>((((R22*0.00314)*0.2)*'Технический лист'!$M$10)+50+(((R23*0.00314)*0.22)*'Технический лист'!$O$5))*1.6</f>
        <v>1883.8753166961042</v>
      </c>
      <c r="S30" s="16">
        <f>((((S22*0.00314)*0.2)*'Технический лист'!$M$10)+50+(((S23*0.00314)*0.22)*'Технический лист'!$O$5))*1.6</f>
        <v>1940.699392664935</v>
      </c>
    </row>
    <row r="31" spans="1:19" ht="15">
      <c r="A31" s="4" t="s">
        <v>99</v>
      </c>
      <c r="B31" s="16">
        <v>2755</v>
      </c>
      <c r="C31" s="16">
        <v>2960</v>
      </c>
      <c r="D31" s="16">
        <v>3070</v>
      </c>
      <c r="E31" s="16">
        <v>3175</v>
      </c>
      <c r="F31" s="16">
        <v>3285</v>
      </c>
      <c r="G31" s="16">
        <v>3395</v>
      </c>
      <c r="H31" s="16">
        <v>3615</v>
      </c>
      <c r="I31" s="16">
        <v>3845</v>
      </c>
      <c r="J31" s="16">
        <v>4080</v>
      </c>
      <c r="K31" s="16">
        <v>4565</v>
      </c>
      <c r="L31" s="16">
        <v>5070</v>
      </c>
      <c r="M31" s="16">
        <v>5595</v>
      </c>
      <c r="N31" s="16">
        <v>6425</v>
      </c>
      <c r="O31" s="16">
        <v>6715</v>
      </c>
      <c r="P31" s="16">
        <v>7005</v>
      </c>
      <c r="Q31" s="16">
        <v>7305</v>
      </c>
      <c r="R31" s="16">
        <v>7605</v>
      </c>
      <c r="S31" s="16">
        <v>7915</v>
      </c>
    </row>
    <row r="32" spans="1:19" ht="15">
      <c r="A32" s="4" t="s">
        <v>102</v>
      </c>
      <c r="B32" s="16">
        <v>2755</v>
      </c>
      <c r="C32" s="16">
        <v>2960</v>
      </c>
      <c r="D32" s="16">
        <v>3070</v>
      </c>
      <c r="E32" s="16">
        <v>3175</v>
      </c>
      <c r="F32" s="16">
        <v>3285</v>
      </c>
      <c r="G32" s="16">
        <v>3395</v>
      </c>
      <c r="H32" s="16">
        <v>3615</v>
      </c>
      <c r="I32" s="16">
        <v>3845</v>
      </c>
      <c r="J32" s="16">
        <v>4080</v>
      </c>
      <c r="K32" s="16">
        <v>4565</v>
      </c>
      <c r="L32" s="16">
        <v>5070</v>
      </c>
      <c r="M32" s="16">
        <v>5595</v>
      </c>
      <c r="N32" s="16">
        <v>6425</v>
      </c>
      <c r="O32" s="16">
        <v>6715</v>
      </c>
      <c r="P32" s="16">
        <v>7005</v>
      </c>
      <c r="Q32" s="16">
        <v>7305</v>
      </c>
      <c r="R32" s="16">
        <v>7605</v>
      </c>
      <c r="S32" s="16">
        <v>7915</v>
      </c>
    </row>
    <row r="33" spans="1:19" ht="15">
      <c r="A33" s="4" t="s">
        <v>9</v>
      </c>
      <c r="B33" s="9">
        <f>((((B22*0.00314)*((B22+545)/1000))*'Технический лист'!$K$10)+370+((B23*0.00314)*((B23+450)/1000))*'Технический лист'!$K$5)*1.63</f>
        <v>2722.600979272208</v>
      </c>
      <c r="C33" s="9">
        <f>((((C22*0.00314)*((C22+545)/1000))*'Технический лист'!$K$10)+370+((C23*0.00314)*((C23+450)/1000))*'Технический лист'!$K$5)*1.63</f>
        <v>2927.0518320657143</v>
      </c>
      <c r="D33" s="9">
        <f>((((D22*0.00314)*((D22+545)/1000))*'Технический лист'!$K$10)+370+((D23*0.00314)*((D23+450)/1000))*'Технический лист'!$K$5)*1.63</f>
        <v>3031.2632463557134</v>
      </c>
      <c r="E33" s="9">
        <f>((((E22*0.00314)*((E22+545)/1000))*'Технический лист'!$K$10)+370+((E23*0.00314)*((E23+450)/1000))*'Технический лист'!$K$5)*1.63</f>
        <v>3136.7986525745455</v>
      </c>
      <c r="F33" s="9">
        <f>((((F22*0.00314)*((F22+545)/1000))*'Технический лист'!$K$10)+370+((F23*0.00314)*((F23+450)/1000))*'Технический лист'!$K$5)*1.63</f>
        <v>3243.6580507222075</v>
      </c>
      <c r="G33" s="9">
        <f>((((G22*0.00314)*((G22+545)/1000))*'Технический лист'!$K$10)+370+((G23*0.00314)*((G23+450)/1000))*'Технический лист'!$K$5)*1.63</f>
        <v>3351.841440798701</v>
      </c>
      <c r="H33" s="9">
        <f>((((H22*0.00314)*((H22+545)/1000))*'Технический лист'!$K$10)+370+((H23*0.00314)*((H23+450)/1000))*'Технический лист'!$K$5)*1.63</f>
        <v>3572.180196738181</v>
      </c>
      <c r="I33" s="9">
        <f>((((I22*0.00314)*((I22+545)/1000))*'Технический лист'!$K$10)+370+((I23*0.00314)*((I23+450)/1000))*'Технический лист'!$K$5)*1.63</f>
        <v>3797.814920392986</v>
      </c>
      <c r="J33" s="9">
        <f>((((J22*0.00314)*((J22+545)/1000))*'Технический лист'!$K$10)+370+((J23*0.00314)*((J23+450)/1000))*'Технический лист'!$K$5)*1.63</f>
        <v>4028.745611763116</v>
      </c>
      <c r="K33" s="9">
        <f>((((K22*0.00314)*((K22+545)/1000))*'Технический лист'!$K$10)+370+((K23*0.00314)*((K23+450)/1000))*'Технический лист'!$K$5)*1.63</f>
        <v>4506.494897649351</v>
      </c>
      <c r="L33" s="9">
        <f>((((L22*0.00314)*((L22+545)/1000))*'Технический лист'!$K$10)+370+((L23*0.00314)*((L23+450)/1000))*'Технический лист'!$K$5)*1.63</f>
        <v>5005.4280543968825</v>
      </c>
      <c r="M33" s="9">
        <f>((((M22*0.00314)*((M22+545)/1000))*'Технический лист'!$K$10)+370+((M23*0.00314)*((M23+450)/1000))*'Технический лист'!$K$5)*1.63</f>
        <v>5525.545082005714</v>
      </c>
      <c r="N33" s="9">
        <f>((((N22*0.00314)*((N22+545)/1000))*'Технический лист'!$K$10)+370+((N23*0.00314)*((N23+450)/1000))*'Технический лист'!$K$5)*1.63</f>
        <v>6345.4403812838955</v>
      </c>
      <c r="O33" s="9">
        <f>((((O22*0.00314)*((O22+545)/1000))*'Технический лист'!$K$10)+370+((O23*0.00314)*((O23+450)/1000))*'Технический лист'!$K$5)*1.63</f>
        <v>6629.330749807272</v>
      </c>
      <c r="P33" s="9">
        <f>((((P22*0.00314)*((P22+545)/1000))*'Технический лист'!$K$10)+370+((P23*0.00314)*((P23+450)/1000))*'Технический лист'!$K$5)*1.63</f>
        <v>6918.517086045973</v>
      </c>
      <c r="Q33" s="9">
        <f>((((Q22*0.00314)*((Q22+545)/1000))*'Технический лист'!$K$10)+370+((Q23*0.00314)*((Q23+450)/1000))*'Технический лист'!$K$5)*1.63</f>
        <v>7212.99939</v>
      </c>
      <c r="R33" s="9">
        <f>((((R22*0.00314)*((R22+545)/1000))*'Технический лист'!$K$10)+370+((R23*0.00314)*((R23+450)/1000))*'Технический лист'!$K$5)*1.63</f>
        <v>7512.777661669351</v>
      </c>
      <c r="S33" s="9">
        <f>((((S22*0.00314)*((S22+545)/1000))*'Технический лист'!$K$10)+370+((S23*0.00314)*((S23+450)/1000))*'Технический лист'!$K$5)*1.63</f>
        <v>7817.851901054026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1300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workbookViewId="0" topLeftCell="A1">
      <selection activeCell="S38" sqref="S38"/>
    </sheetView>
  </sheetViews>
  <sheetFormatPr defaultColWidth="9.140625" defaultRowHeight="15"/>
  <cols>
    <col min="1" max="1" width="26.7109375" style="0" customWidth="1"/>
    <col min="2" max="19" width="6.28125" style="0" customWidth="1"/>
  </cols>
  <sheetData>
    <row r="1" spans="1:17" ht="45" customHeight="1">
      <c r="A1" s="35"/>
      <c r="B1" s="35"/>
      <c r="C1" s="35"/>
      <c r="D1" s="40" t="s">
        <v>94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4:16" ht="15" customHeight="1">
      <c r="D2" s="37" t="s">
        <v>95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4:15" ht="15" customHeight="1">
      <c r="D3" s="37" t="s">
        <v>115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.25" customHeight="1"/>
    <row r="5" spans="1:15" ht="15">
      <c r="A5" s="41" t="s">
        <v>107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15">
      <c r="A6" s="3" t="s">
        <v>0</v>
      </c>
      <c r="B6" s="10">
        <v>100</v>
      </c>
      <c r="C6" s="10">
        <v>110</v>
      </c>
      <c r="D6" s="10">
        <v>115</v>
      </c>
      <c r="E6" s="10">
        <v>120</v>
      </c>
      <c r="F6" s="10">
        <v>125</v>
      </c>
      <c r="G6" s="10">
        <v>130</v>
      </c>
      <c r="H6" s="10">
        <v>140</v>
      </c>
      <c r="I6" s="10">
        <v>150</v>
      </c>
      <c r="J6" s="10">
        <v>160</v>
      </c>
      <c r="K6" s="10">
        <v>180</v>
      </c>
      <c r="L6" s="10">
        <v>200</v>
      </c>
      <c r="M6" s="10">
        <v>220</v>
      </c>
      <c r="N6" s="10">
        <v>250</v>
      </c>
      <c r="O6" s="10">
        <v>260</v>
      </c>
      <c r="P6" s="10">
        <v>270</v>
      </c>
      <c r="Q6" s="10">
        <v>280</v>
      </c>
      <c r="R6" s="10">
        <v>290</v>
      </c>
      <c r="S6" s="10">
        <v>300</v>
      </c>
    </row>
    <row r="7" spans="1:19" ht="15">
      <c r="A7" s="3" t="s">
        <v>1</v>
      </c>
      <c r="B7" s="10">
        <f>B6+100</f>
        <v>200</v>
      </c>
      <c r="C7" s="10">
        <f aca="true" t="shared" si="0" ref="C7:N7">C6+100</f>
        <v>210</v>
      </c>
      <c r="D7" s="10">
        <f t="shared" si="0"/>
        <v>215</v>
      </c>
      <c r="E7" s="10">
        <f t="shared" si="0"/>
        <v>220</v>
      </c>
      <c r="F7" s="10">
        <f t="shared" si="0"/>
        <v>225</v>
      </c>
      <c r="G7" s="10">
        <f t="shared" si="0"/>
        <v>230</v>
      </c>
      <c r="H7" s="10">
        <f t="shared" si="0"/>
        <v>240</v>
      </c>
      <c r="I7" s="10">
        <f t="shared" si="0"/>
        <v>250</v>
      </c>
      <c r="J7" s="10">
        <f t="shared" si="0"/>
        <v>260</v>
      </c>
      <c r="K7" s="10">
        <f t="shared" si="0"/>
        <v>280</v>
      </c>
      <c r="L7" s="10">
        <f t="shared" si="0"/>
        <v>300</v>
      </c>
      <c r="M7" s="10">
        <f t="shared" si="0"/>
        <v>320</v>
      </c>
      <c r="N7" s="10">
        <f t="shared" si="0"/>
        <v>350</v>
      </c>
      <c r="O7" s="10">
        <f aca="true" t="shared" si="1" ref="O7:S7">O6+100</f>
        <v>360</v>
      </c>
      <c r="P7" s="10">
        <f t="shared" si="1"/>
        <v>370</v>
      </c>
      <c r="Q7" s="10">
        <f t="shared" si="1"/>
        <v>380</v>
      </c>
      <c r="R7" s="10">
        <f t="shared" si="1"/>
        <v>390</v>
      </c>
      <c r="S7" s="10">
        <f t="shared" si="1"/>
        <v>400</v>
      </c>
    </row>
    <row r="8" spans="1:19" ht="15">
      <c r="A8" s="4" t="s">
        <v>4</v>
      </c>
      <c r="B8" s="16">
        <f>(((B6*0.00314)*'Технический лист'!$G$3)+365+((B7*0.00314)*'Технический лист'!$G$11))*1.5</f>
        <v>1357.306</v>
      </c>
      <c r="C8" s="16">
        <f>(((C6*0.00314)*'Технический лист'!$G$3)+365+((C7*0.00314)*'Технический лист'!$G$11))*1.5</f>
        <v>1421.6289000000002</v>
      </c>
      <c r="D8" s="16">
        <f>(((D6*0.00314)*'Технический лист'!$G$3)+365+((D7*0.00314)*'Технический лист'!$G$11))*1.5</f>
        <v>1453.7903499999998</v>
      </c>
      <c r="E8" s="16">
        <f>(((E6*0.00314)*'Технический лист'!$G$3)+365+((E7*0.00314)*'Технический лист'!$G$11))*1.5</f>
        <v>1485.9517999999998</v>
      </c>
      <c r="F8" s="16">
        <f>(((F6*0.00314)*'Технический лист'!$G$3)+365+((F7*0.00314)*'Технический лист'!$G$11))*1.5</f>
        <v>1518.11325</v>
      </c>
      <c r="G8" s="16">
        <f>(((G6*0.00314)*'Технический лист'!$G$3)+365+((G7*0.00314)*'Технический лист'!$G$11))*1.5</f>
        <v>1550.2747</v>
      </c>
      <c r="H8" s="16">
        <f>(((H6*0.00314)*'Технический лист'!$G$3)+365+((H7*0.00314)*'Технический лист'!$G$11))*1.5</f>
        <v>1614.5976</v>
      </c>
      <c r="I8" s="16">
        <f>(((I6*0.00314)*'Технический лист'!$G$3)+365+((I7*0.00314)*'Технический лист'!$G$11))*1.5</f>
        <v>1678.9205000000002</v>
      </c>
      <c r="J8" s="16">
        <f>(((J6*0.00314)*'Технический лист'!$G$3)+365+((J7*0.00314)*'Технический лист'!$G$11))*1.5</f>
        <v>1743.2433999999998</v>
      </c>
      <c r="K8" s="16">
        <f>(((K6*0.00314)*'Технический лист'!$G$3)+365+((K7*0.00314)*'Технический лист'!$G$11))*1.5</f>
        <v>1871.8892</v>
      </c>
      <c r="L8" s="16">
        <f>(((L6*0.00314)*'Технический лист'!$G$3)+365+((L7*0.00314)*'Технический лист'!$G$11))*1.5</f>
        <v>2000.535</v>
      </c>
      <c r="M8" s="16">
        <f>(((M6*0.00314)*'Технический лист'!$G$3)+365+((M7*0.00314)*'Технический лист'!$G$11))*1.5</f>
        <v>2129.1808</v>
      </c>
      <c r="N8" s="16">
        <f>(((N6*0.00314)*'Технический лист'!$G$3)+365+((N7*0.00314)*'Технический лист'!$G$11))*1.5</f>
        <v>2322.1495</v>
      </c>
      <c r="O8" s="16">
        <f>(((O6*0.00314)*'Технический лист'!$G$3)+365+((O7*0.00314)*'Технический лист'!$G$11))*1.5</f>
        <v>2386.4724</v>
      </c>
      <c r="P8" s="16">
        <f>(((P6*0.00314)*'Технический лист'!$G$3)+365+((P7*0.00314)*'Технический лист'!$G$11))*1.5</f>
        <v>2450.7952999999998</v>
      </c>
      <c r="Q8" s="16">
        <f>(((Q6*0.00314)*'Технический лист'!$G$3)+365+((Q7*0.00314)*'Технический лист'!$G$11))*1.5</f>
        <v>2515.1182</v>
      </c>
      <c r="R8" s="16">
        <f>(((R6*0.00314)*'Технический лист'!$G$3)+365+((R7*0.00314)*'Технический лист'!$G$11))*1.5</f>
        <v>2579.4411</v>
      </c>
      <c r="S8" s="16">
        <f>(((S6*0.00314)*'Технический лист'!$G$3)+365+((S7*0.00314)*'Технический лист'!$G$11))*1.5</f>
        <v>2643.764</v>
      </c>
    </row>
    <row r="9" spans="1:19" ht="15">
      <c r="A9" s="4" t="s">
        <v>3</v>
      </c>
      <c r="B9" s="9">
        <f>((B8/2)*1.07)-10</f>
        <v>716.15871</v>
      </c>
      <c r="C9" s="9">
        <f aca="true" t="shared" si="2" ref="C9:N9">((C8/2)*1.07)-10</f>
        <v>750.5714615000002</v>
      </c>
      <c r="D9" s="9">
        <f t="shared" si="2"/>
        <v>767.77783725</v>
      </c>
      <c r="E9" s="9">
        <f t="shared" si="2"/>
        <v>784.984213</v>
      </c>
      <c r="F9" s="9">
        <f t="shared" si="2"/>
        <v>802.1905887500001</v>
      </c>
      <c r="G9" s="9">
        <f t="shared" si="2"/>
        <v>819.3969645</v>
      </c>
      <c r="H9" s="9">
        <f t="shared" si="2"/>
        <v>853.8097160000001</v>
      </c>
      <c r="I9" s="9">
        <f t="shared" si="2"/>
        <v>888.2224675000001</v>
      </c>
      <c r="J9" s="9">
        <f t="shared" si="2"/>
        <v>922.635219</v>
      </c>
      <c r="K9" s="9">
        <f t="shared" si="2"/>
        <v>991.4607220000001</v>
      </c>
      <c r="L9" s="9">
        <f t="shared" si="2"/>
        <v>1060.286225</v>
      </c>
      <c r="M9" s="9">
        <f t="shared" si="2"/>
        <v>1129.111728</v>
      </c>
      <c r="N9" s="9">
        <f t="shared" si="2"/>
        <v>1232.3499825000001</v>
      </c>
      <c r="O9" s="9">
        <f aca="true" t="shared" si="3" ref="O9:S9">((O8/2)*1.07)-10</f>
        <v>1266.7627340000001</v>
      </c>
      <c r="P9" s="9">
        <f t="shared" si="3"/>
        <v>1301.1754855</v>
      </c>
      <c r="Q9" s="9">
        <f t="shared" si="3"/>
        <v>1335.588237</v>
      </c>
      <c r="R9" s="9">
        <f t="shared" si="3"/>
        <v>1370.0009885000002</v>
      </c>
      <c r="S9" s="9">
        <f t="shared" si="3"/>
        <v>1404.4137400000002</v>
      </c>
    </row>
    <row r="10" spans="1:19" ht="15">
      <c r="A10" s="4" t="s">
        <v>5</v>
      </c>
      <c r="B10" s="16">
        <f>((((B6*0.00314)*0.5)*'Технический лист'!$I$3)+310+(((B7*0.00314)*0.5)*'Технический лист'!$I$11))*1.6</f>
        <v>1259.4805333333334</v>
      </c>
      <c r="C10" s="16">
        <f>((((C6*0.00314)*0.5)*'Технический лист'!$I$3)+310+(((C7*0.00314)*0.5)*'Технический лист'!$I$11))*1.6</f>
        <v>1318.7804800000001</v>
      </c>
      <c r="D10" s="16">
        <f>((((D6*0.00314)*0.5)*'Технический лист'!$I$3)+310+(((D7*0.00314)*0.5)*'Технический лист'!$I$11))*1.6</f>
        <v>1348.4304533333334</v>
      </c>
      <c r="E10" s="16">
        <f>((((E6*0.00314)*0.5)*'Технический лист'!$I$3)+310+(((E7*0.00314)*0.5)*'Технический лист'!$I$11))*1.6</f>
        <v>1378.0804266666667</v>
      </c>
      <c r="F10" s="16">
        <f>((((F6*0.00314)*0.5)*'Технический лист'!$I$3)+310+(((F7*0.00314)*0.5)*'Технический лист'!$I$11))*1.6</f>
        <v>1407.7304000000001</v>
      </c>
      <c r="G10" s="16">
        <f>((((G6*0.00314)*0.5)*'Технический лист'!$I$3)+310+(((G7*0.00314)*0.5)*'Технический лист'!$I$11))*1.6</f>
        <v>1437.3803733333334</v>
      </c>
      <c r="H10" s="16">
        <f>((((H6*0.00314)*0.5)*'Технический лист'!$I$3)+310+(((H7*0.00314)*0.5)*'Технический лист'!$I$11))*1.6</f>
        <v>1496.6803200000002</v>
      </c>
      <c r="I10" s="16">
        <f>((((I6*0.00314)*0.5)*'Технический лист'!$I$3)+310+(((I7*0.00314)*0.5)*'Технический лист'!$I$11))*1.6</f>
        <v>1555.9802666666667</v>
      </c>
      <c r="J10" s="16">
        <f>((((J6*0.00314)*0.5)*'Технический лист'!$I$3)+310+(((J7*0.00314)*0.5)*'Технический лист'!$I$11))*1.6</f>
        <v>1615.2802133333332</v>
      </c>
      <c r="K10" s="16">
        <f>((((K6*0.00314)*0.5)*'Технический лист'!$I$3)+310+(((K7*0.00314)*0.5)*'Технический лист'!$I$11))*1.6</f>
        <v>1733.8801066666667</v>
      </c>
      <c r="L10" s="16">
        <f>((((L6*0.00314)*0.5)*'Технический лист'!$I$3)+310+(((L7*0.00314)*0.5)*'Технический лист'!$I$11))*1.6</f>
        <v>1852.48</v>
      </c>
      <c r="M10" s="16">
        <f>((((M6*0.00314)*0.5)*'Технический лист'!$I$3)+310+(((M7*0.00314)*0.5)*'Технический лист'!$I$11))*1.6</f>
        <v>1971.0798933333333</v>
      </c>
      <c r="N10" s="16">
        <f>((((N6*0.00314)*0.5)*'Технический лист'!$I$3)+310+(((N7*0.00314)*0.5)*'Технический лист'!$I$11))*1.6</f>
        <v>2148.9797333333336</v>
      </c>
      <c r="O10" s="16">
        <f>((((O6*0.00314)*0.5)*'Технический лист'!$I$3)+310+(((O7*0.00314)*0.5)*'Технический лист'!$I$11))*1.6</f>
        <v>2208.27968</v>
      </c>
      <c r="P10" s="16">
        <f>((((P6*0.00314)*0.5)*'Технический лист'!$I$3)+310+(((P7*0.00314)*0.5)*'Технический лист'!$I$11))*1.6</f>
        <v>2267.579626666667</v>
      </c>
      <c r="Q10" s="16">
        <f>((((Q6*0.00314)*0.5)*'Технический лист'!$I$3)+310+(((Q7*0.00314)*0.5)*'Технический лист'!$I$11))*1.6</f>
        <v>2326.8795733333336</v>
      </c>
      <c r="R10" s="16">
        <f>((((R6*0.00314)*0.5)*'Технический лист'!$I$3)+310+(((R7*0.00314)*0.5)*'Технический лист'!$I$11))*1.6</f>
        <v>2386.1795199999997</v>
      </c>
      <c r="S10" s="16">
        <f>((((S6*0.00314)*0.5)*'Технический лист'!$I$3)+310+(((S7*0.00314)*0.5)*'Технический лист'!$I$11))*1.6</f>
        <v>2445.4794666666667</v>
      </c>
    </row>
    <row r="11" spans="1:19" ht="15">
      <c r="A11" s="4" t="s">
        <v>96</v>
      </c>
      <c r="B11" s="9">
        <f>((B10*2)/3)-6</f>
        <v>833.653688888889</v>
      </c>
      <c r="C11" s="9">
        <f aca="true" t="shared" si="4" ref="C11:N11">((C10*2)/3)-6</f>
        <v>873.1869866666667</v>
      </c>
      <c r="D11" s="9">
        <f t="shared" si="4"/>
        <v>892.9536355555556</v>
      </c>
      <c r="E11" s="9">
        <f t="shared" si="4"/>
        <v>912.7202844444445</v>
      </c>
      <c r="F11" s="9">
        <f t="shared" si="4"/>
        <v>932.4869333333335</v>
      </c>
      <c r="G11" s="9">
        <f t="shared" si="4"/>
        <v>952.2535822222222</v>
      </c>
      <c r="H11" s="9">
        <f t="shared" si="4"/>
        <v>991.7868800000001</v>
      </c>
      <c r="I11" s="9">
        <f t="shared" si="4"/>
        <v>1031.3201777777779</v>
      </c>
      <c r="J11" s="9">
        <f t="shared" si="4"/>
        <v>1070.8534755555554</v>
      </c>
      <c r="K11" s="9">
        <f t="shared" si="4"/>
        <v>1149.9200711111112</v>
      </c>
      <c r="L11" s="9">
        <f t="shared" si="4"/>
        <v>1228.9866666666667</v>
      </c>
      <c r="M11" s="9">
        <f t="shared" si="4"/>
        <v>1308.0532622222222</v>
      </c>
      <c r="N11" s="9">
        <f t="shared" si="4"/>
        <v>1426.6531555555557</v>
      </c>
      <c r="O11" s="9">
        <f aca="true" t="shared" si="5" ref="O11:S11">((O10*2)/3)-6</f>
        <v>1466.1864533333335</v>
      </c>
      <c r="P11" s="9">
        <f t="shared" si="5"/>
        <v>1505.7197511111115</v>
      </c>
      <c r="Q11" s="9">
        <f t="shared" si="5"/>
        <v>1545.253048888889</v>
      </c>
      <c r="R11" s="9">
        <f t="shared" si="5"/>
        <v>1584.7863466666665</v>
      </c>
      <c r="S11" s="9">
        <f t="shared" si="5"/>
        <v>1624.3196444444445</v>
      </c>
    </row>
    <row r="12" spans="1:19" ht="15">
      <c r="A12" s="4" t="s">
        <v>6</v>
      </c>
      <c r="B12" s="16">
        <f>((((B6*0.00314)*0.22)*'Технический лист'!$M$3)+100+(((B7*0.00314)*0.21)*'Технический лист'!$O$11)+(((B6+30)*(B6+30)/1000000)*'Технический лист'!$E$18))*1.5</f>
        <v>663.34728</v>
      </c>
      <c r="C12" s="16">
        <f>((((C6*0.00314)*0.22)*'Технический лист'!$M$3)+100+(((C7*0.00314)*0.21)*'Технический лист'!$O$11)+(((C6+30)*(C6+30)/1000000)*'Технический лист'!$E$18))*1.5</f>
        <v>708.8609160000001</v>
      </c>
      <c r="D12" s="16">
        <f>((((D6*0.00314)*0.22)*'Технический лист'!$M$3)+100+(((D7*0.00314)*0.21)*'Технический лист'!$O$11)+(((D6+30)*(D6+30)/1000000)*'Технический лист'!$E$18))*1.5</f>
        <v>731.9777339999999</v>
      </c>
      <c r="E12" s="16">
        <f>((((E6*0.00314)*0.22)*'Технический лист'!$M$3)+100+(((E7*0.00314)*0.21)*'Технический лист'!$O$11)+(((E6+30)*(E6+30)/1000000)*'Технический лист'!$E$18))*1.5</f>
        <v>755.334552</v>
      </c>
      <c r="F12" s="16">
        <f>((((F6*0.00314)*0.22)*'Технический лист'!$M$3)+100+(((F7*0.00314)*0.21)*'Технический лист'!$O$11)+(((F6+30)*(F6+30)/1000000)*'Технический лист'!$E$18))*1.5</f>
        <v>778.93137</v>
      </c>
      <c r="G12" s="16">
        <f>((((G6*0.00314)*0.22)*'Технический лист'!$M$3)+100+(((G7*0.00314)*0.21)*'Технический лист'!$O$11)+(((G6+30)*(G6+30)/1000000)*'Технический лист'!$E$18))*1.5</f>
        <v>802.768188</v>
      </c>
      <c r="H12" s="16">
        <f>((((H6*0.00314)*0.22)*'Технический лист'!$M$3)+100+(((H7*0.00314)*0.21)*'Технический лист'!$O$11)+(((H6+30)*(H6+30)/1000000)*'Технический лист'!$E$18))*1.5</f>
        <v>851.161824</v>
      </c>
      <c r="I12" s="16">
        <f>((((I6*0.00314)*0.22)*'Технический лист'!$M$3)+100+(((I7*0.00314)*0.21)*'Технический лист'!$O$11)+(((I6+30)*(I6+30)/1000000)*'Технический лист'!$E$18))*1.5</f>
        <v>900.5154599999998</v>
      </c>
      <c r="J12" s="16">
        <f>((((J6*0.00314)*0.22)*'Технический лист'!$M$3)+100+(((J7*0.00314)*0.21)*'Технический лист'!$O$11)+(((J6+30)*(J6+30)/1000000)*'Технический лист'!$E$18))*1.5</f>
        <v>950.8290959999999</v>
      </c>
      <c r="K12" s="16">
        <f>((((K6*0.00314)*0.22)*'Технический лист'!$M$3)+100+(((K7*0.00314)*0.21)*'Технический лист'!$O$11)+(((K6+30)*(K6+30)/1000000)*'Технический лист'!$E$18))*1.5</f>
        <v>1054.336368</v>
      </c>
      <c r="L12" s="16">
        <f>((((L6*0.00314)*0.22)*'Технический лист'!$M$3)+100+(((L7*0.00314)*0.21)*'Технический лист'!$O$11)+(((L6+30)*(L6+30)/1000000)*'Технический лист'!$E$18))*1.5</f>
        <v>1161.68364</v>
      </c>
      <c r="M12" s="16">
        <f>((((M6*0.00314)*0.22)*'Технический лист'!$M$3)+100+(((M7*0.00314)*0.21)*'Технический лист'!$O$11)+(((M6+30)*(M6+30)/1000000)*'Технический лист'!$E$18))*1.5</f>
        <v>1272.8709119999999</v>
      </c>
      <c r="N12" s="16">
        <f>((((N6*0.00314)*0.22)*'Технический лист'!$M$3)+100+(((N7*0.00314)*0.21)*'Технический лист'!$O$11)+(((N6+30)*(N6+30)/1000000)*'Технический лист'!$E$18))*1.5</f>
        <v>1446.85182</v>
      </c>
      <c r="O12" s="16">
        <f>((((O6*0.00314)*0.22)*'Технический лист'!$M$3)+100+(((O7*0.00314)*0.21)*'Технический лист'!$O$11)+(((O6+30)*(O6+30)/1000000)*'Технический лист'!$E$18))*1.5</f>
        <v>1506.765456</v>
      </c>
      <c r="P12" s="16">
        <f>((((P6*0.00314)*0.22)*'Технический лист'!$M$3)+100+(((P7*0.00314)*0.21)*'Технический лист'!$O$11)+(((P6+30)*(P6+30)/1000000)*'Технический лист'!$E$18))*1.5</f>
        <v>1567.6390920000001</v>
      </c>
      <c r="Q12" s="16">
        <f>((((Q6*0.00314)*0.22)*'Технический лист'!$M$3)+100+(((Q7*0.00314)*0.21)*'Технический лист'!$O$11)+(((Q6+30)*(Q6+30)/1000000)*'Технический лист'!$E$18))*1.5</f>
        <v>1629.4727280000002</v>
      </c>
      <c r="R12" s="16">
        <f>((((R6*0.00314)*0.22)*'Технический лист'!$M$3)+100+(((R7*0.00314)*0.21)*'Технический лист'!$O$11)+(((R6+30)*(R6+30)/1000000)*'Технический лист'!$E$18))*1.5</f>
        <v>1692.266364</v>
      </c>
      <c r="S12" s="16">
        <f>((((S6*0.00314)*0.22)*'Технический лист'!$M$3)+100+(((S7*0.00314)*0.21)*'Технический лист'!$O$11)+(((S6+30)*(S6+30)/1000000)*'Технический лист'!$E$18))*1.5</f>
        <v>1756.0199999999998</v>
      </c>
    </row>
    <row r="13" spans="1:19" ht="15">
      <c r="A13" s="4" t="s">
        <v>7</v>
      </c>
      <c r="B13" s="9">
        <f>(B12*2.2)+24</f>
        <v>1483.364016</v>
      </c>
      <c r="C13" s="9">
        <f aca="true" t="shared" si="6" ref="C13:N13">(C12*2.2)+24</f>
        <v>1583.4940152000004</v>
      </c>
      <c r="D13" s="9">
        <f t="shared" si="6"/>
        <v>1634.3510148</v>
      </c>
      <c r="E13" s="9">
        <f t="shared" si="6"/>
        <v>1685.7360144000002</v>
      </c>
      <c r="F13" s="9">
        <f t="shared" si="6"/>
        <v>1737.649014</v>
      </c>
      <c r="G13" s="9">
        <f t="shared" si="6"/>
        <v>1790.0900136000002</v>
      </c>
      <c r="H13" s="9">
        <f t="shared" si="6"/>
        <v>1896.5560128000002</v>
      </c>
      <c r="I13" s="9">
        <f t="shared" si="6"/>
        <v>2005.1340119999998</v>
      </c>
      <c r="J13" s="9">
        <f t="shared" si="6"/>
        <v>2115.8240112</v>
      </c>
      <c r="K13" s="9">
        <f t="shared" si="6"/>
        <v>2343.5400096000003</v>
      </c>
      <c r="L13" s="9">
        <f t="shared" si="6"/>
        <v>2579.704008</v>
      </c>
      <c r="M13" s="9">
        <f t="shared" si="6"/>
        <v>2824.3160064</v>
      </c>
      <c r="N13" s="9">
        <f t="shared" si="6"/>
        <v>3207.0740040000005</v>
      </c>
      <c r="O13" s="9">
        <f aca="true" t="shared" si="7" ref="O13:S13">(O12*2.2)+24</f>
        <v>3338.8840032000003</v>
      </c>
      <c r="P13" s="9">
        <f t="shared" si="7"/>
        <v>3472.8060024000006</v>
      </c>
      <c r="Q13" s="9">
        <f t="shared" si="7"/>
        <v>3608.8400016000005</v>
      </c>
      <c r="R13" s="9">
        <f t="shared" si="7"/>
        <v>3746.9860008000005</v>
      </c>
      <c r="S13" s="9">
        <f t="shared" si="7"/>
        <v>3887.2439999999997</v>
      </c>
    </row>
    <row r="14" spans="1:19" ht="15">
      <c r="A14" s="4" t="s">
        <v>8</v>
      </c>
      <c r="B14" s="16">
        <f>((((B6*0.00314)*0.2)*'Технический лист'!$M$3)+50+(((B7*0.00314)*0.22)*'Технический лист'!$O$11))*1.6</f>
        <v>530.6594986666668</v>
      </c>
      <c r="C14" s="16">
        <f>((((C6*0.00314)*0.2)*'Технический лист'!$M$3)+50+(((C7*0.00314)*0.22)*'Технический лист'!$O$11))*1.6</f>
        <v>563.8031616000001</v>
      </c>
      <c r="D14" s="16">
        <f>((((D6*0.00314)*0.2)*'Технический лист'!$M$3)+50+(((D7*0.00314)*0.22)*'Технический лист'!$O$11))*1.6</f>
        <v>580.3749930666667</v>
      </c>
      <c r="E14" s="16">
        <f>((((E6*0.00314)*0.2)*'Технический лист'!$M$3)+50+(((E7*0.00314)*0.22)*'Технический лист'!$O$11))*1.6</f>
        <v>596.9468245333334</v>
      </c>
      <c r="F14" s="16">
        <f>((((F6*0.00314)*0.2)*'Технический лист'!$M$3)+50+(((F7*0.00314)*0.22)*'Технический лист'!$O$11))*1.6</f>
        <v>613.5186560000001</v>
      </c>
      <c r="G14" s="16">
        <f>((((G6*0.00314)*0.2)*'Технический лист'!$M$3)+50+(((G7*0.00314)*0.22)*'Технический лист'!$O$11))*1.6</f>
        <v>630.0904874666667</v>
      </c>
      <c r="H14" s="16">
        <f>((((H6*0.00314)*0.2)*'Технический лист'!$M$3)+50+(((H7*0.00314)*0.22)*'Технический лист'!$O$11))*1.6</f>
        <v>663.2341504000001</v>
      </c>
      <c r="I14" s="16">
        <f>((((I6*0.00314)*0.2)*'Технический лист'!$M$3)+50+(((I7*0.00314)*0.22)*'Технический лист'!$O$11))*1.6</f>
        <v>696.3778133333334</v>
      </c>
      <c r="J14" s="16">
        <f>((((J6*0.00314)*0.2)*'Технический лист'!$M$3)+50+(((J7*0.00314)*0.22)*'Технический лист'!$O$11))*1.6</f>
        <v>729.5214762666667</v>
      </c>
      <c r="K14" s="16">
        <f>((((K6*0.00314)*0.2)*'Технический лист'!$M$3)+50+(((K7*0.00314)*0.22)*'Технический лист'!$O$11))*1.6</f>
        <v>795.8088021333334</v>
      </c>
      <c r="L14" s="16">
        <f>((((L6*0.00314)*0.2)*'Технический лист'!$M$3)+50+(((L7*0.00314)*0.22)*'Технический лист'!$O$11))*1.6</f>
        <v>862.0961280000001</v>
      </c>
      <c r="M14" s="16">
        <f>((((M6*0.00314)*0.2)*'Технический лист'!$M$3)+50+(((M7*0.00314)*0.22)*'Технический лист'!$O$11))*1.6</f>
        <v>928.3834538666666</v>
      </c>
      <c r="N14" s="16">
        <f>((((N6*0.00314)*0.2)*'Технический лист'!$M$3)+50+(((N7*0.00314)*0.22)*'Технический лист'!$O$11))*1.6</f>
        <v>1027.8144426666668</v>
      </c>
      <c r="O14" s="16">
        <f>((((O6*0.00314)*0.2)*'Технический лист'!$M$3)+50+(((O7*0.00314)*0.22)*'Технический лист'!$O$11))*1.6</f>
        <v>1060.9581056000002</v>
      </c>
      <c r="P14" s="16">
        <f>((((P6*0.00314)*0.2)*'Технический лист'!$M$3)+50+(((P7*0.00314)*0.22)*'Технический лист'!$O$11))*1.6</f>
        <v>1094.1017685333334</v>
      </c>
      <c r="Q14" s="16">
        <f>((((Q6*0.00314)*0.2)*'Технический лист'!$M$3)+50+(((Q7*0.00314)*0.22)*'Технический лист'!$O$11))*1.6</f>
        <v>1127.2454314666668</v>
      </c>
      <c r="R14" s="16">
        <f>((((R6*0.00314)*0.2)*'Технический лист'!$M$3)+50+(((R7*0.00314)*0.22)*'Технический лист'!$O$11))*1.6</f>
        <v>1160.3890944000002</v>
      </c>
      <c r="S14" s="16">
        <f>((((S6*0.00314)*0.2)*'Технический лист'!$M$3)+50+(((S7*0.00314)*0.22)*'Технический лист'!$O$11))*1.6</f>
        <v>1193.5327573333334</v>
      </c>
    </row>
    <row r="15" spans="1:19" ht="15">
      <c r="A15" s="4" t="s">
        <v>99</v>
      </c>
      <c r="B15" s="16">
        <v>2535</v>
      </c>
      <c r="C15" s="16">
        <v>2692</v>
      </c>
      <c r="D15" s="16">
        <v>2770</v>
      </c>
      <c r="E15" s="16">
        <v>2850</v>
      </c>
      <c r="F15" s="16">
        <v>2930</v>
      </c>
      <c r="G15" s="16">
        <v>3015</v>
      </c>
      <c r="H15" s="16">
        <v>3180</v>
      </c>
      <c r="I15" s="16">
        <v>3353</v>
      </c>
      <c r="J15" s="16">
        <v>3518</v>
      </c>
      <c r="K15" s="16">
        <v>3885</v>
      </c>
      <c r="L15" s="16">
        <v>4260</v>
      </c>
      <c r="M15" s="16">
        <v>4650</v>
      </c>
      <c r="N15" s="16">
        <v>5273</v>
      </c>
      <c r="O15" s="16">
        <v>5483</v>
      </c>
      <c r="P15" s="16">
        <v>5700</v>
      </c>
      <c r="Q15" s="16">
        <v>5925</v>
      </c>
      <c r="R15" s="16">
        <v>6150</v>
      </c>
      <c r="S15" s="16">
        <v>6375</v>
      </c>
    </row>
    <row r="16" spans="1:19" ht="15">
      <c r="A16" s="4" t="s">
        <v>102</v>
      </c>
      <c r="B16" s="16">
        <v>2535</v>
      </c>
      <c r="C16" s="16">
        <v>2692</v>
      </c>
      <c r="D16" s="16">
        <v>2770</v>
      </c>
      <c r="E16" s="16">
        <v>2850</v>
      </c>
      <c r="F16" s="16">
        <v>2930</v>
      </c>
      <c r="G16" s="16">
        <v>3015</v>
      </c>
      <c r="H16" s="16">
        <v>3180</v>
      </c>
      <c r="I16" s="16">
        <v>3353</v>
      </c>
      <c r="J16" s="16">
        <v>3518</v>
      </c>
      <c r="K16" s="16">
        <v>3885</v>
      </c>
      <c r="L16" s="16">
        <v>4260</v>
      </c>
      <c r="M16" s="16">
        <v>4650</v>
      </c>
      <c r="N16" s="16">
        <v>5273</v>
      </c>
      <c r="O16" s="16">
        <v>5483</v>
      </c>
      <c r="P16" s="16">
        <v>5700</v>
      </c>
      <c r="Q16" s="16">
        <v>5925</v>
      </c>
      <c r="R16" s="16">
        <v>6150</v>
      </c>
      <c r="S16" s="16">
        <v>6375</v>
      </c>
    </row>
    <row r="17" spans="1:19" ht="15">
      <c r="A17" s="4" t="s">
        <v>9</v>
      </c>
      <c r="B17" s="9">
        <f>((((B6*0.00314)*((B6+545)/1000))*'Технический лист'!$K$3)+370+((B7*0.00314)*((B7+450)/1000))*'Технический лист'!$K$11)*1.65</f>
        <v>1689.8352789999997</v>
      </c>
      <c r="C17" s="9">
        <f>((((C6*0.00314)*((C6+545)/1000))*'Технический лист'!$K$3)+370+((C7*0.00314)*((C7+450)/1000))*'Технический лист'!$K$11)*1.65</f>
        <v>1792.9093743</v>
      </c>
      <c r="D17" s="9">
        <f>((((D6*0.00314)*((D6+545)/1000))*'Технический лист'!$K$3)+370+((D7*0.00314)*((D7+450)/1000))*'Технический лист'!$K$11)*1.65</f>
        <v>1845.4336614999997</v>
      </c>
      <c r="E17" s="9">
        <f>((((E6*0.00314)*((E6+545)/1000))*'Технический лист'!$K$3)+370+((E7*0.00314)*((E7+450)/1000))*'Технический лист'!$K$11)*1.65</f>
        <v>1898.6161083999998</v>
      </c>
      <c r="F17" s="9">
        <f>((((F6*0.00314)*((F6+545)/1000))*'Технический лист'!$K$3)+370+((F7*0.00314)*((F7+450)/1000))*'Технический лист'!$K$11)*1.65</f>
        <v>1952.4567149999998</v>
      </c>
      <c r="G17" s="9">
        <f>((((G6*0.00314)*((G6+545)/1000))*'Технический лист'!$K$3)+370+((G7*0.00314)*((G7+450)/1000))*'Технический лист'!$K$11)*1.65</f>
        <v>2006.9554813000002</v>
      </c>
      <c r="H17" s="9">
        <f>((((H6*0.00314)*((H6+545)/1000))*'Технический лист'!$K$3)+370+((H7*0.00314)*((H7+450)/1000))*'Технический лист'!$K$11)*1.65</f>
        <v>2117.9274929999997</v>
      </c>
      <c r="I17" s="9">
        <f>((((I6*0.00314)*((I6+545)/1000))*'Технический лист'!$K$3)+370+((I7*0.00314)*((I7+450)/1000))*'Технический лист'!$K$11)*1.65</f>
        <v>2231.5321434999996</v>
      </c>
      <c r="J17" s="9">
        <f>((((J6*0.00314)*((J6+545)/1000))*'Технический лист'!$K$3)+370+((J7*0.00314)*((J7+450)/1000))*'Технический лист'!$K$11)*1.65</f>
        <v>2347.7694328</v>
      </c>
      <c r="K17" s="9">
        <f>((((K6*0.00314)*((K6+545)/1000))*'Технический лист'!$K$3)+370+((K7*0.00314)*((K7+450)/1000))*'Технический лист'!$K$11)*1.65</f>
        <v>2588.1419277999994</v>
      </c>
      <c r="L17" s="9">
        <f>((((L6*0.00314)*((L6+545)/1000))*'Технический лист'!$K$3)+370+((L7*0.00314)*((L7+450)/1000))*'Технический лист'!$K$11)*1.65</f>
        <v>2839.0449779999994</v>
      </c>
      <c r="M17" s="9">
        <f>((((M6*0.00314)*((M6+545)/1000))*'Технический лист'!$K$3)+370+((M7*0.00314)*((M7+450)/1000))*'Технический лист'!$K$11)*1.65</f>
        <v>3100.4785833999995</v>
      </c>
      <c r="N17" s="9">
        <f>((((N6*0.00314)*((N6+545)/1000))*'Технический лист'!$K$3)+370+((N7*0.00314)*((N7+450)/1000))*'Технический лист'!$K$11)*1.65</f>
        <v>3512.3737825</v>
      </c>
      <c r="O17" s="9">
        <f>((((O6*0.00314)*((O6+545)/1000))*'Технический лист'!$K$3)+370+((O7*0.00314)*((O7+450)/1000))*'Технический лист'!$K$11)*1.65</f>
        <v>3654.9374598</v>
      </c>
      <c r="P17" s="9">
        <f>((((P6*0.00314)*((P6+545)/1000))*'Технический лист'!$K$3)+370+((P7*0.00314)*((P7+450)/1000))*'Технический лист'!$K$11)*1.65</f>
        <v>3800.133775899999</v>
      </c>
      <c r="Q17" s="9">
        <f>((((Q6*0.00314)*((Q6+545)/1000))*'Технический лист'!$K$3)+370+((Q7*0.00314)*((Q7+450)/1000))*'Технический лист'!$K$11)*1.65</f>
        <v>3947.9627307999995</v>
      </c>
      <c r="R17" s="9">
        <f>((((R6*0.00314)*((R6+545)/1000))*'Технический лист'!$K$3)+370+((R7*0.00314)*((R7+450)/1000))*'Технический лист'!$K$11)*1.65</f>
        <v>4098.4243245</v>
      </c>
      <c r="S17" s="9">
        <f>((((S6*0.00314)*((S6+545)/1000))*'Технический лист'!$K$3)+370+((S7*0.00314)*((S7+450)/1000))*'Технический лист'!$K$11)*1.65</f>
        <v>4251.518556999999</v>
      </c>
    </row>
    <row r="18" spans="1:19" ht="0.75" customHeight="1" hidden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4" t="s">
        <v>121</v>
      </c>
      <c r="B19" s="16">
        <v>1100</v>
      </c>
      <c r="C19" s="16">
        <v>1100</v>
      </c>
      <c r="D19" s="16">
        <v>1100</v>
      </c>
      <c r="E19" s="16">
        <v>1100</v>
      </c>
      <c r="F19" s="16">
        <v>1100</v>
      </c>
      <c r="G19" s="16">
        <v>1100</v>
      </c>
      <c r="H19" s="16">
        <v>1100</v>
      </c>
      <c r="I19" s="16">
        <v>1100</v>
      </c>
      <c r="J19" s="16">
        <v>1100</v>
      </c>
      <c r="K19" s="16">
        <v>1100</v>
      </c>
      <c r="L19" s="16">
        <v>1200</v>
      </c>
      <c r="M19" s="16">
        <v>1200</v>
      </c>
      <c r="N19" s="16">
        <v>1200</v>
      </c>
      <c r="O19" s="16">
        <v>1200</v>
      </c>
      <c r="P19" s="16">
        <v>1200</v>
      </c>
      <c r="Q19" s="16">
        <v>1200</v>
      </c>
      <c r="R19" s="16">
        <v>1200</v>
      </c>
      <c r="S19" s="16">
        <v>1200</v>
      </c>
    </row>
    <row r="21" spans="1:14" ht="15">
      <c r="A21" s="41" t="s">
        <v>58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9" ht="15">
      <c r="A22" s="3" t="s">
        <v>0</v>
      </c>
      <c r="B22" s="10">
        <v>100</v>
      </c>
      <c r="C22" s="10">
        <v>110</v>
      </c>
      <c r="D22" s="10">
        <v>115</v>
      </c>
      <c r="E22" s="10">
        <v>120</v>
      </c>
      <c r="F22" s="10">
        <v>125</v>
      </c>
      <c r="G22" s="10">
        <v>130</v>
      </c>
      <c r="H22" s="10">
        <v>140</v>
      </c>
      <c r="I22" s="10">
        <v>150</v>
      </c>
      <c r="J22" s="10">
        <v>160</v>
      </c>
      <c r="K22" s="10">
        <v>180</v>
      </c>
      <c r="L22" s="10">
        <v>200</v>
      </c>
      <c r="M22" s="10">
        <v>220</v>
      </c>
      <c r="N22" s="10">
        <v>250</v>
      </c>
      <c r="O22" s="10">
        <v>260</v>
      </c>
      <c r="P22" s="10">
        <v>270</v>
      </c>
      <c r="Q22" s="10">
        <v>280</v>
      </c>
      <c r="R22" s="10">
        <v>290</v>
      </c>
      <c r="S22" s="10">
        <v>300</v>
      </c>
    </row>
    <row r="23" spans="1:19" ht="15">
      <c r="A23" s="3" t="s">
        <v>1</v>
      </c>
      <c r="B23" s="10">
        <f>B22+100</f>
        <v>200</v>
      </c>
      <c r="C23" s="10">
        <f aca="true" t="shared" si="8" ref="C23:N23">C22+100</f>
        <v>210</v>
      </c>
      <c r="D23" s="10">
        <f t="shared" si="8"/>
        <v>215</v>
      </c>
      <c r="E23" s="10">
        <f t="shared" si="8"/>
        <v>220</v>
      </c>
      <c r="F23" s="10">
        <f t="shared" si="8"/>
        <v>225</v>
      </c>
      <c r="G23" s="10">
        <f t="shared" si="8"/>
        <v>230</v>
      </c>
      <c r="H23" s="10">
        <f t="shared" si="8"/>
        <v>240</v>
      </c>
      <c r="I23" s="10">
        <f t="shared" si="8"/>
        <v>250</v>
      </c>
      <c r="J23" s="10">
        <f t="shared" si="8"/>
        <v>260</v>
      </c>
      <c r="K23" s="10">
        <f t="shared" si="8"/>
        <v>280</v>
      </c>
      <c r="L23" s="10">
        <f t="shared" si="8"/>
        <v>300</v>
      </c>
      <c r="M23" s="10">
        <f t="shared" si="8"/>
        <v>320</v>
      </c>
      <c r="N23" s="10">
        <f t="shared" si="8"/>
        <v>350</v>
      </c>
      <c r="O23" s="10">
        <f aca="true" t="shared" si="9" ref="O23:S23">O22+100</f>
        <v>360</v>
      </c>
      <c r="P23" s="10">
        <f t="shared" si="9"/>
        <v>370</v>
      </c>
      <c r="Q23" s="10">
        <f t="shared" si="9"/>
        <v>380</v>
      </c>
      <c r="R23" s="10">
        <f t="shared" si="9"/>
        <v>390</v>
      </c>
      <c r="S23" s="10">
        <f t="shared" si="9"/>
        <v>400</v>
      </c>
    </row>
    <row r="24" spans="1:19" ht="15">
      <c r="A24" s="4" t="s">
        <v>4</v>
      </c>
      <c r="B24" s="16">
        <f>(((B22*0.00314)*'Технический лист'!$G$3)+365+((B23*0.00314)*'Технический лист'!$G$5))*1.51</f>
        <v>2108.22576</v>
      </c>
      <c r="C24" s="16">
        <f>(((C22*0.00314)*'Технический лист'!$G$3)+365+((C23*0.00314)*'Технический лист'!$G$5))*1.51</f>
        <v>2210.071032</v>
      </c>
      <c r="D24" s="16">
        <f>(((D22*0.00314)*'Технический лист'!$G$3)+365+((D23*0.00314)*'Технический лист'!$G$5))*1.51</f>
        <v>2260.993668</v>
      </c>
      <c r="E24" s="16">
        <f>(((E22*0.00314)*'Технический лист'!$G$3)+365+((E23*0.00314)*'Технический лист'!$G$5))*1.51</f>
        <v>2311.9163040000003</v>
      </c>
      <c r="F24" s="16">
        <f>(((F22*0.00314)*'Технический лист'!$G$3)+365+((F23*0.00314)*'Технический лист'!$G$5))*1.51</f>
        <v>2362.83894</v>
      </c>
      <c r="G24" s="16">
        <f>(((G22*0.00314)*'Технический лист'!$G$3)+365+((G23*0.00314)*'Технический лист'!$G$5))*1.51</f>
        <v>2413.7615760000003</v>
      </c>
      <c r="H24" s="16">
        <f>(((H22*0.00314)*'Технический лист'!$G$3)+365+((H23*0.00314)*'Технический лист'!$G$5))*1.51</f>
        <v>2515.606848</v>
      </c>
      <c r="I24" s="16">
        <f>(((I22*0.00314)*'Технический лист'!$G$3)+365+((I23*0.00314)*'Технический лист'!$G$5))*1.51</f>
        <v>2617.45212</v>
      </c>
      <c r="J24" s="16">
        <f>(((J22*0.00314)*'Технический лист'!$G$3)+365+((J23*0.00314)*'Технический лист'!$G$5))*1.51</f>
        <v>2719.297392</v>
      </c>
      <c r="K24" s="16">
        <f>(((K22*0.00314)*'Технический лист'!$G$3)+365+((K23*0.00314)*'Технический лист'!$G$5))*1.51</f>
        <v>2922.987936</v>
      </c>
      <c r="L24" s="16">
        <f>(((L22*0.00314)*'Технический лист'!$G$3)+365+((L23*0.00314)*'Технический лист'!$G$5))*1.51</f>
        <v>3126.67848</v>
      </c>
      <c r="M24" s="16">
        <f>(((M22*0.00314)*'Технический лист'!$G$3)+365+((M23*0.00314)*'Технический лист'!$G$5))*1.51</f>
        <v>3330.3690239999996</v>
      </c>
      <c r="N24" s="16">
        <f>(((N22*0.00314)*'Технический лист'!$G$3)+365+((N23*0.00314)*'Технический лист'!$G$5))*1.51</f>
        <v>3635.90484</v>
      </c>
      <c r="O24" s="16">
        <f>(((O22*0.00314)*'Технический лист'!$G$3)+365+((O23*0.00314)*'Технический лист'!$G$5))*1.51</f>
        <v>3737.7501120000006</v>
      </c>
      <c r="P24" s="16">
        <f>(((P22*0.00314)*'Технический лист'!$G$3)+365+((P23*0.00314)*'Технический лист'!$G$5))*1.51</f>
        <v>3839.595384</v>
      </c>
      <c r="Q24" s="16">
        <f>(((Q22*0.00314)*'Технический лист'!$G$3)+365+((Q23*0.00314)*'Технический лист'!$G$5))*1.51</f>
        <v>3941.4406559999998</v>
      </c>
      <c r="R24" s="16">
        <f>(((R22*0.00314)*'Технический лист'!$G$3)+365+((R23*0.00314)*'Технический лист'!$G$5))*1.51</f>
        <v>4043.285928</v>
      </c>
      <c r="S24" s="16">
        <f>(((S22*0.00314)*'Технический лист'!$G$3)+365+((S23*0.00314)*'Технический лист'!$G$5))*1.51</f>
        <v>4145.1312</v>
      </c>
    </row>
    <row r="25" spans="1:19" ht="15">
      <c r="A25" s="4" t="s">
        <v>3</v>
      </c>
      <c r="B25" s="9">
        <f>((B24/2)*1.07)-10</f>
        <v>1117.9007816</v>
      </c>
      <c r="C25" s="9">
        <f aca="true" t="shared" si="10" ref="C25:N25">((C24/2)*1.07)-10</f>
        <v>1172.38800212</v>
      </c>
      <c r="D25" s="9">
        <f t="shared" si="10"/>
        <v>1199.6316123800002</v>
      </c>
      <c r="E25" s="9">
        <f t="shared" si="10"/>
        <v>1226.8752226400002</v>
      </c>
      <c r="F25" s="9">
        <f t="shared" si="10"/>
        <v>1254.1188329000001</v>
      </c>
      <c r="G25" s="9">
        <f t="shared" si="10"/>
        <v>1281.3624431600003</v>
      </c>
      <c r="H25" s="9">
        <f t="shared" si="10"/>
        <v>1335.84966368</v>
      </c>
      <c r="I25" s="9">
        <f t="shared" si="10"/>
        <v>1390.3368842</v>
      </c>
      <c r="J25" s="9">
        <f t="shared" si="10"/>
        <v>1444.8241047200002</v>
      </c>
      <c r="K25" s="9">
        <f t="shared" si="10"/>
        <v>1553.79854576</v>
      </c>
      <c r="L25" s="9">
        <f t="shared" si="10"/>
        <v>1662.7729868000001</v>
      </c>
      <c r="M25" s="9">
        <f t="shared" si="10"/>
        <v>1771.74742784</v>
      </c>
      <c r="N25" s="9">
        <f t="shared" si="10"/>
        <v>1935.2090894000003</v>
      </c>
      <c r="O25" s="9">
        <f aca="true" t="shared" si="11" ref="O25:S25">((O24/2)*1.07)-10</f>
        <v>1989.6963099200004</v>
      </c>
      <c r="P25" s="9">
        <f t="shared" si="11"/>
        <v>2044.1835304400001</v>
      </c>
      <c r="Q25" s="9">
        <f t="shared" si="11"/>
        <v>2098.67075096</v>
      </c>
      <c r="R25" s="9">
        <f t="shared" si="11"/>
        <v>2153.15797148</v>
      </c>
      <c r="S25" s="9">
        <f t="shared" si="11"/>
        <v>2207.645192</v>
      </c>
    </row>
    <row r="26" spans="1:19" ht="15">
      <c r="A26" s="4" t="s">
        <v>5</v>
      </c>
      <c r="B26" s="16">
        <f>((((B22*0.00314)*0.5)*'Технический лист'!$I$3)+310+(((B23*0.00314)*0.5)*'Технический лист'!$I$5))*1.57</f>
        <v>1781.7584600000002</v>
      </c>
      <c r="C26" s="16">
        <f>((((C22*0.00314)*0.5)*'Технический лист'!$I$3)+310+(((C23*0.00314)*0.5)*'Технический лист'!$I$5))*1.57</f>
        <v>1867.2411920000002</v>
      </c>
      <c r="D26" s="16">
        <f>((((D22*0.00314)*0.5)*'Технический лист'!$I$3)+310+(((D23*0.00314)*0.5)*'Технический лист'!$I$5))*1.57</f>
        <v>1909.982558</v>
      </c>
      <c r="E26" s="16">
        <f>((((E22*0.00314)*0.5)*'Технический лист'!$I$3)+310+(((E23*0.00314)*0.5)*'Технический лист'!$I$5))*1.57</f>
        <v>1952.7239240000001</v>
      </c>
      <c r="F26" s="16">
        <f>((((F22*0.00314)*0.5)*'Технический лист'!$I$3)+310+(((F23*0.00314)*0.5)*'Технический лист'!$I$5))*1.57</f>
        <v>1995.4652899999999</v>
      </c>
      <c r="G26" s="16">
        <f>((((G22*0.00314)*0.5)*'Технический лист'!$I$3)+310+(((G23*0.00314)*0.5)*'Технический лист'!$I$5))*1.57</f>
        <v>2038.206656</v>
      </c>
      <c r="H26" s="16">
        <f>((((H22*0.00314)*0.5)*'Технический лист'!$I$3)+310+(((H23*0.00314)*0.5)*'Технический лист'!$I$5))*1.57</f>
        <v>2123.6893880000002</v>
      </c>
      <c r="I26" s="16">
        <f>((((I22*0.00314)*0.5)*'Технический лист'!$I$3)+310+(((I23*0.00314)*0.5)*'Технический лист'!$I$5))*1.57</f>
        <v>2209.17212</v>
      </c>
      <c r="J26" s="16">
        <f>((((J22*0.00314)*0.5)*'Технический лист'!$I$3)+310+(((J23*0.00314)*0.5)*'Технический лист'!$I$5))*1.57</f>
        <v>2294.654852</v>
      </c>
      <c r="K26" s="16">
        <f>((((K22*0.00314)*0.5)*'Технический лист'!$I$3)+310+(((K23*0.00314)*0.5)*'Технический лист'!$I$5))*1.57</f>
        <v>2465.620316</v>
      </c>
      <c r="L26" s="16">
        <f>((((L22*0.00314)*0.5)*'Технический лист'!$I$3)+310+(((L23*0.00314)*0.5)*'Технический лист'!$I$5))*1.57</f>
        <v>2636.58578</v>
      </c>
      <c r="M26" s="16">
        <f>((((M22*0.00314)*0.5)*'Технический лист'!$I$3)+310+(((M23*0.00314)*0.5)*'Технический лист'!$I$5))*1.57</f>
        <v>2807.551244</v>
      </c>
      <c r="N26" s="16">
        <f>((((N22*0.00314)*0.5)*'Технический лист'!$I$3)+310+(((N23*0.00314)*0.5)*'Технический лист'!$I$5))*1.57</f>
        <v>3063.99944</v>
      </c>
      <c r="O26" s="16">
        <f>((((O22*0.00314)*0.5)*'Технический лист'!$I$3)+310+(((O23*0.00314)*0.5)*'Технический лист'!$I$5))*1.57</f>
        <v>3149.4821720000004</v>
      </c>
      <c r="P26" s="16">
        <f>((((P22*0.00314)*0.5)*'Технический лист'!$I$3)+310+(((P23*0.00314)*0.5)*'Технический лист'!$I$5))*1.57</f>
        <v>3234.9649040000004</v>
      </c>
      <c r="Q26" s="16">
        <f>((((Q22*0.00314)*0.5)*'Технический лист'!$I$3)+310+(((Q23*0.00314)*0.5)*'Технический лист'!$I$5))*1.57</f>
        <v>3320.4476360000003</v>
      </c>
      <c r="R26" s="16">
        <f>((((R22*0.00314)*0.5)*'Технический лист'!$I$3)+310+(((R23*0.00314)*0.5)*'Технический лист'!$I$5))*1.57</f>
        <v>3405.9303680000003</v>
      </c>
      <c r="S26" s="16">
        <f>((((S22*0.00314)*0.5)*'Технический лист'!$I$3)+310+(((S23*0.00314)*0.5)*'Технический лист'!$I$5))*1.57</f>
        <v>3491.4131</v>
      </c>
    </row>
    <row r="27" spans="1:19" ht="15">
      <c r="A27" s="4" t="s">
        <v>96</v>
      </c>
      <c r="B27" s="9">
        <f>((B26*2)/3)-6</f>
        <v>1181.8389733333336</v>
      </c>
      <c r="C27" s="9">
        <f aca="true" t="shared" si="12" ref="C27:N27">((C26*2)/3)-6</f>
        <v>1238.8274613333335</v>
      </c>
      <c r="D27" s="9">
        <f t="shared" si="12"/>
        <v>1267.3217053333333</v>
      </c>
      <c r="E27" s="9">
        <f t="shared" si="12"/>
        <v>1295.8159493333335</v>
      </c>
      <c r="F27" s="9">
        <f t="shared" si="12"/>
        <v>1324.3101933333332</v>
      </c>
      <c r="G27" s="9">
        <f t="shared" si="12"/>
        <v>1352.8044373333335</v>
      </c>
      <c r="H27" s="9">
        <f t="shared" si="12"/>
        <v>1409.7929253333334</v>
      </c>
      <c r="I27" s="9">
        <f t="shared" si="12"/>
        <v>1466.7814133333334</v>
      </c>
      <c r="J27" s="9">
        <f t="shared" si="12"/>
        <v>1523.7699013333333</v>
      </c>
      <c r="K27" s="9">
        <f t="shared" si="12"/>
        <v>1637.7468773333333</v>
      </c>
      <c r="L27" s="9">
        <f t="shared" si="12"/>
        <v>1751.7238533333332</v>
      </c>
      <c r="M27" s="9">
        <f t="shared" si="12"/>
        <v>1865.7008293333336</v>
      </c>
      <c r="N27" s="9">
        <f t="shared" si="12"/>
        <v>2036.6662933333334</v>
      </c>
      <c r="O27" s="9">
        <f aca="true" t="shared" si="13" ref="O27:S27">((O26*2)/3)-6</f>
        <v>2093.6547813333336</v>
      </c>
      <c r="P27" s="9">
        <f t="shared" si="13"/>
        <v>2150.6432693333336</v>
      </c>
      <c r="Q27" s="9">
        <f t="shared" si="13"/>
        <v>2207.6317573333336</v>
      </c>
      <c r="R27" s="9">
        <f t="shared" si="13"/>
        <v>2264.6202453333335</v>
      </c>
      <c r="S27" s="9">
        <f t="shared" si="13"/>
        <v>2321.6087333333335</v>
      </c>
    </row>
    <row r="28" spans="1:19" ht="15">
      <c r="A28" s="4" t="s">
        <v>6</v>
      </c>
      <c r="B28" s="16">
        <f>((((B22*0.00314)*0.22)*'Технический лист'!$M$3)+100+(((B23*0.00314)*0.21)*'Технический лист'!$O$5)+(((B22+30)*(B22+30)/1000000)*'Технический лист'!$E$18))*1.58</f>
        <v>894.0383232</v>
      </c>
      <c r="C28" s="16">
        <f>((((C22*0.00314)*0.22)*'Технический лист'!$M$3)+100+(((C23*0.00314)*0.21)*'Технический лист'!$O$5)+(((C22+30)*(C22+30)/1000000)*'Технический лист'!$E$18))*1.58</f>
        <v>951.7449792</v>
      </c>
      <c r="D28" s="16">
        <f>((((D22*0.00314)*0.22)*'Технический лист'!$M$3)+100+(((D23*0.00314)*0.21)*'Технический лист'!$O$5)+(((D22+30)*(D22+30)/1000000)*'Технический лист'!$E$18))*1.58</f>
        <v>980.9775072000001</v>
      </c>
      <c r="E28" s="16">
        <f>((((E22*0.00314)*0.22)*'Технический лист'!$M$3)+100+(((E23*0.00314)*0.21)*'Технический лист'!$O$5)+(((E22+30)*(E22+30)/1000000)*'Технический лист'!$E$18))*1.58</f>
        <v>1010.4628352</v>
      </c>
      <c r="F28" s="16">
        <f>((((F22*0.00314)*0.22)*'Технический лист'!$M$3)+100+(((F23*0.00314)*0.21)*'Технический лист'!$O$5)+(((F22+30)*(F22+30)/1000000)*'Технический лист'!$E$18))*1.58</f>
        <v>1040.2009632000002</v>
      </c>
      <c r="G28" s="16">
        <f>((((G22*0.00314)*0.22)*'Технический лист'!$M$3)+100+(((G23*0.00314)*0.21)*'Технический лист'!$O$5)+(((G22+30)*(G22+30)/1000000)*'Технический лист'!$E$18))*1.58</f>
        <v>1070.1918912</v>
      </c>
      <c r="H28" s="16">
        <f>((((H22*0.00314)*0.22)*'Технический лист'!$M$3)+100+(((H23*0.00314)*0.21)*'Технический лист'!$O$5)+(((H22+30)*(H22+30)/1000000)*'Технический лист'!$E$18))*1.58</f>
        <v>1130.9321472000001</v>
      </c>
      <c r="I28" s="16">
        <f>((((I22*0.00314)*0.22)*'Технический лист'!$M$3)+100+(((I23*0.00314)*0.21)*'Технический лист'!$O$5)+(((I22+30)*(I22+30)/1000000)*'Технический лист'!$E$18))*1.58</f>
        <v>1192.6836031999999</v>
      </c>
      <c r="J28" s="16">
        <f>((((J22*0.00314)*0.22)*'Технический лист'!$M$3)+100+(((J23*0.00314)*0.21)*'Технический лист'!$O$5)+(((J22+30)*(J22+30)/1000000)*'Технический лист'!$E$18))*1.58</f>
        <v>1255.4462591999998</v>
      </c>
      <c r="K28" s="16">
        <f>((((K22*0.00314)*0.22)*'Технический лист'!$M$3)+100+(((K23*0.00314)*0.21)*'Технический лист'!$O$5)+(((K22+30)*(K22+30)/1000000)*'Технический лист'!$E$18))*1.58</f>
        <v>1384.0051712</v>
      </c>
      <c r="L28" s="16">
        <f>((((L22*0.00314)*0.22)*'Технический лист'!$M$3)+100+(((L23*0.00314)*0.21)*'Технический лист'!$O$5)+(((L22+30)*(L22+30)/1000000)*'Технический лист'!$E$18))*1.58</f>
        <v>1516.6088832</v>
      </c>
      <c r="M28" s="16">
        <f>((((M22*0.00314)*0.22)*'Технический лист'!$M$3)+100+(((M23*0.00314)*0.21)*'Технический лист'!$O$5)+(((M22+30)*(M22+30)/1000000)*'Технический лист'!$E$18))*1.58</f>
        <v>1653.2573952</v>
      </c>
      <c r="N28" s="16">
        <f>((((N22*0.00314)*0.22)*'Технический лист'!$M$3)+100+(((N23*0.00314)*0.21)*'Технический лист'!$O$5)+(((N22+30)*(N22+30)/1000000)*'Технический лист'!$E$18))*1.58</f>
        <v>1865.8141632</v>
      </c>
      <c r="O28" s="16">
        <f>((((O22*0.00314)*0.22)*'Технический лист'!$M$3)+100+(((O23*0.00314)*0.21)*'Технический лист'!$O$5)+(((O22+30)*(O22+30)/1000000)*'Технический лист'!$E$18))*1.58</f>
        <v>1938.6888192</v>
      </c>
      <c r="P28" s="16">
        <f>((((P22*0.00314)*0.22)*'Технический лист'!$M$3)+100+(((P23*0.00314)*0.21)*'Технический лист'!$O$5)+(((P22+30)*(P22+30)/1000000)*'Технический лист'!$E$18))*1.58</f>
        <v>2012.5746752</v>
      </c>
      <c r="Q28" s="16">
        <f>((((Q22*0.00314)*0.22)*'Технический лист'!$M$3)+100+(((Q23*0.00314)*0.21)*'Технический лист'!$O$5)+(((Q22+30)*(Q22+30)/1000000)*'Технический лист'!$E$18))*1.58</f>
        <v>2087.4717312</v>
      </c>
      <c r="R28" s="16">
        <f>((((R22*0.00314)*0.22)*'Технический лист'!$M$3)+100+(((R23*0.00314)*0.21)*'Технический лист'!$O$5)+(((R22+30)*(R22+30)/1000000)*'Технический лист'!$E$18))*1.58</f>
        <v>2163.3799872</v>
      </c>
      <c r="S28" s="16">
        <f>((((S22*0.00314)*0.22)*'Технический лист'!$M$3)+100+(((S23*0.00314)*0.21)*'Технический лист'!$O$5)+(((S22+30)*(S22+30)/1000000)*'Технический лист'!$E$18))*1.58</f>
        <v>2240.2994432</v>
      </c>
    </row>
    <row r="29" spans="1:19" ht="15">
      <c r="A29" s="4" t="s">
        <v>7</v>
      </c>
      <c r="B29" s="9">
        <f>(B28*2.2)+24</f>
        <v>1990.8843110400003</v>
      </c>
      <c r="C29" s="9">
        <f aca="true" t="shared" si="14" ref="C29:N29">(C28*2.2)+24</f>
        <v>2117.83895424</v>
      </c>
      <c r="D29" s="9">
        <f t="shared" si="14"/>
        <v>2182.1505158400005</v>
      </c>
      <c r="E29" s="9">
        <f t="shared" si="14"/>
        <v>2247.01823744</v>
      </c>
      <c r="F29" s="9">
        <f t="shared" si="14"/>
        <v>2312.4421190400008</v>
      </c>
      <c r="G29" s="9">
        <f t="shared" si="14"/>
        <v>2378.4221606400006</v>
      </c>
      <c r="H29" s="9">
        <f t="shared" si="14"/>
        <v>2512.0507238400005</v>
      </c>
      <c r="I29" s="9">
        <f t="shared" si="14"/>
        <v>2647.90392704</v>
      </c>
      <c r="J29" s="9">
        <f t="shared" si="14"/>
        <v>2785.9817702399996</v>
      </c>
      <c r="K29" s="9">
        <f t="shared" si="14"/>
        <v>3068.81137664</v>
      </c>
      <c r="L29" s="9">
        <f t="shared" si="14"/>
        <v>3360.5395430400004</v>
      </c>
      <c r="M29" s="9">
        <f t="shared" si="14"/>
        <v>3661.16626944</v>
      </c>
      <c r="N29" s="9">
        <f t="shared" si="14"/>
        <v>4128.79115904</v>
      </c>
      <c r="O29" s="9">
        <f aca="true" t="shared" si="15" ref="O29:S29">(O28*2.2)+24</f>
        <v>4289.115402240001</v>
      </c>
      <c r="P29" s="9">
        <f t="shared" si="15"/>
        <v>4451.664285440001</v>
      </c>
      <c r="Q29" s="9">
        <f t="shared" si="15"/>
        <v>4616.43780864</v>
      </c>
      <c r="R29" s="9">
        <f t="shared" si="15"/>
        <v>4783.43597184</v>
      </c>
      <c r="S29" s="9">
        <f t="shared" si="15"/>
        <v>4952.65877504</v>
      </c>
    </row>
    <row r="30" spans="1:19" ht="15">
      <c r="A30" s="4" t="s">
        <v>8</v>
      </c>
      <c r="B30" s="16">
        <f>((((B22*0.00314)*0.2)*'Технический лист'!$M$3)+50+(((B23*0.00314)*0.22)*'Технический лист'!$O$5))*1.58</f>
        <v>728.6393728</v>
      </c>
      <c r="C30" s="16">
        <f>((((C22*0.00314)*0.2)*'Технический лист'!$M$3)+50+(((C23*0.00314)*0.22)*'Технический лист'!$O$5))*1.58</f>
        <v>771.59939584</v>
      </c>
      <c r="D30" s="16">
        <f>((((D22*0.00314)*0.2)*'Технический лист'!$M$3)+50+(((D23*0.00314)*0.22)*'Технический лист'!$O$5))*1.58</f>
        <v>793.0794073600001</v>
      </c>
      <c r="E30" s="16">
        <f>((((E22*0.00314)*0.2)*'Технический лист'!$M$3)+50+(((E23*0.00314)*0.22)*'Технический лист'!$O$5))*1.58</f>
        <v>814.5594188800001</v>
      </c>
      <c r="F30" s="16">
        <f>((((F22*0.00314)*0.2)*'Технический лист'!$M$3)+50+(((F23*0.00314)*0.22)*'Технический лист'!$O$5))*1.58</f>
        <v>836.0394304</v>
      </c>
      <c r="G30" s="16">
        <f>((((G22*0.00314)*0.2)*'Технический лист'!$M$3)+50+(((G23*0.00314)*0.22)*'Технический лист'!$O$5))*1.58</f>
        <v>857.5194419200001</v>
      </c>
      <c r="H30" s="16">
        <f>((((H22*0.00314)*0.2)*'Технический лист'!$M$3)+50+(((H23*0.00314)*0.22)*'Технический лист'!$O$5))*1.58</f>
        <v>900.4794649600001</v>
      </c>
      <c r="I30" s="16">
        <f>((((I22*0.00314)*0.2)*'Технический лист'!$M$3)+50+(((I23*0.00314)*0.22)*'Технический лист'!$O$5))*1.58</f>
        <v>943.4394880000001</v>
      </c>
      <c r="J30" s="16">
        <f>((((J22*0.00314)*0.2)*'Технический лист'!$M$3)+50+(((J23*0.00314)*0.22)*'Технический лист'!$O$5))*1.58</f>
        <v>986.3995110400001</v>
      </c>
      <c r="K30" s="16">
        <f>((((K22*0.00314)*0.2)*'Технический лист'!$M$3)+50+(((K23*0.00314)*0.22)*'Технический лист'!$O$5))*1.58</f>
        <v>1072.3195571200001</v>
      </c>
      <c r="L30" s="16">
        <f>((((L22*0.00314)*0.2)*'Технический лист'!$M$3)+50+(((L23*0.00314)*0.22)*'Технический лист'!$O$5))*1.58</f>
        <v>1158.2396032000001</v>
      </c>
      <c r="M30" s="16">
        <f>((((M22*0.00314)*0.2)*'Технический лист'!$M$3)+50+(((M23*0.00314)*0.22)*'Технический лист'!$O$5))*1.58</f>
        <v>1244.15964928</v>
      </c>
      <c r="N30" s="16">
        <f>((((N22*0.00314)*0.2)*'Технический лист'!$M$3)+50+(((N23*0.00314)*0.22)*'Технический лист'!$O$5))*1.58</f>
        <v>1373.0397184000003</v>
      </c>
      <c r="O30" s="16">
        <f>((((O22*0.00314)*0.2)*'Технический лист'!$M$3)+50+(((O23*0.00314)*0.22)*'Технический лист'!$O$5))*1.58</f>
        <v>1415.9997414400002</v>
      </c>
      <c r="P30" s="16">
        <f>((((P22*0.00314)*0.2)*'Технический лист'!$M$3)+50+(((P23*0.00314)*0.22)*'Технический лист'!$O$5))*1.58</f>
        <v>1458.95976448</v>
      </c>
      <c r="Q30" s="16">
        <f>((((Q22*0.00314)*0.2)*'Технический лист'!$M$3)+50+(((Q23*0.00314)*0.22)*'Технический лист'!$O$5))*1.58</f>
        <v>1501.91978752</v>
      </c>
      <c r="R30" s="16">
        <f>((((R22*0.00314)*0.2)*'Технический лист'!$M$3)+50+(((R23*0.00314)*0.22)*'Технический лист'!$O$5))*1.58</f>
        <v>1544.8798105600001</v>
      </c>
      <c r="S30" s="16">
        <f>((((S22*0.00314)*0.2)*'Технический лист'!$M$3)+50+(((S23*0.00314)*0.22)*'Технический лист'!$O$5))*1.58</f>
        <v>1587.8398336000002</v>
      </c>
    </row>
    <row r="31" spans="1:19" ht="15">
      <c r="A31" s="4" t="s">
        <v>99</v>
      </c>
      <c r="B31" s="16">
        <v>3840</v>
      </c>
      <c r="C31" s="16">
        <v>4080</v>
      </c>
      <c r="D31" s="16">
        <v>4200</v>
      </c>
      <c r="E31" s="16">
        <v>4320</v>
      </c>
      <c r="F31" s="16">
        <v>4448</v>
      </c>
      <c r="G31" s="16">
        <v>4575</v>
      </c>
      <c r="H31" s="16">
        <v>4830</v>
      </c>
      <c r="I31" s="16">
        <v>5100</v>
      </c>
      <c r="J31" s="16">
        <v>5370</v>
      </c>
      <c r="K31" s="16">
        <v>5925</v>
      </c>
      <c r="L31" s="16">
        <v>6510</v>
      </c>
      <c r="M31" s="16">
        <v>7118</v>
      </c>
      <c r="N31" s="16">
        <v>8070</v>
      </c>
      <c r="O31" s="16">
        <v>8400</v>
      </c>
      <c r="P31" s="16">
        <v>8738</v>
      </c>
      <c r="Q31" s="16">
        <v>9083</v>
      </c>
      <c r="R31" s="16">
        <v>9428</v>
      </c>
      <c r="S31" s="16">
        <v>9780</v>
      </c>
    </row>
    <row r="32" spans="1:19" ht="15">
      <c r="A32" s="4" t="s">
        <v>102</v>
      </c>
      <c r="B32" s="16">
        <v>3840</v>
      </c>
      <c r="C32" s="16">
        <v>4080</v>
      </c>
      <c r="D32" s="16">
        <v>4200</v>
      </c>
      <c r="E32" s="16">
        <v>4320</v>
      </c>
      <c r="F32" s="16">
        <v>4448</v>
      </c>
      <c r="G32" s="16">
        <v>4575</v>
      </c>
      <c r="H32" s="16">
        <v>4830</v>
      </c>
      <c r="I32" s="16">
        <v>5100</v>
      </c>
      <c r="J32" s="16">
        <v>5370</v>
      </c>
      <c r="K32" s="16">
        <v>5925</v>
      </c>
      <c r="L32" s="16">
        <v>6510</v>
      </c>
      <c r="M32" s="16">
        <v>7118</v>
      </c>
      <c r="N32" s="16">
        <v>8070</v>
      </c>
      <c r="O32" s="16">
        <v>8400</v>
      </c>
      <c r="P32" s="16">
        <v>8738</v>
      </c>
      <c r="Q32" s="16">
        <v>9083</v>
      </c>
      <c r="R32" s="16">
        <v>9428</v>
      </c>
      <c r="S32" s="16">
        <v>9780</v>
      </c>
    </row>
    <row r="33" spans="1:19" ht="15">
      <c r="A33" s="4" t="s">
        <v>9</v>
      </c>
      <c r="B33" s="9">
        <f>((((B22*0.00314)*((B22+545)/1000))*'Технический лист'!$K$3)+370+((B23*0.00314)*((B23+450)/1000))*'Технический лист'!$K$5)*1.65</f>
        <v>2556.8928989999995</v>
      </c>
      <c r="C33" s="9">
        <f>((((C22*0.00314)*((C22+545)/1000))*'Технический лист'!$K$3)+370+((C23*0.00314)*((C23+450)/1000))*'Технический лист'!$K$5)*1.65</f>
        <v>2717.3261907</v>
      </c>
      <c r="D33" s="9">
        <f>((((D22*0.00314)*((D22+545)/1000))*'Технический лист'!$K$3)+370+((D23*0.00314)*((D23+450)/1000))*'Технический лист'!$K$5)*1.65</f>
        <v>2799.0303016499997</v>
      </c>
      <c r="E33" s="9">
        <f>((((E22*0.00314)*((E22+545)/1000))*'Технический лист'!$K$3)+370+((E23*0.00314)*((E23+450)/1000))*'Технический лист'!$K$5)*1.65</f>
        <v>2881.726056</v>
      </c>
      <c r="F33" s="9">
        <f>((((F22*0.00314)*((F22+545)/1000))*'Технический лист'!$K$3)+370+((F23*0.00314)*((F23+450)/1000))*'Технический лист'!$K$5)*1.65</f>
        <v>2965.41345375</v>
      </c>
      <c r="G33" s="9">
        <f>((((G22*0.00314)*((G22+545)/1000))*'Технический лист'!$K$3)+370+((G23*0.00314)*((G23+450)/1000))*'Технический лист'!$K$5)*1.65</f>
        <v>3050.0924949</v>
      </c>
      <c r="H33" s="9">
        <f>((((H22*0.00314)*((H22+545)/1000))*'Технический лист'!$K$3)+370+((H23*0.00314)*((H23+450)/1000))*'Технический лист'!$K$5)*1.65</f>
        <v>3222.4255074</v>
      </c>
      <c r="I33" s="9">
        <f>((((I22*0.00314)*((I22+545)/1000))*'Технический лист'!$K$3)+370+((I23*0.00314)*((I23+450)/1000))*'Технический лист'!$K$5)*1.65</f>
        <v>3398.7250934999993</v>
      </c>
      <c r="J33" s="9">
        <f>((((J22*0.00314)*((J22+545)/1000))*'Технический лист'!$K$3)+370+((J23*0.00314)*((J23+450)/1000))*'Технический лист'!$K$5)*1.65</f>
        <v>3578.991253199999</v>
      </c>
      <c r="K33" s="9">
        <f>((((K22*0.00314)*((K22+545)/1000))*'Технический лист'!$K$3)+370+((K23*0.00314)*((K23+450)/1000))*'Технический лист'!$K$5)*1.65</f>
        <v>3951.4232934</v>
      </c>
      <c r="L33" s="9">
        <f>((((L22*0.00314)*((L22+545)/1000))*'Технический лист'!$K$3)+370+((L23*0.00314)*((L23+450)/1000))*'Технический лист'!$K$5)*1.65</f>
        <v>4339.721627999999</v>
      </c>
      <c r="M33" s="9">
        <f>((((M22*0.00314)*((M22+545)/1000))*'Технический лист'!$K$3)+370+((M23*0.00314)*((M23+450)/1000))*'Технический лист'!$K$5)*1.65</f>
        <v>4743.886256999999</v>
      </c>
      <c r="N33" s="9">
        <f>((((N22*0.00314)*((N22+545)/1000))*'Технический лист'!$K$3)+370+((N23*0.00314)*((N23+450)/1000))*'Технический лист'!$K$5)*1.65</f>
        <v>5379.8825025</v>
      </c>
      <c r="O33" s="9">
        <f>((((O22*0.00314)*((O22+545)/1000))*'Технический лист'!$K$3)+370+((O23*0.00314)*((O23+450)/1000))*'Технический лист'!$K$5)*1.65</f>
        <v>5599.8143982</v>
      </c>
      <c r="P33" s="9">
        <f>((((P22*0.00314)*((P22+545)/1000))*'Технический лист'!$K$3)+370+((P23*0.00314)*((P23+450)/1000))*'Технический лист'!$K$5)*1.65</f>
        <v>5823.712867499999</v>
      </c>
      <c r="Q33" s="9">
        <f>((((Q22*0.00314)*((Q22+545)/1000))*'Технический лист'!$K$3)+370+((Q23*0.00314)*((Q23+450)/1000))*'Технический лист'!$K$5)*1.65</f>
        <v>6051.577910399999</v>
      </c>
      <c r="R33" s="9">
        <f>((((R22*0.00314)*((R22+545)/1000))*'Технический лист'!$K$3)+370+((R23*0.00314)*((R23+450)/1000))*'Технический лист'!$K$5)*1.65</f>
        <v>6283.409526899998</v>
      </c>
      <c r="S33" s="9">
        <f>((((S22*0.00314)*((S22+545)/1000))*'Технический лист'!$K$3)+370+((S23*0.00314)*((S23+450)/1000))*'Технический лист'!$K$5)*1.65</f>
        <v>6519.207716999998</v>
      </c>
    </row>
    <row r="34" spans="1:19" ht="15" hidden="1">
      <c r="A34" s="4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4" t="s">
        <v>122</v>
      </c>
      <c r="B35" s="16">
        <v>1300</v>
      </c>
      <c r="C35" s="16">
        <v>1300</v>
      </c>
      <c r="D35" s="16">
        <v>1300</v>
      </c>
      <c r="E35" s="16">
        <v>1300</v>
      </c>
      <c r="F35" s="16">
        <v>1300</v>
      </c>
      <c r="G35" s="16">
        <v>1300</v>
      </c>
      <c r="H35" s="16">
        <v>1300</v>
      </c>
      <c r="I35" s="16">
        <v>1300</v>
      </c>
      <c r="J35" s="16">
        <v>1300</v>
      </c>
      <c r="K35" s="16">
        <v>1300</v>
      </c>
      <c r="L35" s="16">
        <v>1400</v>
      </c>
      <c r="M35" s="16">
        <v>1400</v>
      </c>
      <c r="N35" s="16">
        <v>1400</v>
      </c>
      <c r="O35" s="16">
        <v>1400</v>
      </c>
      <c r="P35" s="16">
        <v>1400</v>
      </c>
      <c r="Q35" s="16">
        <v>1400</v>
      </c>
      <c r="R35" s="16">
        <v>1400</v>
      </c>
      <c r="S35" s="16">
        <v>1400</v>
      </c>
    </row>
  </sheetData>
  <mergeCells count="6">
    <mergeCell ref="A21:N21"/>
    <mergeCell ref="A1:C1"/>
    <mergeCell ref="D1:O1"/>
    <mergeCell ref="D2:O2"/>
    <mergeCell ref="D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2020-04-15T05:17:02Z</dcterms:modified>
  <cp:category/>
  <cp:version/>
  <cp:contentType/>
  <cp:contentStatus/>
</cp:coreProperties>
</file>