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7065" windowWidth="14805" windowHeight="1170" tabRatio="962" firstSheet="6" activeTab="18"/>
  </bookViews>
  <sheets>
    <sheet name="В-к Прям" sheetId="1" r:id="rId1"/>
    <sheet name="В-к Круглый " sheetId="2" r:id="rId2"/>
    <sheet name="Ондулин" sheetId="3" state="hidden" r:id="rId3"/>
    <sheet name="CertainTeed" sheetId="11" r:id="rId4"/>
    <sheet name="KATEPAL" sheetId="5" r:id="rId5"/>
    <sheet name="Shinglas" sheetId="6" r:id="rId6"/>
    <sheet name="Docke гибкая" sheetId="27" r:id="rId7"/>
    <sheet name="Ruukki" sheetId="31" r:id="rId8"/>
    <sheet name="Grand Line" sheetId="8" r:id="rId9"/>
    <sheet name="Планки РУФМАСТЕР " sheetId="26" r:id="rId10"/>
    <sheet name="Доборные элементы GL" sheetId="20" r:id="rId11"/>
    <sheet name="Доборные фасад GL" sheetId="21" r:id="rId12"/>
    <sheet name="модульные ограждения" sheetId="24" r:id="rId13"/>
    <sheet name="Панельные ограждения" sheetId="25" r:id="rId14"/>
    <sheet name="ЦП Braas" sheetId="12" state="hidden" r:id="rId15"/>
    <sheet name="Плёнки" sheetId="14" r:id="rId16"/>
    <sheet name="Сайдинг GL" sheetId="29" r:id="rId17"/>
    <sheet name="Сайдинг Docke" sheetId="22" r:id="rId18"/>
    <sheet name="Элементы Безопастности" sheetId="19" r:id="rId19"/>
    <sheet name="Vilpe" sheetId="18" r:id="rId20"/>
    <sheet name="Инструмент" sheetId="30" r:id="rId21"/>
    <sheet name="Террасная доска" sheetId="32" r:id="rId22"/>
  </sheets>
  <calcPr calcId="145621"/>
</workbook>
</file>

<file path=xl/calcChain.xml><?xml version="1.0" encoding="utf-8"?>
<calcChain xmlns="http://schemas.openxmlformats.org/spreadsheetml/2006/main">
  <c r="Z54" i="8"/>
  <c r="V54"/>
  <c r="Z53"/>
  <c r="V53"/>
  <c r="Z52"/>
  <c r="V52"/>
  <c r="Z51"/>
  <c r="V51"/>
  <c r="AD50"/>
  <c r="AB50"/>
  <c r="AD49"/>
  <c r="AB49"/>
  <c r="AD48"/>
  <c r="AB48"/>
  <c r="AD47"/>
  <c r="AB47"/>
  <c r="AB45"/>
  <c r="X45"/>
  <c r="AB44"/>
  <c r="X44"/>
  <c r="AC43"/>
  <c r="AB43"/>
  <c r="X43"/>
  <c r="AC42"/>
  <c r="AB42"/>
  <c r="X42"/>
  <c r="AD40"/>
  <c r="AC40"/>
  <c r="AB40"/>
  <c r="AA40"/>
  <c r="Z40"/>
  <c r="Y40"/>
  <c r="X40"/>
  <c r="W40"/>
  <c r="V40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AM37"/>
  <c r="AL37"/>
  <c r="AK37"/>
  <c r="AJ37"/>
  <c r="AA37"/>
  <c r="Z37"/>
  <c r="Y37"/>
  <c r="AM36"/>
  <c r="AL36"/>
  <c r="AK36"/>
  <c r="AJ36"/>
  <c r="AI36"/>
  <c r="AH36"/>
  <c r="AD36"/>
  <c r="AB36"/>
  <c r="AA36"/>
  <c r="Z36"/>
  <c r="Y36"/>
  <c r="AM35"/>
  <c r="AK35"/>
  <c r="AJ35"/>
  <c r="AI35"/>
  <c r="AH35"/>
  <c r="AG35"/>
  <c r="AD35"/>
  <c r="AC35"/>
  <c r="AB35"/>
  <c r="AA35"/>
  <c r="Z35"/>
  <c r="Y35"/>
  <c r="X35"/>
  <c r="AM34"/>
  <c r="AJ34"/>
  <c r="AI34"/>
  <c r="AH34"/>
  <c r="AG34"/>
  <c r="AF34"/>
  <c r="AE34"/>
  <c r="AD34"/>
  <c r="AC34"/>
  <c r="AB34"/>
  <c r="Z34"/>
  <c r="Y34"/>
  <c r="X34"/>
  <c r="W34"/>
  <c r="V34"/>
  <c r="AM33"/>
  <c r="AJ33"/>
  <c r="AI33"/>
  <c r="AH33"/>
  <c r="AG33"/>
  <c r="AF33"/>
  <c r="AE33"/>
  <c r="AD33"/>
  <c r="AC33"/>
  <c r="AB33"/>
  <c r="Z33"/>
  <c r="Y33"/>
  <c r="X33"/>
  <c r="W33"/>
  <c r="V33"/>
  <c r="AM32"/>
  <c r="AH32"/>
  <c r="AG32"/>
  <c r="AD32"/>
  <c r="AC32"/>
  <c r="AB32"/>
  <c r="X32"/>
  <c r="AM31"/>
  <c r="AJ31"/>
  <c r="AI31"/>
  <c r="AH31"/>
  <c r="AG31"/>
  <c r="AF31"/>
  <c r="AE31"/>
  <c r="AD31"/>
  <c r="AC31"/>
  <c r="AB31"/>
  <c r="Z31"/>
  <c r="Y31"/>
  <c r="X31"/>
  <c r="W31"/>
  <c r="V31"/>
  <c r="AM30"/>
  <c r="AI30"/>
  <c r="AH30"/>
  <c r="AG30"/>
  <c r="AF30"/>
  <c r="AE30"/>
  <c r="AD30"/>
  <c r="AC30"/>
  <c r="AB30"/>
  <c r="X30"/>
  <c r="W30"/>
  <c r="V30"/>
  <c r="AB28"/>
  <c r="Z28"/>
  <c r="Y28"/>
  <c r="AM27"/>
  <c r="AJ27"/>
  <c r="AI27"/>
  <c r="AH27"/>
  <c r="AB27"/>
  <c r="Z27"/>
  <c r="Y27"/>
  <c r="AC26"/>
  <c r="AB26"/>
  <c r="X26"/>
  <c r="W26"/>
  <c r="O52"/>
  <c r="N52"/>
  <c r="K52"/>
  <c r="L52"/>
  <c r="J52"/>
  <c r="I52"/>
  <c r="M52"/>
  <c r="H52"/>
  <c r="G52"/>
  <c r="O51"/>
  <c r="N51"/>
  <c r="K51"/>
  <c r="L51"/>
  <c r="J51"/>
  <c r="I51"/>
  <c r="M51"/>
  <c r="H51"/>
  <c r="G51"/>
  <c r="O50"/>
  <c r="N50"/>
  <c r="L50"/>
  <c r="K50"/>
  <c r="J50"/>
  <c r="I50"/>
  <c r="M50"/>
  <c r="H50"/>
  <c r="G50"/>
  <c r="O49"/>
  <c r="N49"/>
  <c r="K49"/>
  <c r="L49"/>
  <c r="J49"/>
  <c r="I49"/>
  <c r="M49"/>
  <c r="H49"/>
  <c r="G49"/>
  <c r="O47"/>
  <c r="N47"/>
  <c r="M47"/>
  <c r="K47"/>
  <c r="J47"/>
  <c r="H47"/>
  <c r="G47"/>
  <c r="O46"/>
  <c r="N46"/>
  <c r="K46"/>
  <c r="J46"/>
  <c r="I46"/>
  <c r="M46"/>
  <c r="H46"/>
  <c r="G46"/>
  <c r="O45"/>
  <c r="N45"/>
  <c r="K45"/>
  <c r="L45"/>
  <c r="J45"/>
  <c r="I45"/>
  <c r="M45"/>
  <c r="H45"/>
  <c r="G45"/>
  <c r="O44"/>
  <c r="N44"/>
  <c r="K44"/>
  <c r="L44"/>
  <c r="J44"/>
  <c r="I44"/>
  <c r="M44"/>
  <c r="H44"/>
  <c r="G44"/>
  <c r="O42"/>
  <c r="N42"/>
  <c r="M42"/>
  <c r="K42"/>
  <c r="L42"/>
  <c r="J42"/>
  <c r="I42"/>
  <c r="H42"/>
  <c r="G42"/>
  <c r="O41"/>
  <c r="N41"/>
  <c r="L41"/>
  <c r="K41"/>
  <c r="J41"/>
  <c r="I41"/>
  <c r="M41"/>
  <c r="H41"/>
  <c r="G41"/>
  <c r="O40"/>
  <c r="N40"/>
  <c r="K40"/>
  <c r="L40"/>
  <c r="J40"/>
  <c r="I40"/>
  <c r="M40"/>
  <c r="H40"/>
  <c r="G40"/>
  <c r="O39"/>
  <c r="N39"/>
  <c r="K39"/>
  <c r="L39"/>
  <c r="J39"/>
  <c r="I39"/>
  <c r="M39"/>
  <c r="H39"/>
  <c r="G39"/>
  <c r="O38"/>
  <c r="N38"/>
  <c r="K38"/>
  <c r="L38"/>
  <c r="J38"/>
  <c r="I38"/>
  <c r="M38"/>
  <c r="H38"/>
  <c r="G38"/>
  <c r="O37"/>
  <c r="N37"/>
  <c r="L37"/>
  <c r="K37"/>
  <c r="J37"/>
  <c r="I37"/>
  <c r="M37"/>
  <c r="H37"/>
  <c r="G37"/>
  <c r="O36"/>
  <c r="N36"/>
  <c r="K36"/>
  <c r="L36"/>
  <c r="J36"/>
  <c r="I36"/>
  <c r="M36"/>
  <c r="H36"/>
  <c r="G36"/>
  <c r="O35"/>
  <c r="N35"/>
  <c r="K35"/>
  <c r="L35"/>
  <c r="J35"/>
  <c r="I35"/>
  <c r="M35"/>
  <c r="H35"/>
  <c r="G35"/>
  <c r="O34"/>
  <c r="N34"/>
  <c r="K34"/>
  <c r="L34"/>
  <c r="J34"/>
  <c r="I34"/>
  <c r="M34"/>
  <c r="H34"/>
  <c r="G34"/>
  <c r="O33"/>
  <c r="N33"/>
  <c r="L33"/>
  <c r="K33"/>
  <c r="J33"/>
  <c r="I33"/>
  <c r="M33"/>
  <c r="H33"/>
  <c r="G33"/>
  <c r="N30"/>
  <c r="L30"/>
  <c r="K30"/>
  <c r="J30"/>
  <c r="I30"/>
  <c r="M30"/>
  <c r="H30"/>
  <c r="G30"/>
  <c r="N29"/>
  <c r="L29"/>
  <c r="K29"/>
  <c r="J29"/>
  <c r="I29"/>
  <c r="M29"/>
  <c r="H29"/>
  <c r="G29"/>
  <c r="N28"/>
  <c r="L28"/>
  <c r="K28"/>
  <c r="J28"/>
  <c r="I28"/>
  <c r="M28"/>
  <c r="H28"/>
  <c r="G28"/>
  <c r="N27"/>
  <c r="L27"/>
  <c r="K27"/>
  <c r="J27"/>
  <c r="I27"/>
  <c r="M27"/>
  <c r="H27"/>
  <c r="G27"/>
  <c r="N26"/>
  <c r="L26"/>
  <c r="K26"/>
  <c r="J26"/>
  <c r="I26"/>
  <c r="M26"/>
  <c r="H26"/>
  <c r="G26"/>
  <c r="N25"/>
  <c r="L25"/>
  <c r="K25"/>
  <c r="J25"/>
  <c r="I25"/>
  <c r="M25"/>
  <c r="H25"/>
  <c r="G25"/>
  <c r="N54" i="21"/>
  <c r="M54"/>
  <c r="J54"/>
  <c r="I54"/>
  <c r="H54"/>
  <c r="L54"/>
  <c r="G54"/>
  <c r="F54"/>
  <c r="N53"/>
  <c r="M53"/>
  <c r="J53"/>
  <c r="I53"/>
  <c r="H53"/>
  <c r="L53"/>
  <c r="G53"/>
  <c r="F53"/>
  <c r="N52"/>
  <c r="M52"/>
  <c r="J52"/>
  <c r="I52"/>
  <c r="H52"/>
  <c r="L52"/>
  <c r="G52"/>
  <c r="F52"/>
  <c r="N51"/>
  <c r="M51"/>
  <c r="J51"/>
  <c r="I51"/>
  <c r="H51"/>
  <c r="L51"/>
  <c r="G51"/>
  <c r="F51"/>
  <c r="N50"/>
  <c r="M50"/>
  <c r="J50"/>
  <c r="I50"/>
  <c r="H50"/>
  <c r="L50"/>
  <c r="G50"/>
  <c r="F50"/>
  <c r="N48"/>
  <c r="M48"/>
  <c r="L48"/>
  <c r="J48"/>
  <c r="I48"/>
  <c r="G48"/>
  <c r="F48"/>
  <c r="N47"/>
  <c r="M47"/>
  <c r="L47"/>
  <c r="J47"/>
  <c r="I47"/>
  <c r="G47"/>
  <c r="F47"/>
  <c r="N46"/>
  <c r="M46"/>
  <c r="L46"/>
  <c r="J46"/>
  <c r="I46"/>
  <c r="G46"/>
  <c r="F46"/>
  <c r="N45"/>
  <c r="M45"/>
  <c r="L45"/>
  <c r="J45"/>
  <c r="I45"/>
  <c r="G45"/>
  <c r="F45"/>
  <c r="N44"/>
  <c r="M44"/>
  <c r="L44"/>
  <c r="J44"/>
  <c r="I44"/>
  <c r="G44"/>
  <c r="F44"/>
  <c r="N43"/>
  <c r="M43"/>
  <c r="L43"/>
  <c r="J43"/>
  <c r="I43"/>
  <c r="G43"/>
  <c r="F43"/>
  <c r="N42"/>
  <c r="M42"/>
  <c r="L42"/>
  <c r="J42"/>
  <c r="I42"/>
  <c r="G42"/>
  <c r="F42"/>
  <c r="N41"/>
  <c r="M41"/>
  <c r="L41"/>
  <c r="J41"/>
  <c r="I41"/>
  <c r="G41"/>
  <c r="F41"/>
  <c r="N39"/>
  <c r="M39"/>
  <c r="K39"/>
  <c r="J39"/>
  <c r="I39"/>
  <c r="H39"/>
  <c r="L39"/>
  <c r="G39"/>
  <c r="F39"/>
  <c r="E39"/>
  <c r="N38"/>
  <c r="M38"/>
  <c r="K38"/>
  <c r="J38"/>
  <c r="I38"/>
  <c r="H38"/>
  <c r="L38"/>
  <c r="G38"/>
  <c r="F38"/>
  <c r="E38"/>
  <c r="N37"/>
  <c r="M37"/>
  <c r="K37"/>
  <c r="J37"/>
  <c r="I37"/>
  <c r="H37"/>
  <c r="L37"/>
  <c r="G37"/>
  <c r="F37"/>
  <c r="E37"/>
  <c r="N36"/>
  <c r="M36"/>
  <c r="K36"/>
  <c r="J36"/>
  <c r="I36"/>
  <c r="H36"/>
  <c r="L36"/>
  <c r="G36"/>
  <c r="F36"/>
  <c r="E36"/>
  <c r="N35"/>
  <c r="M35"/>
  <c r="K35"/>
  <c r="J35"/>
  <c r="I35"/>
  <c r="H35"/>
  <c r="L35"/>
  <c r="G35"/>
  <c r="F35"/>
  <c r="E35"/>
  <c r="N34"/>
  <c r="M34"/>
  <c r="K34"/>
  <c r="J34"/>
  <c r="I34"/>
  <c r="H34"/>
  <c r="L34"/>
  <c r="G34"/>
  <c r="F34"/>
  <c r="E34"/>
  <c r="N32"/>
  <c r="M32"/>
  <c r="K32"/>
  <c r="J32"/>
  <c r="I32"/>
  <c r="H32"/>
  <c r="L32"/>
  <c r="G32"/>
  <c r="F32"/>
  <c r="E32"/>
  <c r="N31"/>
  <c r="M31"/>
  <c r="K31"/>
  <c r="J31"/>
  <c r="I31"/>
  <c r="H31"/>
  <c r="L31"/>
  <c r="G31"/>
  <c r="F31"/>
  <c r="E31"/>
  <c r="N30"/>
  <c r="M30"/>
  <c r="K30"/>
  <c r="J30"/>
  <c r="I30"/>
  <c r="H30"/>
  <c r="L30"/>
  <c r="G30"/>
  <c r="F30"/>
  <c r="E30"/>
  <c r="N29"/>
  <c r="M29"/>
  <c r="K29"/>
  <c r="J29"/>
  <c r="I29"/>
  <c r="H29"/>
  <c r="L29"/>
  <c r="G29"/>
  <c r="F29"/>
  <c r="E29"/>
  <c r="N28"/>
  <c r="M28"/>
  <c r="K28"/>
  <c r="J28"/>
  <c r="I28"/>
  <c r="H28"/>
  <c r="L28"/>
  <c r="G28"/>
  <c r="F28"/>
  <c r="E28"/>
  <c r="N27"/>
  <c r="M27"/>
  <c r="K27"/>
  <c r="J27"/>
  <c r="I27"/>
  <c r="H27"/>
  <c r="L27"/>
  <c r="G27"/>
  <c r="F27"/>
  <c r="E27"/>
  <c r="N26"/>
  <c r="M26"/>
  <c r="K26"/>
  <c r="J26"/>
  <c r="I26"/>
  <c r="H26"/>
  <c r="L26"/>
  <c r="G26"/>
  <c r="F26"/>
  <c r="E26"/>
  <c r="N25"/>
  <c r="M25"/>
  <c r="K25"/>
  <c r="J25"/>
  <c r="I25"/>
  <c r="H25"/>
  <c r="L25"/>
  <c r="G25"/>
  <c r="F25"/>
  <c r="E25"/>
  <c r="N24"/>
  <c r="M24"/>
  <c r="K24"/>
  <c r="J24"/>
  <c r="I24"/>
  <c r="H24"/>
  <c r="L24"/>
  <c r="G24"/>
  <c r="F24"/>
  <c r="E24"/>
  <c r="N23"/>
  <c r="M23"/>
  <c r="K23"/>
  <c r="J23"/>
  <c r="I23"/>
  <c r="H23"/>
  <c r="L23"/>
  <c r="G23"/>
  <c r="F23"/>
  <c r="E23"/>
  <c r="N22"/>
  <c r="M22"/>
  <c r="K22"/>
  <c r="J22"/>
  <c r="I22"/>
  <c r="H22"/>
  <c r="L22"/>
  <c r="G22"/>
  <c r="F22"/>
  <c r="E22"/>
  <c r="N21"/>
  <c r="M21"/>
  <c r="K21"/>
  <c r="J21"/>
  <c r="I21"/>
  <c r="H21"/>
  <c r="L21"/>
  <c r="G21"/>
  <c r="F21"/>
  <c r="E21"/>
  <c r="N20"/>
  <c r="M20"/>
  <c r="K20"/>
  <c r="J20"/>
  <c r="I20"/>
  <c r="H20"/>
  <c r="L20"/>
  <c r="G20"/>
  <c r="F20"/>
  <c r="E20"/>
  <c r="N19"/>
  <c r="M19"/>
  <c r="K19"/>
  <c r="J19"/>
  <c r="I19"/>
  <c r="H19"/>
  <c r="L19"/>
  <c r="G19"/>
  <c r="F19"/>
  <c r="E19"/>
  <c r="N18"/>
  <c r="M18"/>
  <c r="K18"/>
  <c r="J18"/>
  <c r="I18"/>
  <c r="H18"/>
  <c r="L18"/>
  <c r="G18"/>
  <c r="F18"/>
  <c r="E18"/>
  <c r="N17"/>
  <c r="M17"/>
  <c r="K17"/>
  <c r="J17"/>
  <c r="I17"/>
  <c r="H17"/>
  <c r="L17"/>
  <c r="G17"/>
  <c r="F17"/>
  <c r="E17"/>
  <c r="N16"/>
  <c r="M16"/>
  <c r="K16"/>
  <c r="J16"/>
  <c r="I16"/>
  <c r="H16"/>
  <c r="L16"/>
  <c r="G16"/>
  <c r="F16"/>
  <c r="E16"/>
  <c r="N15"/>
  <c r="M15"/>
  <c r="K15"/>
  <c r="J15"/>
  <c r="I15"/>
  <c r="H15"/>
  <c r="L15"/>
  <c r="G15"/>
  <c r="F15"/>
  <c r="E15"/>
  <c r="N14"/>
  <c r="M14"/>
  <c r="K14"/>
  <c r="J14"/>
  <c r="I14"/>
  <c r="H14"/>
  <c r="L14"/>
  <c r="G14"/>
  <c r="F14"/>
  <c r="E14"/>
  <c r="N13"/>
  <c r="M13"/>
  <c r="K13"/>
  <c r="J13"/>
  <c r="I13"/>
  <c r="H13"/>
  <c r="L13"/>
  <c r="G13"/>
  <c r="F13"/>
  <c r="E13"/>
  <c r="N12"/>
  <c r="M12"/>
  <c r="K12"/>
  <c r="J12"/>
  <c r="I12"/>
  <c r="H12"/>
  <c r="L12"/>
  <c r="G12"/>
  <c r="F12"/>
  <c r="E12"/>
  <c r="N11"/>
  <c r="M11"/>
  <c r="K11"/>
  <c r="J11"/>
  <c r="I11"/>
  <c r="H11"/>
  <c r="L11"/>
  <c r="G11"/>
  <c r="F11"/>
  <c r="E11"/>
  <c r="N10"/>
  <c r="M10"/>
  <c r="K10"/>
  <c r="J10"/>
  <c r="I10"/>
  <c r="H10"/>
  <c r="L10"/>
  <c r="G10"/>
  <c r="F10"/>
  <c r="E10"/>
  <c r="N9"/>
  <c r="M9"/>
  <c r="K9"/>
  <c r="J9"/>
  <c r="I9"/>
  <c r="H9"/>
  <c r="L9"/>
  <c r="G9"/>
  <c r="F9"/>
  <c r="E9"/>
  <c r="R55" i="20"/>
  <c r="P55"/>
  <c r="O55"/>
  <c r="N55"/>
  <c r="L55"/>
  <c r="K55"/>
  <c r="I55"/>
  <c r="H55"/>
  <c r="G55"/>
  <c r="F55"/>
  <c r="R54"/>
  <c r="P54"/>
  <c r="N54"/>
  <c r="L54"/>
  <c r="K54"/>
  <c r="I54"/>
  <c r="O54"/>
  <c r="H54"/>
  <c r="G54"/>
  <c r="F54"/>
  <c r="G53"/>
  <c r="P51"/>
  <c r="N51"/>
  <c r="L51"/>
  <c r="K51"/>
  <c r="I51"/>
  <c r="O51"/>
  <c r="H51"/>
  <c r="G51"/>
  <c r="F51"/>
  <c r="P50"/>
  <c r="N50"/>
  <c r="L50"/>
  <c r="K50"/>
  <c r="I50"/>
  <c r="O50"/>
  <c r="H50"/>
  <c r="G50"/>
  <c r="F50"/>
  <c r="P49"/>
  <c r="N49"/>
  <c r="L49"/>
  <c r="K49"/>
  <c r="I49"/>
  <c r="O49"/>
  <c r="H49"/>
  <c r="G49"/>
  <c r="F49"/>
  <c r="P48"/>
  <c r="N48"/>
  <c r="L48"/>
  <c r="K48"/>
  <c r="I48"/>
  <c r="O48"/>
  <c r="H48"/>
  <c r="G48"/>
  <c r="F48"/>
  <c r="P47"/>
  <c r="N47"/>
  <c r="L47"/>
  <c r="K47"/>
  <c r="I47"/>
  <c r="O47"/>
  <c r="H47"/>
  <c r="G47"/>
  <c r="F47"/>
  <c r="P45"/>
  <c r="N45"/>
  <c r="L45"/>
  <c r="K45"/>
  <c r="I45"/>
  <c r="O45"/>
  <c r="H45"/>
  <c r="G45"/>
  <c r="F45"/>
  <c r="P44"/>
  <c r="N44"/>
  <c r="L44"/>
  <c r="K44"/>
  <c r="I44"/>
  <c r="O44"/>
  <c r="H44"/>
  <c r="G44"/>
  <c r="F44"/>
  <c r="P43"/>
  <c r="N43"/>
  <c r="L43"/>
  <c r="K43"/>
  <c r="I43"/>
  <c r="O43"/>
  <c r="H43"/>
  <c r="G43"/>
  <c r="F43"/>
  <c r="P42"/>
  <c r="N42"/>
  <c r="L42"/>
  <c r="K42"/>
  <c r="I42"/>
  <c r="O42"/>
  <c r="H42"/>
  <c r="G42"/>
  <c r="F42"/>
  <c r="P41"/>
  <c r="N41"/>
  <c r="L41"/>
  <c r="K41"/>
  <c r="I41"/>
  <c r="O41"/>
  <c r="H41"/>
  <c r="G41"/>
  <c r="F41"/>
  <c r="P40"/>
  <c r="N40"/>
  <c r="L40"/>
  <c r="K40"/>
  <c r="I40"/>
  <c r="O40"/>
  <c r="H40"/>
  <c r="G40"/>
  <c r="F40"/>
  <c r="P39"/>
  <c r="N39"/>
  <c r="L39"/>
  <c r="K39"/>
  <c r="I39"/>
  <c r="O39"/>
  <c r="H39"/>
  <c r="G39"/>
  <c r="F39"/>
  <c r="P38"/>
  <c r="N38"/>
  <c r="L38"/>
  <c r="K38"/>
  <c r="I38"/>
  <c r="O38"/>
  <c r="H38"/>
  <c r="G38"/>
  <c r="F38"/>
  <c r="P37"/>
  <c r="N37"/>
  <c r="L37"/>
  <c r="K37"/>
  <c r="I37"/>
  <c r="O37"/>
  <c r="H37"/>
  <c r="G37"/>
  <c r="F37"/>
  <c r="G36"/>
  <c r="P34"/>
  <c r="N34"/>
  <c r="L34"/>
  <c r="K34"/>
  <c r="I34"/>
  <c r="O34"/>
  <c r="H34"/>
  <c r="G34"/>
  <c r="F34"/>
  <c r="P33"/>
  <c r="N33"/>
  <c r="L33"/>
  <c r="K33"/>
  <c r="I33"/>
  <c r="O33"/>
  <c r="H33"/>
  <c r="G33"/>
  <c r="F33"/>
  <c r="P32"/>
  <c r="N32"/>
  <c r="L32"/>
  <c r="K32"/>
  <c r="I32"/>
  <c r="O32"/>
  <c r="H32"/>
  <c r="G32"/>
  <c r="F32"/>
  <c r="P31"/>
  <c r="N31"/>
  <c r="L31"/>
  <c r="K31"/>
  <c r="I31"/>
  <c r="O31"/>
  <c r="H31"/>
  <c r="G31"/>
  <c r="F31"/>
  <c r="P30"/>
  <c r="N30"/>
  <c r="L30"/>
  <c r="K30"/>
  <c r="I30"/>
  <c r="O30"/>
  <c r="H30"/>
  <c r="G30"/>
  <c r="F30"/>
  <c r="P29"/>
  <c r="N29"/>
  <c r="L29"/>
  <c r="K29"/>
  <c r="I29"/>
  <c r="O29"/>
  <c r="H29"/>
  <c r="G29"/>
  <c r="F29"/>
  <c r="P28"/>
  <c r="N28"/>
  <c r="L28"/>
  <c r="K28"/>
  <c r="I28"/>
  <c r="O28"/>
  <c r="H28"/>
  <c r="G28"/>
  <c r="F28"/>
  <c r="P27"/>
  <c r="N27"/>
  <c r="L27"/>
  <c r="K27"/>
  <c r="I27"/>
  <c r="O27"/>
  <c r="H27"/>
  <c r="G27"/>
  <c r="F27"/>
  <c r="P26"/>
  <c r="N26"/>
  <c r="L26"/>
  <c r="K26"/>
  <c r="I26"/>
  <c r="O26"/>
  <c r="H26"/>
  <c r="G26"/>
  <c r="F26"/>
  <c r="P25"/>
  <c r="N25"/>
  <c r="L25"/>
  <c r="K25"/>
  <c r="I25"/>
  <c r="O25"/>
  <c r="H25"/>
  <c r="G25"/>
  <c r="F25"/>
  <c r="P24"/>
  <c r="N24"/>
  <c r="L24"/>
  <c r="K24"/>
  <c r="I24"/>
  <c r="O24"/>
  <c r="H24"/>
  <c r="G24"/>
  <c r="F24"/>
  <c r="P23"/>
  <c r="N23"/>
  <c r="L23"/>
  <c r="K23"/>
  <c r="I23"/>
  <c r="O23"/>
  <c r="H23"/>
  <c r="G23"/>
  <c r="F23"/>
  <c r="P22"/>
  <c r="N22"/>
  <c r="L22"/>
  <c r="K22"/>
  <c r="I22"/>
  <c r="O22"/>
  <c r="H22"/>
  <c r="G22"/>
  <c r="F22"/>
  <c r="P21"/>
  <c r="N21"/>
  <c r="L21"/>
  <c r="K21"/>
  <c r="I21"/>
  <c r="O21"/>
  <c r="H21"/>
  <c r="G21"/>
  <c r="P20"/>
  <c r="N20"/>
  <c r="L20"/>
  <c r="K20"/>
  <c r="I20"/>
  <c r="O20"/>
  <c r="H20"/>
  <c r="G20"/>
  <c r="P19"/>
  <c r="O19"/>
  <c r="L19"/>
  <c r="K19"/>
  <c r="I19"/>
  <c r="H19"/>
  <c r="G19"/>
  <c r="P18"/>
  <c r="L18"/>
  <c r="K18"/>
  <c r="I18"/>
  <c r="O18"/>
  <c r="H18"/>
  <c r="G18"/>
  <c r="P17"/>
  <c r="O17"/>
  <c r="L17"/>
  <c r="K17"/>
  <c r="I17"/>
  <c r="H17"/>
  <c r="G17"/>
  <c r="P16"/>
  <c r="L16"/>
  <c r="K16"/>
  <c r="I16"/>
  <c r="O16"/>
  <c r="H16"/>
  <c r="G16"/>
  <c r="P15"/>
  <c r="N15"/>
  <c r="L15"/>
  <c r="K15"/>
  <c r="I15"/>
  <c r="O15"/>
  <c r="H15"/>
  <c r="G15"/>
  <c r="F15"/>
  <c r="P14"/>
  <c r="N14"/>
  <c r="L14"/>
  <c r="K14"/>
  <c r="I14"/>
  <c r="O14"/>
  <c r="H14"/>
  <c r="G14"/>
  <c r="F14"/>
  <c r="P13"/>
  <c r="N13"/>
  <c r="L13"/>
  <c r="K13"/>
  <c r="I13"/>
  <c r="O13"/>
  <c r="H13"/>
  <c r="G13"/>
  <c r="F13"/>
  <c r="P12"/>
  <c r="N12"/>
  <c r="L12"/>
  <c r="K12"/>
  <c r="I12"/>
  <c r="O12"/>
  <c r="H12"/>
  <c r="G12"/>
  <c r="F12"/>
  <c r="P11"/>
  <c r="N11"/>
  <c r="L11"/>
  <c r="K11"/>
  <c r="I11"/>
  <c r="O11"/>
  <c r="H11"/>
  <c r="G11"/>
  <c r="F11"/>
  <c r="P10"/>
  <c r="N10"/>
  <c r="L10"/>
  <c r="K10"/>
  <c r="I10"/>
  <c r="O10"/>
  <c r="H10"/>
  <c r="G10"/>
  <c r="F10"/>
  <c r="P9"/>
  <c r="N9"/>
  <c r="L9"/>
  <c r="K9"/>
  <c r="I9"/>
  <c r="O9"/>
  <c r="H9"/>
  <c r="G9"/>
  <c r="F9"/>
  <c r="I38" i="25"/>
  <c r="J38"/>
  <c r="I37"/>
  <c r="J37"/>
  <c r="I36"/>
  <c r="J36"/>
  <c r="I35"/>
  <c r="J35"/>
  <c r="I34"/>
  <c r="J34"/>
  <c r="I33"/>
  <c r="J33"/>
  <c r="I32"/>
  <c r="J32"/>
  <c r="I31"/>
  <c r="J31"/>
  <c r="I30"/>
  <c r="J30"/>
  <c r="I29"/>
  <c r="J29"/>
  <c r="I28"/>
  <c r="J28"/>
  <c r="I27"/>
  <c r="J27"/>
  <c r="I26"/>
  <c r="J26"/>
  <c r="I25"/>
  <c r="J25"/>
  <c r="I24"/>
  <c r="J24"/>
  <c r="I23"/>
  <c r="J23"/>
  <c r="I22"/>
  <c r="J22"/>
  <c r="I21"/>
  <c r="J21"/>
  <c r="I20"/>
  <c r="J20"/>
  <c r="I19"/>
  <c r="J19"/>
  <c r="I18"/>
  <c r="J18"/>
  <c r="I17"/>
  <c r="J17"/>
  <c r="I16"/>
  <c r="J16"/>
  <c r="I15"/>
  <c r="J15"/>
  <c r="I14"/>
  <c r="J14"/>
  <c r="I13"/>
  <c r="J13"/>
  <c r="I12"/>
  <c r="J12"/>
  <c r="I11"/>
  <c r="J11"/>
  <c r="I10"/>
  <c r="J10"/>
  <c r="I9"/>
  <c r="J9"/>
  <c r="I8"/>
  <c r="J8"/>
  <c r="H21" i="32"/>
  <c r="H20"/>
  <c r="H19"/>
  <c r="H18"/>
  <c r="H17"/>
  <c r="H16"/>
  <c r="H15"/>
  <c r="H12"/>
  <c r="H11"/>
  <c r="H8"/>
  <c r="H9"/>
  <c r="H10"/>
  <c r="H946" i="18"/>
  <c r="H947"/>
  <c r="H948"/>
  <c r="H949"/>
  <c r="H950"/>
  <c r="H952"/>
  <c r="H953"/>
  <c r="H954"/>
  <c r="H955"/>
  <c r="H956"/>
  <c r="H957"/>
  <c r="H959"/>
  <c r="H960"/>
  <c r="H961"/>
  <c r="H962"/>
  <c r="H963"/>
  <c r="H964"/>
  <c r="H966"/>
  <c r="H967"/>
  <c r="H968"/>
  <c r="H969"/>
  <c r="H970"/>
  <c r="H971"/>
  <c r="H973"/>
  <c r="H974"/>
  <c r="H975"/>
  <c r="H976"/>
  <c r="H977"/>
  <c r="H978"/>
  <c r="H980"/>
  <c r="H981"/>
  <c r="H982"/>
  <c r="H983"/>
  <c r="H984"/>
  <c r="H985"/>
  <c r="H987"/>
  <c r="H988"/>
  <c r="H989"/>
  <c r="H990"/>
  <c r="H991"/>
  <c r="H992"/>
  <c r="H994"/>
  <c r="H995"/>
  <c r="H996"/>
  <c r="H945"/>
  <c r="H925"/>
  <c r="H926"/>
  <c r="H927"/>
  <c r="H928"/>
  <c r="H929"/>
  <c r="H930"/>
  <c r="H931"/>
  <c r="H932"/>
  <c r="H933"/>
  <c r="H935"/>
  <c r="H936"/>
  <c r="H937"/>
  <c r="H938"/>
  <c r="H939"/>
  <c r="H940"/>
  <c r="H941"/>
  <c r="H924"/>
  <c r="H913"/>
  <c r="H914"/>
  <c r="H915"/>
  <c r="H916"/>
  <c r="H917"/>
  <c r="H918"/>
  <c r="H920"/>
  <c r="H912"/>
  <c r="H893"/>
  <c r="H894"/>
  <c r="H895"/>
  <c r="H896"/>
  <c r="H897"/>
  <c r="H898"/>
  <c r="H900"/>
  <c r="H903"/>
  <c r="H904"/>
  <c r="H905"/>
  <c r="H906"/>
  <c r="H907"/>
  <c r="H908"/>
  <c r="H892"/>
  <c r="H888"/>
  <c r="H885"/>
  <c r="H872"/>
  <c r="H875"/>
  <c r="H876"/>
  <c r="H877"/>
  <c r="H880"/>
  <c r="H881"/>
  <c r="H882"/>
  <c r="H871"/>
  <c r="H853"/>
  <c r="H854"/>
  <c r="H855"/>
  <c r="H856"/>
  <c r="H858"/>
  <c r="H859"/>
  <c r="H860"/>
  <c r="H861"/>
  <c r="H862"/>
  <c r="H864"/>
  <c r="H865"/>
  <c r="H866"/>
  <c r="H867"/>
  <c r="H868"/>
  <c r="H852"/>
  <c r="H848"/>
  <c r="H847"/>
  <c r="H839"/>
  <c r="H840"/>
  <c r="H841"/>
  <c r="H842"/>
  <c r="H843"/>
  <c r="H844"/>
  <c r="H838"/>
  <c r="H829"/>
  <c r="H830"/>
  <c r="H831"/>
  <c r="H832"/>
  <c r="H833"/>
  <c r="H834"/>
  <c r="H835"/>
  <c r="H828"/>
  <c r="H809"/>
  <c r="H810"/>
  <c r="H811"/>
  <c r="H812"/>
  <c r="H813"/>
  <c r="H815"/>
  <c r="H816"/>
  <c r="H817"/>
  <c r="H818"/>
  <c r="H819"/>
  <c r="H820"/>
  <c r="H822"/>
  <c r="H808"/>
  <c r="H754"/>
  <c r="H755"/>
  <c r="H756"/>
  <c r="H757"/>
  <c r="H758"/>
  <c r="H760"/>
  <c r="H764"/>
  <c r="H765"/>
  <c r="H766"/>
  <c r="H767"/>
  <c r="H768"/>
  <c r="H769"/>
  <c r="H771"/>
  <c r="H775"/>
  <c r="H776"/>
  <c r="H777"/>
  <c r="H778"/>
  <c r="H779"/>
  <c r="H780"/>
  <c r="H782"/>
  <c r="H783"/>
  <c r="H784"/>
  <c r="H785"/>
  <c r="H786"/>
  <c r="H787"/>
  <c r="H789"/>
  <c r="H790"/>
  <c r="H791"/>
  <c r="H792"/>
  <c r="H793"/>
  <c r="H794"/>
  <c r="H796"/>
  <c r="H797"/>
  <c r="H798"/>
  <c r="H799"/>
  <c r="H800"/>
  <c r="H801"/>
  <c r="H803"/>
  <c r="H753"/>
  <c r="H724"/>
  <c r="H725"/>
  <c r="H726"/>
  <c r="H727"/>
  <c r="H728"/>
  <c r="H730"/>
  <c r="H731"/>
  <c r="H732"/>
  <c r="H733"/>
  <c r="H734"/>
  <c r="H735"/>
  <c r="H737"/>
  <c r="H738"/>
  <c r="H739"/>
  <c r="H740"/>
  <c r="H741"/>
  <c r="H742"/>
  <c r="H744"/>
  <c r="H745"/>
  <c r="H746"/>
  <c r="H747"/>
  <c r="H748"/>
  <c r="H749"/>
  <c r="H723"/>
  <c r="H641"/>
  <c r="H643"/>
  <c r="H644"/>
  <c r="H645"/>
  <c r="H646"/>
  <c r="H647"/>
  <c r="H648"/>
  <c r="H650"/>
  <c r="H651"/>
  <c r="H652"/>
  <c r="H653"/>
  <c r="H654"/>
  <c r="H655"/>
  <c r="H656"/>
  <c r="H658"/>
  <c r="H659"/>
  <c r="H660"/>
  <c r="H661"/>
  <c r="H662"/>
  <c r="H663"/>
  <c r="H664"/>
  <c r="H666"/>
  <c r="H667"/>
  <c r="H668"/>
  <c r="H669"/>
  <c r="H670"/>
  <c r="H671"/>
  <c r="H673"/>
  <c r="H674"/>
  <c r="H675"/>
  <c r="H676"/>
  <c r="H677"/>
  <c r="H678"/>
  <c r="H679"/>
  <c r="H681"/>
  <c r="H682"/>
  <c r="H683"/>
  <c r="H684"/>
  <c r="H685"/>
  <c r="H686"/>
  <c r="H687"/>
  <c r="H690"/>
  <c r="H691"/>
  <c r="H692"/>
  <c r="H693"/>
  <c r="H694"/>
  <c r="H695"/>
  <c r="H697"/>
  <c r="H698"/>
  <c r="H699"/>
  <c r="H700"/>
  <c r="H701"/>
  <c r="H702"/>
  <c r="H703"/>
  <c r="H705"/>
  <c r="H706"/>
  <c r="H707"/>
  <c r="H708"/>
  <c r="H709"/>
  <c r="H710"/>
  <c r="H711"/>
  <c r="H713"/>
  <c r="H714"/>
  <c r="H715"/>
  <c r="H716"/>
  <c r="H717"/>
  <c r="H718"/>
  <c r="H719"/>
  <c r="H638"/>
  <c r="H612"/>
  <c r="H613"/>
  <c r="H614"/>
  <c r="H615"/>
  <c r="H616"/>
  <c r="H617"/>
  <c r="H619"/>
  <c r="H620"/>
  <c r="H621"/>
  <c r="H622"/>
  <c r="H623"/>
  <c r="H624"/>
  <c r="H626"/>
  <c r="H627"/>
  <c r="H628"/>
  <c r="H629"/>
  <c r="H630"/>
  <c r="H631"/>
  <c r="H632"/>
  <c r="H634"/>
  <c r="H611"/>
  <c r="H535"/>
  <c r="H537"/>
  <c r="H538"/>
  <c r="H539"/>
  <c r="H540"/>
  <c r="H541"/>
  <c r="H542"/>
  <c r="H544"/>
  <c r="H545"/>
  <c r="H546"/>
  <c r="H547"/>
  <c r="H548"/>
  <c r="H549"/>
  <c r="H551"/>
  <c r="H552"/>
  <c r="H553"/>
  <c r="H554"/>
  <c r="H555"/>
  <c r="H556"/>
  <c r="H558"/>
  <c r="H559"/>
  <c r="H560"/>
  <c r="H561"/>
  <c r="H562"/>
  <c r="H563"/>
  <c r="H564"/>
  <c r="H566"/>
  <c r="H567"/>
  <c r="H568"/>
  <c r="H569"/>
  <c r="H570"/>
  <c r="H571"/>
  <c r="H573"/>
  <c r="H574"/>
  <c r="H575"/>
  <c r="H576"/>
  <c r="H577"/>
  <c r="H578"/>
  <c r="H580"/>
  <c r="H581"/>
  <c r="H582"/>
  <c r="H583"/>
  <c r="H584"/>
  <c r="H585"/>
  <c r="H586"/>
  <c r="H588"/>
  <c r="H589"/>
  <c r="H590"/>
  <c r="H591"/>
  <c r="H592"/>
  <c r="H593"/>
  <c r="H595"/>
  <c r="H596"/>
  <c r="H597"/>
  <c r="H598"/>
  <c r="H599"/>
  <c r="H600"/>
  <c r="H602"/>
  <c r="H603"/>
  <c r="H604"/>
  <c r="H605"/>
  <c r="H606"/>
  <c r="H607"/>
  <c r="H532"/>
  <c r="H503"/>
  <c r="H504"/>
  <c r="H505"/>
  <c r="H506"/>
  <c r="H507"/>
  <c r="H509"/>
  <c r="H510"/>
  <c r="H511"/>
  <c r="H512"/>
  <c r="H513"/>
  <c r="H514"/>
  <c r="H516"/>
  <c r="H517"/>
  <c r="H518"/>
  <c r="H519"/>
  <c r="H520"/>
  <c r="H521"/>
  <c r="H523"/>
  <c r="H524"/>
  <c r="H525"/>
  <c r="H526"/>
  <c r="H527"/>
  <c r="H528"/>
  <c r="H502"/>
  <c r="H494"/>
  <c r="H495"/>
  <c r="H496"/>
  <c r="H497"/>
  <c r="H498"/>
  <c r="H493"/>
  <c r="H450"/>
  <c r="H451"/>
  <c r="H452"/>
  <c r="H453"/>
  <c r="H454"/>
  <c r="H456"/>
  <c r="H457"/>
  <c r="H458"/>
  <c r="H459"/>
  <c r="H460"/>
  <c r="H461"/>
  <c r="H463"/>
  <c r="H464"/>
  <c r="H465"/>
  <c r="H466"/>
  <c r="H467"/>
  <c r="H468"/>
  <c r="H470"/>
  <c r="H471"/>
  <c r="H472"/>
  <c r="H473"/>
  <c r="H474"/>
  <c r="H475"/>
  <c r="H477"/>
  <c r="H478"/>
  <c r="H479"/>
  <c r="H480"/>
  <c r="H481"/>
  <c r="H482"/>
  <c r="H484"/>
  <c r="H485"/>
  <c r="H486"/>
  <c r="H487"/>
  <c r="H488"/>
  <c r="H489"/>
  <c r="H449"/>
  <c r="H431"/>
  <c r="H432"/>
  <c r="H433"/>
  <c r="H434"/>
  <c r="H435"/>
  <c r="H436"/>
  <c r="H437"/>
  <c r="H439"/>
  <c r="H440"/>
  <c r="H441"/>
  <c r="H442"/>
  <c r="H443"/>
  <c r="H444"/>
  <c r="H445"/>
  <c r="H430"/>
  <c r="H419"/>
  <c r="H420"/>
  <c r="H421"/>
  <c r="H422"/>
  <c r="H423"/>
  <c r="H424"/>
  <c r="H425"/>
  <c r="H426"/>
  <c r="H427"/>
  <c r="H428"/>
  <c r="H418"/>
  <c r="H410"/>
  <c r="H411"/>
  <c r="H412"/>
  <c r="H413"/>
  <c r="H414"/>
  <c r="H415"/>
  <c r="H416"/>
  <c r="H409"/>
  <c r="H390"/>
  <c r="H391"/>
  <c r="H392"/>
  <c r="H393"/>
  <c r="H394"/>
  <c r="H395"/>
  <c r="H396"/>
  <c r="H370"/>
  <c r="H371"/>
  <c r="H372"/>
  <c r="H373"/>
  <c r="H374"/>
  <c r="H375"/>
  <c r="H376"/>
  <c r="H378"/>
  <c r="H380"/>
  <c r="H382"/>
  <c r="H383"/>
  <c r="H384"/>
  <c r="H385"/>
  <c r="H386"/>
  <c r="H387"/>
  <c r="H369"/>
  <c r="H389"/>
  <c r="H398"/>
  <c r="H399"/>
  <c r="H400"/>
  <c r="H401"/>
  <c r="H402"/>
  <c r="H403"/>
  <c r="H404"/>
  <c r="H405"/>
  <c r="H361"/>
  <c r="H362"/>
  <c r="H363"/>
  <c r="H364"/>
  <c r="H365"/>
  <c r="H366"/>
  <c r="H367"/>
  <c r="H360"/>
  <c r="H350"/>
  <c r="H351"/>
  <c r="H352"/>
  <c r="H353"/>
  <c r="H354"/>
  <c r="H355"/>
  <c r="H356"/>
  <c r="H357"/>
  <c r="H349"/>
  <c r="H338"/>
  <c r="H333"/>
  <c r="H334"/>
  <c r="H336"/>
  <c r="H341"/>
  <c r="H342"/>
  <c r="H344"/>
  <c r="H346"/>
  <c r="H332"/>
  <c r="H324"/>
  <c r="H325"/>
  <c r="H326"/>
  <c r="H327"/>
  <c r="H328"/>
  <c r="H323"/>
  <c r="H304"/>
  <c r="H305"/>
  <c r="H306"/>
  <c r="H307"/>
  <c r="H308"/>
  <c r="H309"/>
  <c r="H311"/>
  <c r="H312"/>
  <c r="H313"/>
  <c r="H314"/>
  <c r="H315"/>
  <c r="H316"/>
  <c r="H317"/>
  <c r="H318"/>
  <c r="H319"/>
  <c r="H320"/>
  <c r="H303"/>
  <c r="H294"/>
  <c r="H295"/>
  <c r="H296"/>
  <c r="H297"/>
  <c r="H298"/>
  <c r="H299"/>
  <c r="H300"/>
  <c r="H301"/>
  <c r="H293"/>
  <c r="H285"/>
  <c r="H286"/>
  <c r="H287"/>
  <c r="H288"/>
  <c r="H289"/>
  <c r="H290"/>
  <c r="H284"/>
  <c r="H268"/>
  <c r="H269"/>
  <c r="H270"/>
  <c r="H271"/>
  <c r="H272"/>
  <c r="H273"/>
  <c r="H274"/>
  <c r="H276"/>
  <c r="H277"/>
  <c r="H278"/>
  <c r="H279"/>
  <c r="H280"/>
  <c r="H281"/>
  <c r="H265"/>
  <c r="H262"/>
  <c r="H237"/>
  <c r="H238"/>
  <c r="H239"/>
  <c r="H240"/>
  <c r="H241"/>
  <c r="H243"/>
  <c r="H244"/>
  <c r="H245"/>
  <c r="H246"/>
  <c r="H247"/>
  <c r="H248"/>
  <c r="H250"/>
  <c r="H251"/>
  <c r="H252"/>
  <c r="H253"/>
  <c r="H254"/>
  <c r="H255"/>
  <c r="H257"/>
  <c r="H258"/>
  <c r="H236"/>
  <c r="H183"/>
  <c r="H184"/>
  <c r="H185"/>
  <c r="H186"/>
  <c r="H187"/>
  <c r="H189"/>
  <c r="H191"/>
  <c r="H192"/>
  <c r="H193"/>
  <c r="H194"/>
  <c r="H195"/>
  <c r="H196"/>
  <c r="H198"/>
  <c r="H199"/>
  <c r="H200"/>
  <c r="H201"/>
  <c r="H202"/>
  <c r="H203"/>
  <c r="H205"/>
  <c r="H206"/>
  <c r="H207"/>
  <c r="H208"/>
  <c r="H209"/>
  <c r="H210"/>
  <c r="H212"/>
  <c r="H213"/>
  <c r="H214"/>
  <c r="H215"/>
  <c r="H216"/>
  <c r="H217"/>
  <c r="H219"/>
  <c r="H220"/>
  <c r="H221"/>
  <c r="H222"/>
  <c r="H223"/>
  <c r="H224"/>
  <c r="H226"/>
  <c r="H227"/>
  <c r="H229"/>
  <c r="H182"/>
  <c r="H135"/>
  <c r="H136"/>
  <c r="H137"/>
  <c r="H138"/>
  <c r="H139"/>
  <c r="H141"/>
  <c r="H142"/>
  <c r="H143"/>
  <c r="H144"/>
  <c r="H145"/>
  <c r="H146"/>
  <c r="H148"/>
  <c r="H149"/>
  <c r="H151"/>
  <c r="H152"/>
  <c r="H153"/>
  <c r="H154"/>
  <c r="H155"/>
  <c r="H156"/>
  <c r="H158"/>
  <c r="H159"/>
  <c r="H160"/>
  <c r="H161"/>
  <c r="H162"/>
  <c r="H163"/>
  <c r="H165"/>
  <c r="H166"/>
  <c r="H167"/>
  <c r="H168"/>
  <c r="H169"/>
  <c r="H170"/>
  <c r="H172"/>
  <c r="H173"/>
  <c r="H174"/>
  <c r="H175"/>
  <c r="H176"/>
  <c r="H177"/>
  <c r="H179"/>
  <c r="H134"/>
  <c r="H125"/>
  <c r="H126"/>
  <c r="H127"/>
  <c r="H128"/>
  <c r="H129"/>
  <c r="H131"/>
  <c r="H124"/>
  <c r="H111"/>
  <c r="H112"/>
  <c r="H113"/>
  <c r="H114"/>
  <c r="H115"/>
  <c r="H117"/>
  <c r="H118"/>
  <c r="H119"/>
  <c r="H120"/>
  <c r="H121"/>
  <c r="H122"/>
  <c r="H110"/>
  <c r="H100"/>
  <c r="H101"/>
  <c r="H102"/>
  <c r="H103"/>
  <c r="H104"/>
  <c r="H105"/>
  <c r="H106"/>
  <c r="H107"/>
  <c r="H108"/>
  <c r="H99"/>
  <c r="H88"/>
  <c r="H89"/>
  <c r="H90"/>
  <c r="H91"/>
  <c r="H92"/>
  <c r="H93"/>
  <c r="H94"/>
  <c r="H95"/>
  <c r="H96"/>
  <c r="H97"/>
  <c r="H87"/>
  <c r="H78"/>
  <c r="H79"/>
  <c r="H80"/>
  <c r="H81"/>
  <c r="H82"/>
  <c r="H83"/>
  <c r="H84"/>
  <c r="H77"/>
  <c r="H74"/>
  <c r="H73"/>
  <c r="H65"/>
  <c r="H66"/>
  <c r="H67"/>
  <c r="H68"/>
  <c r="H69"/>
  <c r="H70"/>
  <c r="H71"/>
  <c r="H64"/>
  <c r="H32"/>
  <c r="H12"/>
  <c r="H13"/>
  <c r="H14"/>
  <c r="H15"/>
  <c r="H16"/>
  <c r="H18"/>
  <c r="H19"/>
  <c r="H20"/>
  <c r="H21"/>
  <c r="H22"/>
  <c r="H23"/>
  <c r="H24"/>
  <c r="H25"/>
  <c r="H27"/>
  <c r="H28"/>
  <c r="H29"/>
  <c r="H30"/>
  <c r="H33"/>
  <c r="H34"/>
  <c r="H35"/>
  <c r="H37"/>
  <c r="H38"/>
  <c r="H39"/>
  <c r="H40"/>
  <c r="H42"/>
  <c r="H43"/>
  <c r="H44"/>
  <c r="H45"/>
  <c r="H46"/>
  <c r="H48"/>
  <c r="H49"/>
  <c r="H50"/>
  <c r="H51"/>
  <c r="H52"/>
  <c r="H54"/>
  <c r="H55"/>
  <c r="H56"/>
  <c r="H57"/>
  <c r="H58"/>
  <c r="H60"/>
  <c r="H61"/>
  <c r="H11"/>
  <c r="H56" i="2"/>
  <c r="D56"/>
  <c r="D6" i="5"/>
  <c r="D7"/>
  <c r="D8"/>
  <c r="D9"/>
  <c r="D10"/>
  <c r="D11"/>
  <c r="D12"/>
  <c r="D4"/>
  <c r="J54" i="2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S32" i="29"/>
  <c r="V30"/>
  <c r="S30"/>
  <c r="M30"/>
  <c r="K30"/>
  <c r="M29"/>
  <c r="K29"/>
  <c r="V28"/>
  <c r="T28"/>
  <c r="S28"/>
  <c r="M28"/>
  <c r="K28"/>
  <c r="M27"/>
  <c r="K27"/>
  <c r="V26"/>
  <c r="T26"/>
  <c r="S26"/>
  <c r="M26"/>
  <c r="K26"/>
  <c r="M25"/>
  <c r="K25"/>
  <c r="V24"/>
  <c r="S24"/>
  <c r="S21"/>
  <c r="M20"/>
  <c r="K20"/>
  <c r="V19"/>
  <c r="U19"/>
  <c r="T19"/>
  <c r="S19"/>
  <c r="M19"/>
  <c r="K19"/>
  <c r="M18"/>
  <c r="K18"/>
  <c r="V17"/>
  <c r="U17"/>
  <c r="T17"/>
  <c r="S17"/>
  <c r="M17"/>
  <c r="K17"/>
  <c r="M16"/>
  <c r="K16"/>
  <c r="S15"/>
  <c r="M15"/>
  <c r="K15"/>
  <c r="V14"/>
  <c r="U14"/>
  <c r="T14"/>
  <c r="S14"/>
  <c r="V13"/>
  <c r="S13"/>
  <c r="M13"/>
  <c r="K13"/>
  <c r="M12"/>
  <c r="K12"/>
  <c r="V11"/>
  <c r="U11"/>
  <c r="T11"/>
  <c r="S11"/>
  <c r="M11"/>
  <c r="K11"/>
  <c r="V10"/>
  <c r="U10"/>
  <c r="T10"/>
  <c r="S10"/>
  <c r="M10"/>
  <c r="K10"/>
  <c r="L12" i="24"/>
  <c r="N15"/>
  <c r="J12"/>
  <c r="N19"/>
  <c r="J19"/>
  <c r="N21"/>
  <c r="J20"/>
  <c r="J15"/>
  <c r="N16"/>
  <c r="N20"/>
  <c r="J21"/>
  <c r="N12"/>
  <c r="J16"/>
  <c r="P12"/>
  <c r="M39" i="2"/>
  <c r="M37"/>
  <c r="M36"/>
  <c r="M35"/>
  <c r="M33"/>
  <c r="M32"/>
  <c r="M31"/>
  <c r="M30"/>
  <c r="M29"/>
  <c r="M28"/>
  <c r="M27"/>
  <c r="M26"/>
  <c r="M25"/>
  <c r="M24"/>
  <c r="M40"/>
  <c r="N39"/>
  <c r="N38"/>
  <c r="M38"/>
  <c r="N37"/>
  <c r="N36"/>
  <c r="N35"/>
  <c r="N33"/>
  <c r="N32"/>
  <c r="N31"/>
  <c r="N30"/>
  <c r="N29"/>
  <c r="N28"/>
  <c r="N27"/>
  <c r="N26"/>
  <c r="N25"/>
  <c r="N24"/>
  <c r="H24"/>
  <c r="H25"/>
  <c r="H26"/>
  <c r="H27"/>
  <c r="H28"/>
  <c r="H30"/>
  <c r="H31"/>
  <c r="H32"/>
  <c r="H33"/>
  <c r="H34"/>
  <c r="H35"/>
  <c r="H36"/>
  <c r="H37"/>
  <c r="H39"/>
  <c r="H40"/>
  <c r="H41"/>
  <c r="H42"/>
  <c r="H43"/>
  <c r="H44"/>
  <c r="H45"/>
  <c r="H46"/>
  <c r="P30" i="19"/>
  <c r="P29"/>
  <c r="P28"/>
  <c r="P27"/>
  <c r="P26"/>
  <c r="P25"/>
  <c r="P24"/>
  <c r="P23"/>
  <c r="Q16"/>
  <c r="P16"/>
  <c r="Q14"/>
  <c r="P14"/>
  <c r="P13"/>
  <c r="Q12"/>
  <c r="P12"/>
  <c r="Q11"/>
  <c r="P11"/>
  <c r="Q10"/>
  <c r="P10"/>
  <c r="Q9"/>
  <c r="P9"/>
  <c r="Q8"/>
  <c r="P8"/>
  <c r="G21"/>
  <c r="G19"/>
  <c r="G17"/>
  <c r="G16"/>
  <c r="G15"/>
  <c r="H14"/>
  <c r="G14"/>
  <c r="H13"/>
  <c r="G13"/>
  <c r="H12"/>
  <c r="G12"/>
  <c r="H11"/>
  <c r="G11"/>
  <c r="H10"/>
  <c r="G10"/>
  <c r="H9"/>
  <c r="G9"/>
  <c r="H8"/>
  <c r="G8"/>
  <c r="H20" i="2"/>
  <c r="H12"/>
  <c r="D20"/>
  <c r="D5" i="27"/>
  <c r="D6"/>
  <c r="D7"/>
  <c r="D8"/>
  <c r="D9"/>
  <c r="D4"/>
  <c r="M20" i="2"/>
  <c r="N5"/>
  <c r="N6"/>
  <c r="N7"/>
  <c r="N8"/>
  <c r="N9"/>
  <c r="N10"/>
  <c r="N11"/>
  <c r="N12"/>
  <c r="N13"/>
  <c r="N14"/>
  <c r="N15"/>
  <c r="N16"/>
  <c r="N17"/>
  <c r="N18"/>
  <c r="N19"/>
  <c r="M5"/>
  <c r="M6"/>
  <c r="M7"/>
  <c r="M8"/>
  <c r="M9"/>
  <c r="M10"/>
  <c r="M11"/>
  <c r="M12"/>
  <c r="M13"/>
  <c r="M14"/>
  <c r="M15"/>
  <c r="M16"/>
  <c r="M17"/>
  <c r="M18"/>
  <c r="M19"/>
  <c r="N4"/>
  <c r="M4"/>
  <c r="D5" i="1"/>
  <c r="D6"/>
  <c r="D7"/>
  <c r="D10"/>
  <c r="D11"/>
  <c r="D12"/>
  <c r="D13"/>
  <c r="D14"/>
  <c r="D15"/>
  <c r="D16"/>
  <c r="D17"/>
  <c r="D18"/>
  <c r="D19"/>
  <c r="D4"/>
  <c r="AC18" i="12"/>
  <c r="AC17"/>
  <c r="AC16"/>
  <c r="AC15"/>
  <c r="AC14"/>
  <c r="AC13"/>
  <c r="AC12"/>
  <c r="AC11"/>
  <c r="AC10"/>
  <c r="AC9"/>
  <c r="AC8"/>
  <c r="AC7"/>
  <c r="AC6"/>
  <c r="AC5"/>
  <c r="G16" i="3"/>
  <c r="G14"/>
  <c r="G15"/>
  <c r="G13"/>
  <c r="G12"/>
  <c r="G11"/>
  <c r="G10"/>
  <c r="E16"/>
  <c r="E15"/>
  <c r="E14"/>
  <c r="E13"/>
  <c r="E12"/>
  <c r="E11"/>
  <c r="E10"/>
  <c r="E9"/>
  <c r="D4"/>
  <c r="D5"/>
  <c r="D6"/>
  <c r="G9"/>
  <c r="G6"/>
  <c r="E6"/>
  <c r="G5"/>
  <c r="E5"/>
  <c r="G4"/>
  <c r="E4"/>
  <c r="H70" i="2"/>
  <c r="H69"/>
  <c r="H68"/>
  <c r="D70"/>
  <c r="D69"/>
  <c r="D68"/>
  <c r="H67"/>
  <c r="D67"/>
  <c r="H66"/>
  <c r="D66"/>
  <c r="H65"/>
  <c r="D65"/>
  <c r="H64"/>
  <c r="D64"/>
  <c r="H63"/>
  <c r="D63"/>
  <c r="H62"/>
  <c r="D62"/>
  <c r="H61"/>
  <c r="D61"/>
  <c r="H60"/>
  <c r="D60"/>
  <c r="H59"/>
  <c r="D59"/>
  <c r="H58"/>
  <c r="D58"/>
  <c r="H57"/>
  <c r="D57"/>
  <c r="H55"/>
  <c r="D55"/>
  <c r="H54"/>
  <c r="D54"/>
  <c r="H53"/>
  <c r="D53"/>
  <c r="H52"/>
  <c r="D52"/>
  <c r="H51"/>
  <c r="D51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H9"/>
  <c r="H8"/>
  <c r="H19"/>
  <c r="D19"/>
  <c r="H18"/>
  <c r="D18"/>
  <c r="H17"/>
  <c r="D17"/>
  <c r="H16"/>
  <c r="D16"/>
  <c r="H15"/>
  <c r="D15"/>
  <c r="H14"/>
  <c r="D14"/>
  <c r="H13"/>
  <c r="D13"/>
  <c r="D12"/>
  <c r="H11"/>
  <c r="D11"/>
  <c r="H10"/>
  <c r="D10"/>
  <c r="D9"/>
  <c r="D8"/>
  <c r="H7"/>
  <c r="D7"/>
  <c r="H6"/>
  <c r="D6"/>
  <c r="H5"/>
  <c r="D5"/>
  <c r="H4"/>
  <c r="D4"/>
  <c r="F5" i="3"/>
  <c r="F4"/>
  <c r="H4"/>
  <c r="F6"/>
  <c r="I13"/>
  <c r="H5"/>
  <c r="H6"/>
  <c r="I11"/>
  <c r="I12"/>
  <c r="I9"/>
  <c r="I16"/>
  <c r="I10"/>
  <c r="I14"/>
  <c r="I4"/>
  <c r="I5"/>
  <c r="I6"/>
  <c r="I15"/>
</calcChain>
</file>

<file path=xl/comments1.xml><?xml version="1.0" encoding="utf-8"?>
<comments xmlns="http://schemas.openxmlformats.org/spreadsheetml/2006/main">
  <authors>
    <author>Автор</author>
  </authors>
  <commentList>
    <comment ref="C64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77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5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76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84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</text>
    </comment>
    <comment ref="C303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11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60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89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418" authorId="0">
      <text>
        <r>
          <rPr>
            <b/>
            <sz val="9"/>
            <color indexed="81"/>
            <rFont val="Tahoma"/>
            <family val="2"/>
            <charset val="204"/>
          </rPr>
          <t>VILPE Easy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<sst xmlns="http://schemas.openxmlformats.org/spreadsheetml/2006/main" count="3905" uniqueCount="1677">
  <si>
    <t>Наименование</t>
  </si>
  <si>
    <t>Скидка диллер</t>
  </si>
  <si>
    <t>Скидка Вход</t>
  </si>
  <si>
    <t>Розница</t>
  </si>
  <si>
    <t>Остаток от диллера</t>
  </si>
  <si>
    <t>Желоб водосточный 120x86x3000</t>
  </si>
  <si>
    <t>Держатель желоба 120x86</t>
  </si>
  <si>
    <t>Заглушка желоба 120x86 правая</t>
  </si>
  <si>
    <t>Заглушка желоба 120x86 левая</t>
  </si>
  <si>
    <t>Угол желоба 120x86 наружный (сварной)</t>
  </si>
  <si>
    <t>Угол желоба 120x86 внутренний (сварной)</t>
  </si>
  <si>
    <t>Угол желоба 120x86 наружный</t>
  </si>
  <si>
    <t>Угол желоба 120x86 внутренний</t>
  </si>
  <si>
    <t>Воронка выпускная 76x102</t>
  </si>
  <si>
    <t>Труба водосточная 76x102x3000</t>
  </si>
  <si>
    <t>Труба водосточная 76x102x2000</t>
  </si>
  <si>
    <t>Труба водосточная 76x102x3000 с коленом</t>
  </si>
  <si>
    <t>Труба водосточная 76x102x1000 с коленом</t>
  </si>
  <si>
    <t>Держатель трубы 76x102 (на кирпич)</t>
  </si>
  <si>
    <t>Держатель трубы 76x102 (на дерево)</t>
  </si>
  <si>
    <t>Колено трубы 76x102 (60°)</t>
  </si>
  <si>
    <t>-</t>
  </si>
  <si>
    <r>
      <t>Наименование</t>
    </r>
    <r>
      <rPr>
        <b/>
        <sz val="11"/>
        <color indexed="8"/>
        <rFont val="Calibri"/>
        <family val="2"/>
        <charset val="204"/>
      </rPr>
      <t xml:space="preserve"> </t>
    </r>
    <r>
      <rPr>
        <b/>
        <sz val="20"/>
        <color indexed="8"/>
        <rFont val="Calibri"/>
        <family val="2"/>
        <charset val="204"/>
      </rPr>
      <t>ПЭ</t>
    </r>
  </si>
  <si>
    <r>
      <t>Наименование</t>
    </r>
    <r>
      <rPr>
        <b/>
        <sz val="11"/>
        <color indexed="8"/>
        <rFont val="Calibri"/>
        <family val="2"/>
        <charset val="204"/>
      </rPr>
      <t xml:space="preserve"> </t>
    </r>
    <r>
      <rPr>
        <b/>
        <sz val="20"/>
        <color indexed="8"/>
        <rFont val="Calibri"/>
        <family val="2"/>
        <charset val="204"/>
      </rPr>
      <t>ПЛ</t>
    </r>
  </si>
  <si>
    <r>
      <t>Наименование</t>
    </r>
    <r>
      <rPr>
        <b/>
        <sz val="11"/>
        <color indexed="8"/>
        <rFont val="Calibri"/>
        <family val="2"/>
        <charset val="204"/>
      </rPr>
      <t xml:space="preserve"> </t>
    </r>
    <r>
      <rPr>
        <b/>
        <sz val="20"/>
        <color indexed="8"/>
        <rFont val="Calibri"/>
        <family val="2"/>
        <charset val="204"/>
      </rPr>
      <t>GL 125</t>
    </r>
  </si>
  <si>
    <t>Желоб водосточный 3м</t>
  </si>
  <si>
    <t>Соединитель желоба</t>
  </si>
  <si>
    <t>заглушка желоба</t>
  </si>
  <si>
    <t>Угол желоба внутренний, внешний 90</t>
  </si>
  <si>
    <t>Угол желоба внутренний, внешний 135</t>
  </si>
  <si>
    <t>воронка</t>
  </si>
  <si>
    <t>воронка водосборная</t>
  </si>
  <si>
    <t>крюк длинный</t>
  </si>
  <si>
    <t>крюк короткий</t>
  </si>
  <si>
    <t>тройник трубы</t>
  </si>
  <si>
    <t>круглая труба 3м</t>
  </si>
  <si>
    <t>круглая труба соединительная 1м</t>
  </si>
  <si>
    <t>колено 60°</t>
  </si>
  <si>
    <t>колено стока</t>
  </si>
  <si>
    <t>кронштейн трубы на кирпич</t>
  </si>
  <si>
    <t>кронштейн трубы на дерево</t>
  </si>
  <si>
    <r>
      <t xml:space="preserve"> </t>
    </r>
    <r>
      <rPr>
        <b/>
        <sz val="20"/>
        <color indexed="8"/>
        <rFont val="Calibri"/>
        <family val="2"/>
        <charset val="204"/>
      </rPr>
      <t>МП D 125/90</t>
    </r>
  </si>
  <si>
    <t>Желоб водосточный D125x3000</t>
  </si>
  <si>
    <t>Держатель желоба D125x320</t>
  </si>
  <si>
    <t>Держатель желоба карнизный D125x132</t>
  </si>
  <si>
    <t>Заглушка желоба D125</t>
  </si>
  <si>
    <t>Соединитель желоба D125</t>
  </si>
  <si>
    <t>Угол желоба наружный D125</t>
  </si>
  <si>
    <t>Угол желоба внутренний D125</t>
  </si>
  <si>
    <t>Угол желоба наружный D125x135°</t>
  </si>
  <si>
    <t>Угол желоба внутренний D125x135°</t>
  </si>
  <si>
    <t>Ограничитель перелива универсальный</t>
  </si>
  <si>
    <t>Воронка выпускная D125/100</t>
  </si>
  <si>
    <t>Паук D100</t>
  </si>
  <si>
    <t>Воронка водосборная D300/100</t>
  </si>
  <si>
    <t>Труба водосточная D100x3000</t>
  </si>
  <si>
    <t>Труба водосточная D100x2000</t>
  </si>
  <si>
    <t>Труба соединительная D100x1000</t>
  </si>
  <si>
    <t>Держатель трубы D100 (на кирпич)</t>
  </si>
  <si>
    <t>Держатель трубы D100 (на дерево)</t>
  </si>
  <si>
    <t>Колено трубы D100 (60°)</t>
  </si>
  <si>
    <t>Колено сливное D100 (60°)</t>
  </si>
  <si>
    <t>Тройник трубы D100</t>
  </si>
  <si>
    <t>Крюк карнизный ПВХ</t>
  </si>
  <si>
    <t>Удлинитель с крепежом, сталь</t>
  </si>
  <si>
    <t>Крепежная планка металлическая</t>
  </si>
  <si>
    <t>Соединитель желоба, ПВХ</t>
  </si>
  <si>
    <r>
      <t>Внутренний/внешний угол 90</t>
    </r>
    <r>
      <rPr>
        <sz val="9"/>
        <rFont val="Calibri"/>
        <family val="2"/>
        <charset val="204"/>
      </rPr>
      <t xml:space="preserve">°, </t>
    </r>
    <r>
      <rPr>
        <sz val="9"/>
        <rFont val="Arial"/>
        <family val="2"/>
        <charset val="204"/>
      </rPr>
      <t>ПВХ</t>
    </r>
  </si>
  <si>
    <t>Специальный двухплоскостной угол (по эскизу), ПВХ</t>
  </si>
  <si>
    <t>Заглушка левая, ПВХ</t>
  </si>
  <si>
    <t>Заглушка правая, ПВХ</t>
  </si>
  <si>
    <t xml:space="preserve">Желоб ,GALECO 4 м, </t>
  </si>
  <si>
    <t xml:space="preserve">Металлический кронштейн, сталь 4 мм </t>
  </si>
  <si>
    <t>Водосточная труба 4 м. п., ПВХ</t>
  </si>
  <si>
    <t>Муфта, соеденитель труб, ПВХ</t>
  </si>
  <si>
    <t>Хомут, ПВХ</t>
  </si>
  <si>
    <t>Колено 67°</t>
  </si>
  <si>
    <t>Колено 45</t>
  </si>
  <si>
    <t xml:space="preserve">Крепление хомута с дюбелем 100 мм, </t>
  </si>
  <si>
    <t xml:space="preserve">Крепление хомута с дюбелем 140 мм, </t>
  </si>
  <si>
    <t>Элементы  водосточной трубы 100</t>
  </si>
  <si>
    <t>Металлический кронштейн универсал.</t>
  </si>
  <si>
    <t>Выход из желоба 100</t>
  </si>
  <si>
    <t>Aqsystem 125/90</t>
  </si>
  <si>
    <t>Aqsystem 150/100</t>
  </si>
  <si>
    <t>Водосточная труба 1м</t>
  </si>
  <si>
    <t>Водосточная труба 3м</t>
  </si>
  <si>
    <t>Желоб 3м</t>
  </si>
  <si>
    <t>Воронка</t>
  </si>
  <si>
    <t>Колено</t>
  </si>
  <si>
    <t>Отвод декорированый</t>
  </si>
  <si>
    <t>Угол желоба нар/внутр 90</t>
  </si>
  <si>
    <t>Угол желоба нар/внутр 135</t>
  </si>
  <si>
    <t>Заглушка желоба (с рез. уплотнителем)</t>
  </si>
  <si>
    <t>заглушка желоба полукруглая</t>
  </si>
  <si>
    <t>Паук</t>
  </si>
  <si>
    <t>соединитель желоба</t>
  </si>
  <si>
    <t>комплект для крепления трубы</t>
  </si>
  <si>
    <t>S-обвод</t>
  </si>
  <si>
    <t>тройник</t>
  </si>
  <si>
    <t>соединитель трубы</t>
  </si>
  <si>
    <t>Элементы декора</t>
  </si>
  <si>
    <t>гвозди по 100 шт</t>
  </si>
  <si>
    <t xml:space="preserve">черный </t>
  </si>
  <si>
    <t xml:space="preserve">красный, коричневый </t>
  </si>
  <si>
    <t xml:space="preserve">зелёный </t>
  </si>
  <si>
    <t>с гвозд</t>
  </si>
  <si>
    <t>без гвозд</t>
  </si>
  <si>
    <t>Коньковый элемент (красн., коричн., черный)</t>
  </si>
  <si>
    <t>Коньковый элемент (зелёный)</t>
  </si>
  <si>
    <t>Щипцовый (красн., коричн., черный)</t>
  </si>
  <si>
    <t>Щипцовый (зелёный)</t>
  </si>
  <si>
    <t>заполнитель универсальный</t>
  </si>
  <si>
    <t>Покрывающий фартук</t>
  </si>
  <si>
    <t>Вентиляционная труба</t>
  </si>
  <si>
    <r>
      <t>Наименование</t>
    </r>
    <r>
      <rPr>
        <b/>
        <sz val="11"/>
        <color indexed="8"/>
        <rFont val="Calibri"/>
        <family val="2"/>
        <charset val="204"/>
      </rPr>
      <t xml:space="preserve"> </t>
    </r>
  </si>
  <si>
    <r>
      <rPr>
        <b/>
        <sz val="16"/>
        <rFont val="Arial"/>
        <family val="2"/>
        <charset val="204"/>
      </rPr>
      <t>Jazzy</t>
    </r>
    <r>
      <rPr>
        <sz val="8"/>
        <rFont val="Arial"/>
        <family val="2"/>
        <charset val="204"/>
      </rPr>
      <t xml:space="preserve"> (красный, зелёный, медный, коричневый, серый)</t>
    </r>
  </si>
  <si>
    <t>Доборные элементы</t>
  </si>
  <si>
    <t>Клей К-36, 10л</t>
  </si>
  <si>
    <t>Клей К-36, 3л</t>
  </si>
  <si>
    <t>Клей К-36, 0,3л</t>
  </si>
  <si>
    <r>
      <rPr>
        <b/>
        <sz val="16"/>
        <rFont val="Arial"/>
        <family val="2"/>
        <charset val="204"/>
      </rPr>
      <t>Jazz</t>
    </r>
    <r>
      <rPr>
        <sz val="8"/>
        <rFont val="Arial"/>
        <family val="2"/>
        <charset val="204"/>
      </rPr>
      <t xml:space="preserve"> (терра, арник, габбро, индиго, коррида, наска)</t>
    </r>
  </si>
  <si>
    <r>
      <rPr>
        <b/>
        <sz val="16"/>
        <rFont val="Arial"/>
        <family val="2"/>
        <charset val="204"/>
      </rPr>
      <t xml:space="preserve">Samba Sonata </t>
    </r>
    <r>
      <rPr>
        <sz val="8"/>
        <rFont val="Arial"/>
        <family val="2"/>
        <charset val="204"/>
      </rPr>
      <t>(красный, зелёный, коричневый, синий)</t>
    </r>
  </si>
  <si>
    <r>
      <rPr>
        <b/>
        <sz val="16"/>
        <rFont val="Arial"/>
        <family val="2"/>
        <charset val="204"/>
      </rPr>
      <t>Foxtrot Accord</t>
    </r>
    <r>
      <rPr>
        <sz val="8"/>
        <rFont val="Arial"/>
        <family val="2"/>
        <charset val="204"/>
      </rPr>
      <t xml:space="preserve"> (миндаль, неро, олива, сандал)</t>
    </r>
  </si>
  <si>
    <r>
      <rPr>
        <b/>
        <sz val="16"/>
        <rFont val="Arial"/>
        <family val="2"/>
        <charset val="204"/>
      </rPr>
      <t>Quadrille Sonata</t>
    </r>
    <r>
      <rPr>
        <sz val="8"/>
        <rFont val="Arial"/>
        <family val="2"/>
        <charset val="204"/>
      </rPr>
      <t xml:space="preserve"> (красный, зелёный, коричневый, красно-коричн., виски)</t>
    </r>
  </si>
  <si>
    <r>
      <rPr>
        <b/>
        <sz val="16"/>
        <rFont val="Arial"/>
        <family val="2"/>
        <charset val="204"/>
      </rPr>
      <t>Flamenco Trio</t>
    </r>
    <r>
      <rPr>
        <sz val="8"/>
        <rFont val="Arial"/>
        <family val="2"/>
        <charset val="204"/>
      </rPr>
      <t xml:space="preserve"> (толедо, гранада, валенсия, арагон)</t>
    </r>
  </si>
  <si>
    <r>
      <rPr>
        <b/>
        <sz val="16"/>
        <rFont val="Arial"/>
        <family val="2"/>
        <charset val="204"/>
      </rPr>
      <t>Tango</t>
    </r>
    <r>
      <rPr>
        <sz val="8"/>
        <rFont val="Arial"/>
        <family val="2"/>
        <charset val="204"/>
      </rPr>
      <t xml:space="preserve"> (красный, зелёный, осенний)</t>
    </r>
  </si>
  <si>
    <r>
      <rPr>
        <b/>
        <sz val="16"/>
        <rFont val="Arial"/>
        <family val="2"/>
        <charset val="204"/>
      </rPr>
      <t>Финская соната</t>
    </r>
    <r>
      <rPr>
        <sz val="8"/>
        <rFont val="Arial"/>
        <family val="2"/>
        <charset val="204"/>
      </rPr>
      <t xml:space="preserve"> (серый,красный, зелёный)</t>
    </r>
  </si>
  <si>
    <t xml:space="preserve">Ендова </t>
  </si>
  <si>
    <t>синий</t>
  </si>
  <si>
    <t>Завод GL</t>
  </si>
  <si>
    <t>Диллер</t>
  </si>
  <si>
    <r>
      <rPr>
        <b/>
        <sz val="16"/>
        <rFont val="Arial"/>
        <family val="2"/>
        <charset val="204"/>
      </rPr>
      <t>FoXY</t>
    </r>
    <r>
      <rPr>
        <sz val="8"/>
        <rFont val="Arial"/>
        <family val="2"/>
        <charset val="204"/>
      </rPr>
      <t xml:space="preserve"> </t>
    </r>
  </si>
  <si>
    <r>
      <rPr>
        <b/>
        <sz val="16"/>
        <rFont val="Arial"/>
        <family val="2"/>
        <charset val="204"/>
      </rPr>
      <t>СТ-20</t>
    </r>
    <r>
      <rPr>
        <sz val="8"/>
        <rFont val="Arial"/>
        <family val="2"/>
        <charset val="204"/>
      </rPr>
      <t xml:space="preserve"> (3,097м2)</t>
    </r>
  </si>
  <si>
    <r>
      <rPr>
        <b/>
        <sz val="16"/>
        <rFont val="Arial"/>
        <family val="2"/>
        <charset val="204"/>
      </rPr>
      <t xml:space="preserve">Landmark </t>
    </r>
    <r>
      <rPr>
        <sz val="8"/>
        <rFont val="Arial"/>
        <family val="2"/>
        <charset val="204"/>
      </rPr>
      <t xml:space="preserve">(3,097м2) </t>
    </r>
  </si>
  <si>
    <r>
      <rPr>
        <b/>
        <sz val="16"/>
        <rFont val="Arial"/>
        <family val="2"/>
        <charset val="204"/>
      </rPr>
      <t>Independence</t>
    </r>
    <r>
      <rPr>
        <sz val="8"/>
        <rFont val="Arial"/>
        <family val="2"/>
        <charset val="204"/>
      </rPr>
      <t xml:space="preserve"> (2,32м2)</t>
    </r>
  </si>
  <si>
    <r>
      <rPr>
        <b/>
        <sz val="16"/>
        <rFont val="Arial"/>
        <family val="2"/>
        <charset val="204"/>
      </rPr>
      <t>Carriage House</t>
    </r>
    <r>
      <rPr>
        <sz val="8"/>
        <rFont val="Arial"/>
        <family val="2"/>
        <charset val="204"/>
      </rPr>
      <t xml:space="preserve"> (1,858м2)</t>
    </r>
  </si>
  <si>
    <r>
      <rPr>
        <b/>
        <sz val="16"/>
        <rFont val="Arial"/>
        <family val="2"/>
        <charset val="204"/>
      </rPr>
      <t>Grand Manor</t>
    </r>
    <r>
      <rPr>
        <sz val="8"/>
        <rFont val="Arial"/>
        <family val="2"/>
        <charset val="204"/>
      </rPr>
      <t xml:space="preserve"> (1,858м2)</t>
    </r>
  </si>
  <si>
    <r>
      <rPr>
        <b/>
        <sz val="16"/>
        <rFont val="Arial"/>
        <family val="2"/>
        <charset val="204"/>
      </rPr>
      <t>Presidential Shake</t>
    </r>
    <r>
      <rPr>
        <sz val="8"/>
        <rFont val="Arial"/>
        <family val="2"/>
        <charset val="204"/>
      </rPr>
      <t xml:space="preserve"> (1,858м2)</t>
    </r>
  </si>
  <si>
    <r>
      <rPr>
        <b/>
        <sz val="16"/>
        <rFont val="Arial"/>
        <family val="2"/>
        <charset val="204"/>
      </rPr>
      <t>Presidential Shake TL</t>
    </r>
    <r>
      <rPr>
        <sz val="8"/>
        <rFont val="Arial"/>
        <family val="2"/>
        <charset val="204"/>
      </rPr>
      <t xml:space="preserve"> (1,548м2)</t>
    </r>
  </si>
  <si>
    <r>
      <rPr>
        <b/>
        <sz val="16"/>
        <rFont val="Arial"/>
        <family val="2"/>
        <charset val="204"/>
      </rPr>
      <t>Landmark TL</t>
    </r>
    <r>
      <rPr>
        <sz val="8"/>
        <rFont val="Arial"/>
        <family val="2"/>
        <charset val="204"/>
      </rPr>
      <t xml:space="preserve"> (2,322м2)</t>
    </r>
  </si>
  <si>
    <r>
      <t xml:space="preserve">Коньковый элемент Shadow Ridge </t>
    </r>
    <r>
      <rPr>
        <b/>
        <sz val="11"/>
        <rFont val="Arial"/>
        <family val="2"/>
        <charset val="204"/>
      </rPr>
      <t>9.14 м.п.</t>
    </r>
    <r>
      <rPr>
        <sz val="11"/>
        <rFont val="Arial"/>
        <family val="2"/>
        <charset val="204"/>
      </rPr>
      <t xml:space="preserve"> (Landmark)</t>
    </r>
  </si>
  <si>
    <r>
      <t xml:space="preserve">Коньковый элемент Shangle Ridge </t>
    </r>
    <r>
      <rPr>
        <b/>
        <sz val="11"/>
        <rFont val="Arial"/>
        <family val="2"/>
        <charset val="204"/>
      </rPr>
      <t>3.05 м.п.</t>
    </r>
    <r>
      <rPr>
        <sz val="11"/>
        <rFont val="Arial"/>
        <family val="2"/>
        <charset val="204"/>
      </rPr>
      <t xml:space="preserve"> (Carriage House, Centennial Slate, Grand Manore)</t>
    </r>
  </si>
  <si>
    <r>
      <t xml:space="preserve">Коньковый элемент Cedar Cres </t>
    </r>
    <r>
      <rPr>
        <b/>
        <sz val="11"/>
        <rFont val="Arial"/>
        <family val="2"/>
        <charset val="204"/>
      </rPr>
      <t>6.096 м.п.</t>
    </r>
    <r>
      <rPr>
        <sz val="11"/>
        <rFont val="Arial"/>
        <family val="2"/>
        <charset val="204"/>
      </rPr>
      <t xml:space="preserve"> (Presidential, Presidential TL)</t>
    </r>
  </si>
  <si>
    <r>
      <t xml:space="preserve">Стартовый элемент Swiftstart </t>
    </r>
    <r>
      <rPr>
        <b/>
        <sz val="11"/>
        <rFont val="Arial"/>
        <family val="2"/>
        <charset val="204"/>
      </rPr>
      <t>35,43м.п.</t>
    </r>
  </si>
  <si>
    <r>
      <t xml:space="preserve">Стартовый элемент LeakBarrierTapco (самоклеющийся, черный) </t>
    </r>
    <r>
      <rPr>
        <b/>
        <sz val="11"/>
        <rFont val="Arial"/>
        <family val="2"/>
        <charset val="204"/>
      </rPr>
      <t>10,18м.п.</t>
    </r>
  </si>
  <si>
    <r>
      <t xml:space="preserve">Стартовый элемент Presidential Stater  </t>
    </r>
    <r>
      <rPr>
        <b/>
        <sz val="11"/>
        <rFont val="Arial"/>
        <family val="2"/>
        <charset val="204"/>
      </rPr>
      <t>11м.п.</t>
    </r>
  </si>
  <si>
    <r>
      <t xml:space="preserve">Покладочный ковёр Easy Lay LeakBarrierTapco 0,914x40,54 м.п.  </t>
    </r>
    <r>
      <rPr>
        <b/>
        <sz val="11"/>
        <rFont val="Arial"/>
        <family val="2"/>
        <charset val="204"/>
      </rPr>
      <t>37,16м2</t>
    </r>
  </si>
  <si>
    <t>Цвет:</t>
  </si>
  <si>
    <t>серый</t>
  </si>
  <si>
    <t>вишня</t>
  </si>
  <si>
    <t>красный</t>
  </si>
  <si>
    <t>коричневый</t>
  </si>
  <si>
    <t>тёмно-коричневый</t>
  </si>
  <si>
    <t>чёрный</t>
  </si>
  <si>
    <t>антик красный</t>
  </si>
  <si>
    <t>зелёный</t>
  </si>
  <si>
    <t>Цена
в рублях
за шт.</t>
  </si>
  <si>
    <t>Модель</t>
  </si>
  <si>
    <t>*</t>
  </si>
  <si>
    <t>шт.</t>
  </si>
  <si>
    <t>Изоспан</t>
  </si>
  <si>
    <t>Изоспан А</t>
  </si>
  <si>
    <t>Изоспан В</t>
  </si>
  <si>
    <t>Изоспан Д</t>
  </si>
  <si>
    <t>Изоспан FB</t>
  </si>
  <si>
    <t>Изоспан FD</t>
  </si>
  <si>
    <t>Изоспан FX 3мм</t>
  </si>
  <si>
    <t xml:space="preserve">Изоспан С </t>
  </si>
  <si>
    <t xml:space="preserve">за заказ менее  7 кв.м. </t>
  </si>
  <si>
    <t>наценка 1500 руб.</t>
  </si>
  <si>
    <t xml:space="preserve">за заказ от 7  до 25 кв.м. </t>
  </si>
  <si>
    <t xml:space="preserve"> наценка 100%</t>
  </si>
  <si>
    <t>за заказ от 25 до  50 кв.м.</t>
  </si>
  <si>
    <t xml:space="preserve"> наценка 20%</t>
  </si>
  <si>
    <t xml:space="preserve">за заказ от 50 до 100 кв.м. </t>
  </si>
  <si>
    <t xml:space="preserve"> наценка 10%</t>
  </si>
  <si>
    <t>Длина</t>
  </si>
  <si>
    <t>шт</t>
  </si>
  <si>
    <t>Описание</t>
  </si>
  <si>
    <t>Медный</t>
  </si>
  <si>
    <r>
      <t>Цена
руб./м</t>
    </r>
    <r>
      <rPr>
        <vertAlign val="superscript"/>
        <sz val="12"/>
        <rFont val="Arial Cyr"/>
        <charset val="204"/>
      </rPr>
      <t>2</t>
    </r>
  </si>
  <si>
    <r>
      <t>Название профиля</t>
    </r>
    <r>
      <rPr>
        <sz val="12"/>
        <rFont val="Arial Cyr"/>
        <charset val="204"/>
      </rPr>
      <t>,
расход на м</t>
    </r>
    <r>
      <rPr>
        <vertAlign val="superscript"/>
        <sz val="12"/>
        <rFont val="Arial Cyr"/>
        <charset val="204"/>
      </rPr>
      <t>2</t>
    </r>
  </si>
  <si>
    <r>
      <rPr>
        <b/>
        <sz val="11"/>
        <rFont val="Arial Cyr"/>
        <charset val="204"/>
      </rPr>
      <t xml:space="preserve">Франкфуртская
</t>
    </r>
    <r>
      <rPr>
        <sz val="11"/>
        <rFont val="Arial Cyr"/>
        <charset val="204"/>
      </rPr>
      <t>Расход 10 шт./м</t>
    </r>
    <r>
      <rPr>
        <vertAlign val="superscript"/>
        <sz val="11"/>
        <rFont val="Arial Cyr"/>
        <charset val="204"/>
      </rPr>
      <t>2</t>
    </r>
    <r>
      <rPr>
        <sz val="11"/>
        <rFont val="Arial Cyr"/>
        <charset val="204"/>
      </rPr>
      <t xml:space="preserve">
Цельная черепица, 420х330 мм,
Шаг обрешётки 312-345 мм
На поддоне 240 штук (6 пачек по 40 штук)</t>
    </r>
  </si>
  <si>
    <r>
      <t xml:space="preserve">Янтарь
</t>
    </r>
    <r>
      <rPr>
        <sz val="11"/>
        <rFont val="Arial Cyr"/>
        <charset val="204"/>
      </rPr>
      <t>Расход 10 шт./м</t>
    </r>
    <r>
      <rPr>
        <vertAlign val="superscript"/>
        <sz val="11"/>
        <rFont val="Arial Cyr"/>
        <charset val="204"/>
      </rPr>
      <t>2</t>
    </r>
    <r>
      <rPr>
        <sz val="11"/>
        <rFont val="Arial Cyr"/>
        <charset val="204"/>
      </rPr>
      <t xml:space="preserve">
Цельная черепица, 420х330 мм,
Шаг обрешётки 312-345 мм
На поддоне 240 штук (6 пачек по 40 штук)</t>
    </r>
  </si>
  <si>
    <r>
      <t xml:space="preserve">Таунус
</t>
    </r>
    <r>
      <rPr>
        <sz val="11"/>
        <rFont val="Arial Cyr"/>
        <charset val="204"/>
      </rPr>
      <t>Расход 10 шт./м</t>
    </r>
    <r>
      <rPr>
        <vertAlign val="superscript"/>
        <sz val="11"/>
        <rFont val="Arial Cyr"/>
        <charset val="204"/>
      </rPr>
      <t>2</t>
    </r>
    <r>
      <rPr>
        <sz val="11"/>
        <rFont val="Arial Cyr"/>
        <charset val="204"/>
      </rPr>
      <t xml:space="preserve">
Цельная черепица, 420х330 мм,
Шаг обрешётки 312-345 мм
На поддоне 240 штук (6 пачек по 40 штук)</t>
    </r>
  </si>
  <si>
    <r>
      <t>Коппо ди Греция</t>
    </r>
    <r>
      <rPr>
        <sz val="11"/>
        <rFont val="Arial Cyr"/>
        <charset val="204"/>
      </rPr>
      <t xml:space="preserve">
Расход 10 шт./м</t>
    </r>
    <r>
      <rPr>
        <vertAlign val="superscript"/>
        <sz val="11"/>
        <rFont val="Arial Cyr"/>
        <charset val="204"/>
      </rPr>
      <t>2</t>
    </r>
    <r>
      <rPr>
        <sz val="11"/>
        <rFont val="Arial Cyr"/>
        <charset val="204"/>
      </rPr>
      <t xml:space="preserve">
Цельная черепица, 430х260 мм
Шаг обрешётки 312-345 мм
На поддоне 228 шт.</t>
    </r>
  </si>
  <si>
    <t>Ютавек 135</t>
  </si>
  <si>
    <t>Соединительная лента 25м</t>
  </si>
  <si>
    <t>Юта (Чехия)</t>
  </si>
  <si>
    <t>Скидка</t>
  </si>
  <si>
    <r>
      <rPr>
        <b/>
        <sz val="16"/>
        <rFont val="Arial"/>
        <family val="2"/>
        <charset val="204"/>
      </rPr>
      <t>Katrilli</t>
    </r>
    <r>
      <rPr>
        <sz val="8"/>
        <rFont val="Arial"/>
        <family val="2"/>
        <charset val="204"/>
      </rPr>
      <t xml:space="preserve"> (Золотой песок, синий)</t>
    </r>
  </si>
  <si>
    <t>Скидка сайдинг</t>
  </si>
  <si>
    <r>
      <rPr>
        <b/>
        <sz val="16"/>
        <rFont val="Arial"/>
        <family val="2"/>
        <charset val="204"/>
      </rPr>
      <t>Katrilli</t>
    </r>
    <r>
      <rPr>
        <sz val="8"/>
        <rFont val="Arial"/>
        <family val="2"/>
        <charset val="204"/>
      </rPr>
      <t xml:space="preserve"> (Осенний-красный, Зелень моховая, Кора дерева, Серый,Вереск, Иней, Лишайник, Дюна)</t>
    </r>
  </si>
  <si>
    <r>
      <rPr>
        <b/>
        <sz val="16"/>
        <rFont val="Arial"/>
        <family val="2"/>
        <charset val="204"/>
      </rPr>
      <t>KL</t>
    </r>
    <r>
      <rPr>
        <sz val="8"/>
        <rFont val="Arial"/>
        <family val="2"/>
        <charset val="204"/>
      </rPr>
      <t xml:space="preserve"> (серый, красный, зелёный, коричневый )</t>
    </r>
  </si>
  <si>
    <r>
      <rPr>
        <b/>
        <sz val="16"/>
        <rFont val="Arial"/>
        <family val="2"/>
        <charset val="204"/>
      </rPr>
      <t>Super Rocky</t>
    </r>
    <r>
      <rPr>
        <sz val="8"/>
        <rFont val="Arial"/>
        <family val="2"/>
        <charset val="204"/>
      </rPr>
      <t xml:space="preserve"> (все цвета)</t>
    </r>
  </si>
  <si>
    <t>DELTA-MAXX 1,5x50</t>
  </si>
  <si>
    <t>DELTA-MAXX PLUS 1,5x50</t>
  </si>
  <si>
    <t>DELTA-VENT N 1,5x50</t>
  </si>
  <si>
    <t>DELTA-REFLEX  1,5x50</t>
  </si>
  <si>
    <t>DELTA-REFLEX PLUS 1,5x50</t>
  </si>
  <si>
    <t>DELTA (Германия)</t>
  </si>
  <si>
    <r>
      <rPr>
        <b/>
        <sz val="16"/>
        <rFont val="Arial"/>
        <family val="2"/>
        <charset val="204"/>
      </rPr>
      <t>Jive Accord</t>
    </r>
    <r>
      <rPr>
        <sz val="8"/>
        <rFont val="Arial"/>
        <family val="2"/>
        <charset val="204"/>
      </rPr>
      <t xml:space="preserve"> (красный, зелёный, коричневый, серый)</t>
    </r>
  </si>
  <si>
    <r>
      <rPr>
        <b/>
        <sz val="16"/>
        <rFont val="Arial"/>
        <family val="2"/>
        <charset val="204"/>
      </rPr>
      <t>Jive Accord</t>
    </r>
    <r>
      <rPr>
        <sz val="8"/>
        <rFont val="Arial"/>
        <family val="2"/>
        <charset val="204"/>
      </rPr>
      <t xml:space="preserve"> (синий)</t>
    </r>
  </si>
  <si>
    <r>
      <rPr>
        <b/>
        <sz val="16"/>
        <rFont val="Arial"/>
        <family val="2"/>
        <charset val="204"/>
      </rPr>
      <t>Quadrille Accord</t>
    </r>
    <r>
      <rPr>
        <sz val="8"/>
        <rFont val="Arial"/>
        <family val="2"/>
        <charset val="204"/>
      </rPr>
      <t xml:space="preserve"> (красный, зелёный, коричневый, красно-коричн., виски)</t>
    </r>
  </si>
  <si>
    <r>
      <rPr>
        <b/>
        <sz val="16"/>
        <rFont val="Arial"/>
        <family val="2"/>
        <charset val="204"/>
      </rPr>
      <t>Кантри</t>
    </r>
    <r>
      <rPr>
        <sz val="8"/>
        <rFont val="Arial"/>
        <family val="2"/>
        <charset val="204"/>
      </rPr>
      <t xml:space="preserve"> (серый,красный, зелёный)</t>
    </r>
  </si>
  <si>
    <t>Клей , 3,6л</t>
  </si>
  <si>
    <t>Наименование профиля</t>
  </si>
  <si>
    <t>Zn</t>
  </si>
  <si>
    <t>(Zn 80-140 г/кв.м.)</t>
  </si>
  <si>
    <t>(Zn 140-180 г/кв.м.)</t>
  </si>
  <si>
    <t>Металлочерепица Classic/Modern</t>
  </si>
  <si>
    <t>Двойной стоячий фальц/Profi</t>
  </si>
  <si>
    <t>Профнастил С8</t>
  </si>
  <si>
    <t>Профнастил С10</t>
  </si>
  <si>
    <t>Профнастил С10 Фигурный**</t>
  </si>
  <si>
    <t>Профнастил С20</t>
  </si>
  <si>
    <t>Профнастил С21</t>
  </si>
  <si>
    <t>Профнастил НС35</t>
  </si>
  <si>
    <t xml:space="preserve"> - </t>
  </si>
  <si>
    <t>Профнастил Н60</t>
  </si>
  <si>
    <t>Профнастил Н75</t>
  </si>
  <si>
    <t>Штакетник П-образный</t>
  </si>
  <si>
    <t>п.м.</t>
  </si>
  <si>
    <t>Штакетник М-образный</t>
  </si>
  <si>
    <t>Штрипс, отмотка</t>
  </si>
  <si>
    <t>Гарантия</t>
  </si>
  <si>
    <t>2 года</t>
  </si>
  <si>
    <t>10 лет</t>
  </si>
  <si>
    <t>6 месяцев</t>
  </si>
  <si>
    <t>Металлочерепица Country</t>
  </si>
  <si>
    <t>20 лет</t>
  </si>
  <si>
    <t>Элемент</t>
  </si>
  <si>
    <t>Ед. изм.</t>
  </si>
  <si>
    <t>Цена, руб/п.м.</t>
  </si>
  <si>
    <t xml:space="preserve"> PE</t>
  </si>
  <si>
    <t>Print</t>
  </si>
  <si>
    <t>Velur®20</t>
  </si>
  <si>
    <t>Texture</t>
  </si>
  <si>
    <t>Safari</t>
  </si>
  <si>
    <t xml:space="preserve">Solano® </t>
  </si>
  <si>
    <t>Доборные элементы кровли</t>
  </si>
  <si>
    <t>2м/3 м</t>
  </si>
  <si>
    <t>Конек полукруглый</t>
  </si>
  <si>
    <t>2м</t>
  </si>
  <si>
    <t>Конек плоский 145*145</t>
  </si>
  <si>
    <t>Конек плоский 190*190</t>
  </si>
  <si>
    <t>Заглушка к полукруг.коньку торцевая</t>
  </si>
  <si>
    <t>Заглушка к полукруг.коньку конусная</t>
  </si>
  <si>
    <t>Планка карнизная/капельник 100*65</t>
  </si>
  <si>
    <t>Ендова верхняя 145*145</t>
  </si>
  <si>
    <t>Ендова нижняя 300*300</t>
  </si>
  <si>
    <t>Планка примыкания 150*250</t>
  </si>
  <si>
    <t>Планка примыкания нижняя 122*260</t>
  </si>
  <si>
    <t xml:space="preserve">Планка снегозадержания </t>
  </si>
  <si>
    <t>Планка снегозадержания усиливающая</t>
  </si>
  <si>
    <t>Планка примыкания внакладку</t>
  </si>
  <si>
    <t>Планка мансардная</t>
  </si>
  <si>
    <t>Планка лобовая 190*50</t>
  </si>
  <si>
    <t>Доборные элементы для Фальцевой кровли GL</t>
  </si>
  <si>
    <t>Планка ветровая двойная завальцовка 60*30*90</t>
  </si>
  <si>
    <t>Планка ветровая простая 100*20*100</t>
  </si>
  <si>
    <t>Планка ветровая простая 130*25*100</t>
  </si>
  <si>
    <t>Планка капельник 100*60</t>
  </si>
  <si>
    <t>Планка капельник 135*50</t>
  </si>
  <si>
    <t>Планка П-образная заборная 20</t>
  </si>
  <si>
    <t>Планка П-образная заборная 17</t>
  </si>
  <si>
    <t>Доборные элементы сайдинга Корабельная доска и Вертикаль</t>
  </si>
  <si>
    <t>Планка угла внутреннего 50х50 мм</t>
  </si>
  <si>
    <t>Планка угла внутреннего сложного 75х75 мм</t>
  </si>
  <si>
    <t>Планка угла внешнего 50х50 мм</t>
  </si>
  <si>
    <t>Планка угла внешнего сложного 75х75 мм</t>
  </si>
  <si>
    <t>Планка завершающая, 65 мм</t>
  </si>
  <si>
    <t>Планка стыковочная, 60 мм</t>
  </si>
  <si>
    <t>Планка угла внешнего 110*110</t>
  </si>
  <si>
    <t>Планка угла внешнего простая 30*30</t>
  </si>
  <si>
    <t>Планка для внутренних углов 110*110</t>
  </si>
  <si>
    <t>Планка угла внутреннего простая 30*30</t>
  </si>
  <si>
    <t>Околооконная планка простая 200х50 мм</t>
  </si>
  <si>
    <t>Околооконная планка простая 200х75 мм</t>
  </si>
  <si>
    <t>Околооконная планка простая 250х50 мм</t>
  </si>
  <si>
    <t>Околооконная планка простая 250х75 мм</t>
  </si>
  <si>
    <t>Околооконная планка сложная 200х50 мм</t>
  </si>
  <si>
    <t>Околооконная планка сложная 200х75 мм</t>
  </si>
  <si>
    <t>Околооконная планка сложная 250х50 мм</t>
  </si>
  <si>
    <t>Околооконная планка сложная 250х75 мм</t>
  </si>
  <si>
    <t>Околооконная планка сложная фигурная 200х50 мм</t>
  </si>
  <si>
    <t>Околооконная планка сложная фигурная 250х50 мм</t>
  </si>
  <si>
    <t>Планка угла внутреннего сложная 90º</t>
  </si>
  <si>
    <t xml:space="preserve">Планка угла внешнего сложная фигурная </t>
  </si>
  <si>
    <t>Отлив простой 100 мм</t>
  </si>
  <si>
    <t>Отлив простой 150 мм</t>
  </si>
  <si>
    <t>Отлив простой 160 мм</t>
  </si>
  <si>
    <t>Отлив простой 200 мм</t>
  </si>
  <si>
    <t>Доборные элементы Блок-хаус GL</t>
  </si>
  <si>
    <t>Планка П-образная (Блок-хаус GL)</t>
  </si>
  <si>
    <t>Планка стартово-финишная (Блок-хаус GL)</t>
  </si>
  <si>
    <t xml:space="preserve">Планка стыковочная составная верхняя </t>
  </si>
  <si>
    <t xml:space="preserve">Планка стыковочная составная нижняя </t>
  </si>
  <si>
    <t xml:space="preserve">Планка угла внешнего составная верхняя </t>
  </si>
  <si>
    <t xml:space="preserve">Планка угла внешнего составная нижняя </t>
  </si>
  <si>
    <t xml:space="preserve">Планка угла внутреннего составная верхняя </t>
  </si>
  <si>
    <t>Планка угла внутреннего составная нижняя</t>
  </si>
  <si>
    <t>Доборные элементы ЭкоБрус GL</t>
  </si>
  <si>
    <t>Планка П-образная (ЭкоБрус GL)</t>
  </si>
  <si>
    <t>Планка стартово-финишная (ЭкоБрус GL)</t>
  </si>
  <si>
    <t>Планка Н-образная (ЭкоБрус GL)</t>
  </si>
  <si>
    <t>Планка угла внешнего сложного (ЭкоБрус GL)</t>
  </si>
  <si>
    <t>Планка угла внутреннего сложного (ЭкоБрус GL)</t>
  </si>
  <si>
    <t>Металлическая вентилируемая обрешетка  0,6/0,7</t>
  </si>
  <si>
    <t xml:space="preserve">цены действительны с </t>
  </si>
  <si>
    <t>Рисунок</t>
  </si>
  <si>
    <t>Ширина, м</t>
  </si>
  <si>
    <t>Длина, м</t>
  </si>
  <si>
    <t>Кол-во шт. в упаковке</t>
  </si>
  <si>
    <t>Цена розница руб.</t>
  </si>
  <si>
    <t>Общая</t>
  </si>
  <si>
    <t>Полезная</t>
  </si>
  <si>
    <t>Стандартные цвета</t>
  </si>
  <si>
    <t>мореный дуб</t>
  </si>
  <si>
    <t>карамельный,
темно-бежевый</t>
  </si>
  <si>
    <t>бежевый, ванильный, желтый, персиковый, салатовый, серый, белый, сандаловый, кремовый, голубой</t>
  </si>
  <si>
    <t>Н-профиль соединительный</t>
  </si>
  <si>
    <t>J-профиль</t>
  </si>
  <si>
    <t>Мореный дуб</t>
  </si>
  <si>
    <t>Финишная планка</t>
  </si>
  <si>
    <t>Стартовая планка</t>
  </si>
  <si>
    <t>бежевый, ванильный</t>
  </si>
  <si>
    <t>Угол наружный</t>
  </si>
  <si>
    <t>Угол внутренний</t>
  </si>
  <si>
    <t>Софиты</t>
  </si>
  <si>
    <t>белый</t>
  </si>
  <si>
    <t>J-фаска (ветровая доска)</t>
  </si>
  <si>
    <t>J-профиль широкий (наличник)</t>
  </si>
  <si>
    <t>Инструмент</t>
  </si>
  <si>
    <t>Сфера применения</t>
  </si>
  <si>
    <t>Цена розн., руб.</t>
  </si>
  <si>
    <t>Околооконная планка</t>
  </si>
  <si>
    <t xml:space="preserve">Просекатель отверстий NHP1R </t>
  </si>
  <si>
    <t>ПВХ</t>
  </si>
  <si>
    <t>Просекатель овальных отверстий в виниловых панелях</t>
  </si>
  <si>
    <t>Пробойник насечек SL5</t>
  </si>
  <si>
    <t>Используется для нанесения насечек на край панели в месте соединения с доборными элементами (финишная планка, околооконная планка)</t>
  </si>
  <si>
    <t>Молдинг</t>
  </si>
  <si>
    <r>
      <t>Внутренний/внешний угол 90</t>
    </r>
    <r>
      <rPr>
        <sz val="9"/>
        <rFont val="Calibri"/>
        <family val="2"/>
        <charset val="204"/>
      </rPr>
      <t xml:space="preserve">°-180, </t>
    </r>
    <r>
      <rPr>
        <sz val="9"/>
        <rFont val="Arial"/>
        <family val="2"/>
        <charset val="204"/>
      </rPr>
      <t>ПВХ</t>
    </r>
  </si>
  <si>
    <r>
      <t>Внутренний/внешний угол меньше 90</t>
    </r>
    <r>
      <rPr>
        <sz val="9"/>
        <rFont val="Calibri"/>
        <family val="2"/>
        <charset val="204"/>
      </rPr>
      <t xml:space="preserve">°, </t>
    </r>
    <r>
      <rPr>
        <sz val="9"/>
        <rFont val="Arial"/>
        <family val="2"/>
        <charset val="204"/>
      </rPr>
      <t>ПВХ</t>
    </r>
  </si>
  <si>
    <t>Тройник 67°, ПВХ</t>
  </si>
  <si>
    <t>цена за шт.</t>
  </si>
  <si>
    <t>полезная длина/ширина мм</t>
  </si>
  <si>
    <t>полезная</t>
  </si>
  <si>
    <t>общая</t>
  </si>
  <si>
    <t>Панель BERG</t>
  </si>
  <si>
    <t xml:space="preserve">1 008 х 434 </t>
  </si>
  <si>
    <t>Панель STEIN</t>
  </si>
  <si>
    <t>1 098 х 400</t>
  </si>
  <si>
    <t xml:space="preserve">Панель BURG         </t>
  </si>
  <si>
    <t>946 х 445</t>
  </si>
  <si>
    <r>
      <t>Угол наружный BERG</t>
    </r>
    <r>
      <rPr>
        <sz val="9"/>
        <color indexed="8"/>
        <rFont val="Arial"/>
        <family val="2"/>
        <charset val="204"/>
      </rPr>
      <t xml:space="preserve">                            </t>
    </r>
  </si>
  <si>
    <t xml:space="preserve">         </t>
  </si>
  <si>
    <r>
      <t>Угол наружный STEIN</t>
    </r>
    <r>
      <rPr>
        <sz val="9"/>
        <color indexed="8"/>
        <rFont val="Arial"/>
        <family val="2"/>
        <charset val="204"/>
      </rPr>
      <t xml:space="preserve">                           </t>
    </r>
  </si>
  <si>
    <r>
      <t>Угол наружный BURG</t>
    </r>
    <r>
      <rPr>
        <sz val="9"/>
        <color indexed="8"/>
        <rFont val="Arial"/>
        <family val="2"/>
        <charset val="204"/>
      </rPr>
      <t xml:space="preserve">                            </t>
    </r>
  </si>
  <si>
    <t>Фасадный J-профиль (L - 3005мм) Цвет: Жжённый</t>
  </si>
  <si>
    <t>Фасадный J-профиль (L - 3005мм) Цвета: Агатовый, Слоновая кость, Палевый, Дымчатый, Бежевый, Каштановый</t>
  </si>
  <si>
    <t>Стартовый профиль  металлический (L - 2000мм)</t>
  </si>
  <si>
    <t>дилерская</t>
  </si>
  <si>
    <t>Стартовый угловой профиль BERG, STEIN, BURG</t>
  </si>
  <si>
    <t>Планка П-образная 20х30 мм /заверш.сложная/</t>
  </si>
  <si>
    <t>3м/4 м</t>
  </si>
  <si>
    <r>
      <rPr>
        <b/>
        <sz val="16"/>
        <rFont val="Arial"/>
        <family val="2"/>
        <charset val="204"/>
      </rPr>
      <t>HIGHLAND Slate</t>
    </r>
    <r>
      <rPr>
        <sz val="8"/>
        <rFont val="Arial"/>
        <family val="2"/>
        <charset val="204"/>
      </rPr>
      <t xml:space="preserve"> (1,858м2)</t>
    </r>
  </si>
  <si>
    <t>Кликфальц/Profi</t>
  </si>
  <si>
    <t>Цена, руб./кв.м.</t>
  </si>
  <si>
    <t xml:space="preserve">Ютакон </t>
  </si>
  <si>
    <t>Плоский лист</t>
  </si>
  <si>
    <t>Планка карнизная 110*75</t>
  </si>
  <si>
    <t>Доборные элементы для ограждений</t>
  </si>
  <si>
    <t>Доборные элементы для Мягкой кровли</t>
  </si>
  <si>
    <t>Доборные элементы для сайдинга Корабельная доска,  Вертикаль,  ЭкоБрус и Блок-хаус GL</t>
  </si>
  <si>
    <t>цены действительны с</t>
  </si>
  <si>
    <t>Наценки на сайдинг и фальцевую кровлю:</t>
  </si>
  <si>
    <t>При заказе металлочерепицы, профнастила, пл. листа, штрипсы и отмотки:</t>
  </si>
  <si>
    <t>Объем заказа</t>
  </si>
  <si>
    <t>Наценка</t>
  </si>
  <si>
    <t>Срок изготовления</t>
  </si>
  <si>
    <t>за заказ менее 5 кв.м.</t>
  </si>
  <si>
    <t>стандартный</t>
  </si>
  <si>
    <t>за заказ от 5 до 10 кв.м.</t>
  </si>
  <si>
    <t>за заказ от 10 до 25 кв.м.</t>
  </si>
  <si>
    <t>за заказ менее 25 кв.м.</t>
  </si>
  <si>
    <t>нет</t>
  </si>
  <si>
    <t>не ограничен</t>
  </si>
  <si>
    <r>
      <t xml:space="preserve">PE 
</t>
    </r>
    <r>
      <rPr>
        <sz val="8"/>
        <rFont val="Arial"/>
        <family val="2"/>
        <charset val="204"/>
      </rPr>
      <t>(Zn 100-180 г/кв.м.)</t>
    </r>
  </si>
  <si>
    <t>Заглушка к полукруг.коньку малому торцевая</t>
  </si>
  <si>
    <t>Заглушка к полукруг.коньку малому конусная</t>
  </si>
  <si>
    <t>Сайдинг Корабельная Доска**</t>
  </si>
  <si>
    <t>Сайдинг Вертикаль**</t>
  </si>
  <si>
    <t>Сайдинг Блок-хаус**</t>
  </si>
  <si>
    <t>Конек плоский 150*40*150</t>
  </si>
  <si>
    <t>0,5 м</t>
  </si>
  <si>
    <t>Планка фронтонная 95*45*28*20</t>
  </si>
  <si>
    <t>Изображение продукции</t>
  </si>
  <si>
    <t>Высота ограждения, м</t>
  </si>
  <si>
    <t xml:space="preserve">Комплект на 2,5 метра прямого не замкнутого участка без учета финишных столбов и калиток с воротами Модульных ограждений Grand Line® </t>
  </si>
  <si>
    <t>Реком розничная цена, руб/п.м.</t>
  </si>
  <si>
    <t>Ограждение Grand Line®                                                       Эконом</t>
  </si>
  <si>
    <t>Труба 40*20*2500 мм  - 2 шт.   
Cтолб 62*55*2500 (3000) мм  -1 шт. 
Х-кронштейн-2 шт.</t>
  </si>
  <si>
    <t>Цинк</t>
  </si>
  <si>
    <t>Полимер</t>
  </si>
  <si>
    <t>Cтолб 62*55</t>
  </si>
  <si>
    <t>Ограждение Grand Line®                                                       Стандарт</t>
  </si>
  <si>
    <t>Панель  860*1600 (1970)мм- 3 шт. 
Cтолб  62*55*2500 мм-1 шт.        
Направляющая  60*20*2500 (3000) мм  -2 шт.  
Т- кронштейн -2 шт.</t>
  </si>
  <si>
    <t>Cтойка 84*48</t>
  </si>
  <si>
    <t>Ограждение Grand Line®                                                       Премиум</t>
  </si>
  <si>
    <t>Панель  860*1600 (1970)мм- 3 шт.
Направляющая  60*20*2500 мм  -2 шт.
Стойка 84*48*2500 (3000) мм  -2 шт.
Крышка универсальная -1 шт.</t>
  </si>
  <si>
    <t>Ограждение Grand Line®                                                       Премиум  Плюс</t>
  </si>
  <si>
    <t>Панель  860*1600 мм- 3 шт.
Направляющая  60*20*2500 мм  -3 шт.
Декоративное полотно 360*2500 мм -1 шт.
Стойка 84*48*2500 (3000) мм  -2 шт.
Крышка универсальная -1 шт.</t>
  </si>
  <si>
    <t>Элементы модульных ограждений Grand Line®</t>
  </si>
  <si>
    <t xml:space="preserve">Габаритные размеры, мм                             </t>
  </si>
  <si>
    <t>Кол-во в упак , шт.</t>
  </si>
  <si>
    <t>Вес, кг/шт.</t>
  </si>
  <si>
    <t>Толщина, мм</t>
  </si>
  <si>
    <t>Реком розничная цена, руб/шт</t>
  </si>
  <si>
    <t>Панель Премиум</t>
  </si>
  <si>
    <t>860*1600</t>
  </si>
  <si>
    <t xml:space="preserve">860*1970 </t>
  </si>
  <si>
    <t xml:space="preserve">Труба                   </t>
  </si>
  <si>
    <t xml:space="preserve">40*20*2500  </t>
  </si>
  <si>
    <t>40*20*3000</t>
  </si>
  <si>
    <t xml:space="preserve"> Cтолб + заглушка</t>
  </si>
  <si>
    <t xml:space="preserve">62*55*1500     </t>
  </si>
  <si>
    <t xml:space="preserve">62*55*2000   </t>
  </si>
  <si>
    <t xml:space="preserve">62*55*2500     </t>
  </si>
  <si>
    <t xml:space="preserve">62*55*3000   </t>
  </si>
  <si>
    <t xml:space="preserve">Направляющая  </t>
  </si>
  <si>
    <t xml:space="preserve">60*20*2500 </t>
  </si>
  <si>
    <t xml:space="preserve">360*2500    </t>
  </si>
  <si>
    <t xml:space="preserve"> Стойка </t>
  </si>
  <si>
    <t>84*48*2500</t>
  </si>
  <si>
    <t xml:space="preserve">84*48*3000 </t>
  </si>
  <si>
    <t xml:space="preserve">Х-кронштейн </t>
  </si>
  <si>
    <t xml:space="preserve">248*109*40 </t>
  </si>
  <si>
    <t>Т-кронштейн</t>
  </si>
  <si>
    <t>155*90*80</t>
  </si>
  <si>
    <t>Крышка универсальная</t>
  </si>
  <si>
    <t>100*87*20</t>
  </si>
  <si>
    <t>Заглушка GL 62*55</t>
  </si>
  <si>
    <t>62*55*30</t>
  </si>
  <si>
    <t>L-кронштейн</t>
  </si>
  <si>
    <t>60*20*110</t>
  </si>
  <si>
    <t>Крышка</t>
  </si>
  <si>
    <t>87*50</t>
  </si>
  <si>
    <t>Заклепка цветная 3,2*8 цвет по RAL</t>
  </si>
  <si>
    <t>Саморез с прессшайбой 4,2*16 цвет по RAL</t>
  </si>
  <si>
    <t>Саморез металл-металл 5,5*19 бур.№3 цвет по RAL</t>
  </si>
  <si>
    <t>Саморез металл-дерево 4,8*35 цвет по RAL</t>
  </si>
  <si>
    <t>Высота/ Ширина, м.</t>
  </si>
  <si>
    <t>Кол-во ребер, шт.</t>
  </si>
  <si>
    <t>Вес панели, кг</t>
  </si>
  <si>
    <t>Кол-во в упаковке, шт.</t>
  </si>
  <si>
    <t>Рекомендованная розничная цена за 1 панель, шт/руб.</t>
  </si>
  <si>
    <t>Рекоменд розничная цена, п.м./руб.</t>
  </si>
  <si>
    <t>0,63*2,5</t>
  </si>
  <si>
    <t>Панель MEDIUM С ПОЛИМЕРНЫМ ПОКРЫТИЕМ
ячейка основная 
200х55 мм
диаметр прутка 
4 мм</t>
  </si>
  <si>
    <t>PE 0.65, 0.7, 0.8, в т.ч. Фальц Ре 0.65, 0.7мм</t>
  </si>
  <si>
    <t>Розничный прайс-лист для клиентов СК Туоте Рус 2014</t>
  </si>
  <si>
    <t>Цвет</t>
  </si>
  <si>
    <t>Код изд.</t>
  </si>
  <si>
    <t>Цена руб./ шт.</t>
  </si>
  <si>
    <t>VILPE –проходные элементы для труб Ø 110-160 мм</t>
  </si>
  <si>
    <t>Проходные элементы для натуральной черепицы</t>
  </si>
  <si>
    <t>UNIVERSAL  проходной элемент</t>
  </si>
  <si>
    <t>черный</t>
  </si>
  <si>
    <t>для всех видов цементно-песчаной</t>
  </si>
  <si>
    <t>и керамической черепицы.</t>
  </si>
  <si>
    <t>зеленый</t>
  </si>
  <si>
    <t>кирпичный</t>
  </si>
  <si>
    <t>TIILI  проходной элемент</t>
  </si>
  <si>
    <t>для цементно-песчаной черепицы.</t>
  </si>
  <si>
    <t xml:space="preserve">Заменяет одну двухволновую черепичку    </t>
  </si>
  <si>
    <t>шириной 330 мм и высотой волны 27-40 мм.</t>
  </si>
  <si>
    <t>светло-серый 74012</t>
  </si>
  <si>
    <t>PT 10 проходной элемент</t>
  </si>
  <si>
    <t>для черепичной кровли Röben Monza Plus.</t>
  </si>
  <si>
    <t>Заменяет одну черепичку на кровле.</t>
  </si>
  <si>
    <t>PT 20 проходной элемент</t>
  </si>
  <si>
    <t>для черепичной кровли Karpiowka.</t>
  </si>
  <si>
    <t>Заменяет четыре черепички на кровле.</t>
  </si>
  <si>
    <t>PT 30 проходной элемент</t>
  </si>
  <si>
    <t>для черепичной кровли Braas Amber V12.</t>
  </si>
  <si>
    <t>для черепицы Creaton Balanse.</t>
  </si>
  <si>
    <t>PT 50 проходной элемент</t>
  </si>
  <si>
    <t>для черепицы Koramic Renesansowa L15.</t>
  </si>
  <si>
    <t>PT 60 проходной элемент</t>
  </si>
  <si>
    <t>для черепицы Röben Piemont.</t>
  </si>
  <si>
    <t>VITTINGE  проходной элемент</t>
  </si>
  <si>
    <t>1-волновая</t>
  </si>
  <si>
    <t>для черепицы VITTINGE.</t>
  </si>
  <si>
    <t>2-волновая</t>
  </si>
  <si>
    <t>Проходные элементы для битумной кровли</t>
  </si>
  <si>
    <t xml:space="preserve">черный  </t>
  </si>
  <si>
    <t xml:space="preserve"> </t>
  </si>
  <si>
    <t>для битумной и сланцевой кровли.</t>
  </si>
  <si>
    <t xml:space="preserve">зеленый  </t>
  </si>
  <si>
    <t>светло-серый</t>
  </si>
  <si>
    <t>HUOPA  проходной элемент высокий</t>
  </si>
  <si>
    <t>для плоских и пологих кровель</t>
  </si>
  <si>
    <t>Проходные элементы для готовой мягкой и фальцованной кровли</t>
  </si>
  <si>
    <t>CLASSIC проходной элемент</t>
  </si>
  <si>
    <t>для фальцованной и мягкой кровли.</t>
  </si>
  <si>
    <t xml:space="preserve">  </t>
  </si>
  <si>
    <t>Проходные элементы для металлической кровли</t>
  </si>
  <si>
    <t>PELTI проходной элемент</t>
  </si>
  <si>
    <t>для металлочерепицы c высотой профиля до 38 мм.</t>
  </si>
  <si>
    <t xml:space="preserve">красный  </t>
  </si>
  <si>
    <t>баклажан</t>
  </si>
  <si>
    <t>7355А</t>
  </si>
  <si>
    <t>шоколадный</t>
  </si>
  <si>
    <t>7355В</t>
  </si>
  <si>
    <t>бордо</t>
  </si>
  <si>
    <t>7355W</t>
  </si>
  <si>
    <t>MUOTOKATE  проходной элемент</t>
  </si>
  <si>
    <t>для металлочерепицы с округлым профилем.</t>
  </si>
  <si>
    <t>Заменяет проходные элементы MAXI и ELIITTI.</t>
  </si>
  <si>
    <t>7517А</t>
  </si>
  <si>
    <t>7517В</t>
  </si>
  <si>
    <t>7517W</t>
  </si>
  <si>
    <t>VARTTI  проходной элемент</t>
  </si>
  <si>
    <t>для кровли из материала Vartti, Tupla-Vartti и</t>
  </si>
  <si>
    <t xml:space="preserve">Mineral-Ranch, с шириной волны 177 мм,  </t>
  </si>
  <si>
    <t>высотой волны 57 мм.</t>
  </si>
  <si>
    <t>DECRA   проходной элемент</t>
  </si>
  <si>
    <t>для металлочерепицы типа DECRA.</t>
  </si>
  <si>
    <t>Уплотнитель гидрозатвора</t>
  </si>
  <si>
    <t>XL–проходные элементы для труб Ø 160-250 мм</t>
  </si>
  <si>
    <t>XL-TIILI проходной элемент</t>
  </si>
  <si>
    <t xml:space="preserve">для цементно-песчаной черепицы.  </t>
  </si>
  <si>
    <t>Заменяет две двухволновые черепички</t>
  </si>
  <si>
    <t>XL-HUOPA проходной элемент</t>
  </si>
  <si>
    <t xml:space="preserve"> для мягкого кровельного материала.</t>
  </si>
  <si>
    <t xml:space="preserve">серый  </t>
  </si>
  <si>
    <t xml:space="preserve">кирпичный  </t>
  </si>
  <si>
    <t>XL-HUOPA проходной элемент высокий</t>
  </si>
  <si>
    <t>XL- CLASSIC проходной элемент</t>
  </si>
  <si>
    <t xml:space="preserve"> для фальцованной и мягкой кровли.</t>
  </si>
  <si>
    <t xml:space="preserve">коричневый  </t>
  </si>
  <si>
    <t>XL-UNIVERSAL/PELTI проходной элемент</t>
  </si>
  <si>
    <t>для металлочерепицы независимо от профиля и</t>
  </si>
  <si>
    <t xml:space="preserve"> всех видов цементно-песчаной и керамической</t>
  </si>
  <si>
    <t>черепицы.</t>
  </si>
  <si>
    <t>XL-MUOTOKATE проходной элемент</t>
  </si>
  <si>
    <t>для металлических кровель с профилем Monterrey</t>
  </si>
  <si>
    <t>(ширина волны 183,3 мм, длина профиля 350 мм и</t>
  </si>
  <si>
    <t>высота профиля около 39 мм).</t>
  </si>
  <si>
    <t>MUOTOKATE примыкание</t>
  </si>
  <si>
    <t>материала с XL -MUOTOKATE проходным элементом и</t>
  </si>
  <si>
    <t>другими конструкциями.</t>
  </si>
  <si>
    <t>XL- Уплотнитель гидрозатвора</t>
  </si>
  <si>
    <t>73204</t>
  </si>
  <si>
    <t>SOLAR HUOPA  проходной элемент</t>
  </si>
  <si>
    <t>для мягкого кровельного материала</t>
  </si>
  <si>
    <t>SOLAR HUOPA  проходной элемент высокий</t>
  </si>
  <si>
    <t>SOLAR CLASSIC проходной элемент</t>
  </si>
  <si>
    <t>SOLAR PELTI проходной элемент</t>
  </si>
  <si>
    <t>SOLAR MUOTOKATE  проходной элемент</t>
  </si>
  <si>
    <t>SOLAR TIILI  проходной элемент</t>
  </si>
  <si>
    <t>SOLAR UNIVERSAL  проходной элемент</t>
  </si>
  <si>
    <t>SOLAR VITTINGE  проходной элемент</t>
  </si>
  <si>
    <t>SOLAR уплотнитель 4 -50 мм</t>
  </si>
  <si>
    <t>для кабелей и трубок диаметром меньше 60 мм.</t>
  </si>
  <si>
    <t>Заменяет уплотнитель из комплекта поставки SOLAR проходного элемента.</t>
  </si>
  <si>
    <t>Кровельные вентили для натуральной черепицы</t>
  </si>
  <si>
    <t>UNIVERSAL – KTV вентиль б/адаптера</t>
  </si>
  <si>
    <t>цементно-песчаной и керамической черепицы.</t>
  </si>
  <si>
    <t>пространства)</t>
  </si>
  <si>
    <t>TIILI - KTV вентиль</t>
  </si>
  <si>
    <t>H-T ALIPAI коньковый для черепицы</t>
  </si>
  <si>
    <t>Заменяет одну коньковую черепичку.</t>
  </si>
  <si>
    <t>Высота трубы 150 мм, высота с колпаком 300 мм.</t>
  </si>
  <si>
    <t>VITTINGE - KTV вентиль</t>
  </si>
  <si>
    <t>Кровельный вентиль для черепицы VITTINGE.</t>
  </si>
  <si>
    <t>Адаптер для KTV кровельного вентиля</t>
  </si>
  <si>
    <t>для соединения с выводимой трубой</t>
  </si>
  <si>
    <t>Кровельные вентили для мягкой кровли</t>
  </si>
  <si>
    <t>для вентиляции мягкой кровли.</t>
  </si>
  <si>
    <t>HUOPA - KTV вентиль б/адаптера</t>
  </si>
  <si>
    <t>кровельного материала.</t>
  </si>
  <si>
    <t>(синий вентиль с черным проходным элементом).</t>
  </si>
  <si>
    <t>HUOPA - KTV / HARJA вентиль б/адаптера</t>
  </si>
  <si>
    <t>к стене.</t>
  </si>
  <si>
    <t>Кровельные вентили для готовой мягкой и фальцованной кровли</t>
  </si>
  <si>
    <t>CLASSIC - KTV вентиль б/адаптера</t>
  </si>
  <si>
    <t xml:space="preserve">Кровельный вентиль для фальцованной  </t>
  </si>
  <si>
    <t>Кровельные вентили для металлической кровли</t>
  </si>
  <si>
    <t>PELTI - KTV вентиль б/адаптера</t>
  </si>
  <si>
    <t>с профилем не выше 38 мм.</t>
  </si>
  <si>
    <t>коньковый вентиль для металлической кровли</t>
  </si>
  <si>
    <t>MUOTOKATE-KTV вентиль б/адаптера</t>
  </si>
  <si>
    <t>с округлым профилем.</t>
  </si>
  <si>
    <t>Заменяет кровельный вентиль MAXI и ELIITTI.</t>
  </si>
  <si>
    <t>7519A</t>
  </si>
  <si>
    <t>7519B</t>
  </si>
  <si>
    <t>7519W</t>
  </si>
  <si>
    <t>DECRA-KTV вентиль б/адаптера</t>
  </si>
  <si>
    <t>Кровельный вентиль для металлочерепицы типа DECRA.</t>
  </si>
  <si>
    <t>(включает стандартный Huopa проходной элемент)</t>
  </si>
  <si>
    <t>(включает высокий Huopa проходной элемент)</t>
  </si>
  <si>
    <t>Высоту дефлектора можно наращивать с помощью дополнительных патрубков.</t>
  </si>
  <si>
    <t>110/300/H вентиляционный выход + колпак</t>
  </si>
  <si>
    <t>Вент. выход канализации в мягком климате</t>
  </si>
  <si>
    <t>высота 300 мм</t>
  </si>
  <si>
    <t>74130A</t>
  </si>
  <si>
    <t>74130B</t>
  </si>
  <si>
    <t>74130W</t>
  </si>
  <si>
    <t>Вентиляционные выходы канализационных стояков</t>
  </si>
  <si>
    <t>110/500 вентиляционный выход</t>
  </si>
  <si>
    <t>Вент. выход канализации, высота 500 мм</t>
  </si>
  <si>
    <t>110/ИЗ/500 вентиляционный выход</t>
  </si>
  <si>
    <t>Вент. выход канализации изолированный.</t>
  </si>
  <si>
    <t>Высота 500 мм. Внешний Ø 160мм.</t>
  </si>
  <si>
    <t>Изолирующий кожух - 110</t>
  </si>
  <si>
    <t>для теплоизоляции вент. выхода</t>
  </si>
  <si>
    <t>канализации 110мм.</t>
  </si>
  <si>
    <t>Внешний Ø 160мм.</t>
  </si>
  <si>
    <t>Колпак VILPE-110</t>
  </si>
  <si>
    <t>Колпак-дефлектор для труб Ø 110мм.</t>
  </si>
  <si>
    <t>Оснащенный колпаком вент. выход канализации</t>
  </si>
  <si>
    <t>Колпак VILPE-160</t>
  </si>
  <si>
    <t>Вентиляционные выходы 0- 600 м3/ч</t>
  </si>
  <si>
    <t>125 /ИЗ/700 вентиляционный выход</t>
  </si>
  <si>
    <t xml:space="preserve"> 700 мм + колпак.</t>
  </si>
  <si>
    <t>125 /ИЗ/500 вентиляционный выход</t>
  </si>
  <si>
    <t xml:space="preserve"> 500 мм + колпак.</t>
  </si>
  <si>
    <t>73440A</t>
  </si>
  <si>
    <t>73440B</t>
  </si>
  <si>
    <t>73440W</t>
  </si>
  <si>
    <t>160/ИЗ/700 вентиляционный выход</t>
  </si>
  <si>
    <t>Внешний Ø 225мм.</t>
  </si>
  <si>
    <t>160/ИЗ/500 вентиляционный выход</t>
  </si>
  <si>
    <t>XL - Вентиляционные выходы  0- 1300 м3/ч</t>
  </si>
  <si>
    <t>XL-160/ИЗ/700 вентиляционный выход</t>
  </si>
  <si>
    <t>Внешний Ø 300мм.</t>
  </si>
  <si>
    <t>XL- 160/ИЗ/500 вентиляционный выход</t>
  </si>
  <si>
    <t>XL-200/ИЗ/700 вентиляционный выход</t>
  </si>
  <si>
    <t>XL-200/ИЗ/500 вентиляционный выход</t>
  </si>
  <si>
    <t>XL-250/ИЗ/700 вентиляционный выход</t>
  </si>
  <si>
    <t xml:space="preserve"> XL-250/ИЗ/500 вентиляционный выход</t>
  </si>
  <si>
    <t>Вытяжка центрального пылесоса</t>
  </si>
  <si>
    <t>75/110/500 вытяжная труба</t>
  </si>
  <si>
    <t>Выход на кровлю трубы центрального</t>
  </si>
  <si>
    <t>пылесоса  + колпак + переходник Ø 50/44.</t>
  </si>
  <si>
    <t>Внешний Ø 110мм.</t>
  </si>
  <si>
    <t>S - Вентиляционные выходы</t>
  </si>
  <si>
    <t>S - 125  вентиляционный  выход</t>
  </si>
  <si>
    <t>канальным вентилятором</t>
  </si>
  <si>
    <t>или рекуператором.</t>
  </si>
  <si>
    <t>S - 160  вентиляционный  выход</t>
  </si>
  <si>
    <t>S - 200  вентиляционный  выход</t>
  </si>
  <si>
    <t>S - 250  вентиляционный  выход</t>
  </si>
  <si>
    <t>S - Вентиляторы  0- 800 м3/ч</t>
  </si>
  <si>
    <t>VRA 194</t>
  </si>
  <si>
    <t>0 -400 м3/ч</t>
  </si>
  <si>
    <t>(диаметр воздуховода 125 мм)</t>
  </si>
  <si>
    <t>Основание  E120 S</t>
  </si>
  <si>
    <t>Размеры 250 х 250 мм</t>
  </si>
  <si>
    <t>0 -500 м3/ч</t>
  </si>
  <si>
    <t>0 -700 м3/ч</t>
  </si>
  <si>
    <t>Основание Е190 S / Eco 190 S</t>
  </si>
  <si>
    <t>Размеры 300 х 300 мм</t>
  </si>
  <si>
    <t>0 -800 м3/ч</t>
  </si>
  <si>
    <t>(диаметр воздуховода 160 мм)</t>
  </si>
  <si>
    <t xml:space="preserve">0 -1000 м3/ч   </t>
  </si>
  <si>
    <t>В комплект входит основание E220S/ECo220S.</t>
  </si>
  <si>
    <t>Основание Е220S/EСо220S</t>
  </si>
  <si>
    <t>(диаметр воздуховода 200 мм)</t>
  </si>
  <si>
    <t>Основание Е250 S/Е310 S</t>
  </si>
  <si>
    <t>Размеры 400 х 400 мм</t>
  </si>
  <si>
    <t>Специальные вентиляторы</t>
  </si>
  <si>
    <t>0 -600 м3/ч     Внешний Ø 160 мм.</t>
  </si>
  <si>
    <t>Для монтажа нужен проходной элемент по типу кровли.</t>
  </si>
  <si>
    <t>0 -600 м3/ч    Диаметр воздуховода Ø 160 мм.</t>
  </si>
  <si>
    <t>Устанавливаются на основание E120S.</t>
  </si>
  <si>
    <t xml:space="preserve"> Р-Вентиляторы  0- 800 м3/ч</t>
  </si>
  <si>
    <t>E120 Р/ 125 / 700 вентилятор</t>
  </si>
  <si>
    <t>Внешний Ø 160 мм.</t>
  </si>
  <si>
    <t>E120 Р/ 125 / 500 вентилятор</t>
  </si>
  <si>
    <t>E190 Р/ 125 / 700 вентилятор</t>
  </si>
  <si>
    <t>С шумопоглотителем</t>
  </si>
  <si>
    <t>Внешний Ø 225 мм.</t>
  </si>
  <si>
    <t>E190 Р/ 125 / 500 вентилятор</t>
  </si>
  <si>
    <t>ECo 190 Р/ 125 / 700 вентилятор</t>
  </si>
  <si>
    <t>ECo 190 Р/ 125 / 500 вентилятор</t>
  </si>
  <si>
    <t>E220 Р/ 160 / 700 вентилятор</t>
  </si>
  <si>
    <t>E220 Р/ 160 / 500 вентилятор</t>
  </si>
  <si>
    <t>Eco 220Р/160/700 вентилятор</t>
  </si>
  <si>
    <t>0 -1000 м3/ч</t>
  </si>
  <si>
    <t>Eco 220Р/160/500 вентилятор</t>
  </si>
  <si>
    <t>XL-Вентиляторы 0- 1600 м3/ч</t>
  </si>
  <si>
    <t>Быстрый     0 - 800 м3/ч</t>
  </si>
  <si>
    <t>Внешний Ø 300 мм.</t>
  </si>
  <si>
    <t>PIIPPU  проходной элемент NO.1 круглый</t>
  </si>
  <si>
    <t>для дымовых труб диаметром 200-265 мм.</t>
  </si>
  <si>
    <t>PIIPPU уплотнитель гидрозатвора NO.1</t>
  </si>
  <si>
    <t>кровли, кроме мягкой</t>
  </si>
  <si>
    <t>PIIPPU  проходной элемент NO.2 круглый</t>
  </si>
  <si>
    <t>PIIPPU уплотнитель гидрозатвора NO.2</t>
  </si>
  <si>
    <t>для монтажа на натуральной, металлочерепице и</t>
  </si>
  <si>
    <t>фальцевой кровле.</t>
  </si>
  <si>
    <t>ROOFIT UNIVERSAL примыкание</t>
  </si>
  <si>
    <t>для металлочерепицы с округлым профилем и</t>
  </si>
  <si>
    <t xml:space="preserve">кровельного материала с окантовкой печных труб  </t>
  </si>
  <si>
    <t>и других металлических конструкций.</t>
  </si>
  <si>
    <t>Крепежные планки</t>
  </si>
  <si>
    <t>на фальцевой кровле.</t>
  </si>
  <si>
    <t>Уплотнители выходов антенн и отопительных котлов</t>
  </si>
  <si>
    <t>Антенный ворот 12 - 90</t>
  </si>
  <si>
    <t>для антенн и труб Ø 12-90 мм.</t>
  </si>
  <si>
    <t>ЭПДМ-резина Ø12-19-25-38-50-60-75-90  мм</t>
  </si>
  <si>
    <t xml:space="preserve"> + пластиковый ворот.</t>
  </si>
  <si>
    <t>Проходной элемент заказывается отдельно</t>
  </si>
  <si>
    <t>по типу кровельного материала.</t>
  </si>
  <si>
    <t>Ворот трубы 110 - 155</t>
  </si>
  <si>
    <t>для антенн и труб Ø 110-155 мм.</t>
  </si>
  <si>
    <t xml:space="preserve">ЭПДМ-резина Ø 110 -125-140-155 мм  </t>
  </si>
  <si>
    <t>+ пластиковый ворот.</t>
  </si>
  <si>
    <t xml:space="preserve">ЭПДМ-резина Ø 175 -200-225-250 мм. XL-прох.элемент  </t>
  </si>
  <si>
    <t>заказывается отдельно по типу кровельного материала.</t>
  </si>
  <si>
    <t>12-90</t>
  </si>
  <si>
    <t>75-150</t>
  </si>
  <si>
    <t>110-200</t>
  </si>
  <si>
    <t>150-280</t>
  </si>
  <si>
    <t>180-330</t>
  </si>
  <si>
    <t>260-460</t>
  </si>
  <si>
    <t>330-660</t>
  </si>
  <si>
    <t>RETROFIT  разъемные уплотнители</t>
  </si>
  <si>
    <t xml:space="preserve"> 10-100</t>
  </si>
  <si>
    <t>100-230</t>
  </si>
  <si>
    <t>Вентиляционные решетки универсального назначения</t>
  </si>
  <si>
    <t>Наружная вентиляционная решетка 150х150</t>
  </si>
  <si>
    <t>Применяется как жалюзийная решетка в системах</t>
  </si>
  <si>
    <t>бежевый</t>
  </si>
  <si>
    <t>естественной вентиляции и как приточно-</t>
  </si>
  <si>
    <t>вытяжная решетка в системах принудительной</t>
  </si>
  <si>
    <t>вентиляции.</t>
  </si>
  <si>
    <t>Наружная вентиляционная решетка 240х240</t>
  </si>
  <si>
    <t>Наружная вентиляционная решетка 375х375</t>
  </si>
  <si>
    <t>Фланец вентиляционной решетки 60 мм</t>
  </si>
  <si>
    <t>Фланец вентиляционной решетки 100 мм</t>
  </si>
  <si>
    <t>к наружной вентиляционной решетке 150х150</t>
  </si>
  <si>
    <t>Фланец вентиляционной решетки 125 мм</t>
  </si>
  <si>
    <t>Фланец вентиляционной решетки 160 мм</t>
  </si>
  <si>
    <t>Фланец вентиляционной решетки 200 мм</t>
  </si>
  <si>
    <t>к наружной вентиляционной решетке 240х240</t>
  </si>
  <si>
    <t>Фланец вентиляционной решетки 250 мм</t>
  </si>
  <si>
    <t>Фланец вентиляционной решетки 315 мм</t>
  </si>
  <si>
    <t>к наружной вентиляционной решетке 375х375</t>
  </si>
  <si>
    <t>Кровельные люки</t>
  </si>
  <si>
    <t>для натуральной черепицы, металлочерепицы и</t>
  </si>
  <si>
    <t>фальцевой кровли.</t>
  </si>
  <si>
    <t>подкровельное пространство.</t>
  </si>
  <si>
    <t>HUOPA  кровельный люк</t>
  </si>
  <si>
    <t>для мягких кровель.</t>
  </si>
  <si>
    <t>Вентиляционный куб</t>
  </si>
  <si>
    <t>белый "маляр"</t>
  </si>
  <si>
    <t>для вентиляции фасадов.</t>
  </si>
  <si>
    <t>с приточным вентилем, выходящим в помещение.</t>
  </si>
  <si>
    <t>Адаптер для вентиляционного куба</t>
  </si>
  <si>
    <t>Торцевые заглушки</t>
  </si>
  <si>
    <t>PELTI  торцевая заглушка</t>
  </si>
  <si>
    <t>для металлочерепицы.</t>
  </si>
  <si>
    <t>ТIILI  торцевая заглушка</t>
  </si>
  <si>
    <t xml:space="preserve">гаражей, котельных, подачи воздуха в камины и т.д.  </t>
  </si>
  <si>
    <t>Диаметр вертикальной части трубы 110 мм, диаметр горизонтальной</t>
  </si>
  <si>
    <t>(цокольной) части трубы 125 мм.</t>
  </si>
  <si>
    <t>приточной или вытяжной вентиляции подвальных помещений.</t>
  </si>
  <si>
    <t>Диаметр трубы 160 мм.</t>
  </si>
  <si>
    <t>Диаметр трубы 200 мм.</t>
  </si>
  <si>
    <t xml:space="preserve">ROSS-125 удлинитель  </t>
  </si>
  <si>
    <t>Высота трубы 445 мм.</t>
  </si>
  <si>
    <t>для замены старой вентиляционной трубы.</t>
  </si>
  <si>
    <t>вертикальной трубы Ross 125 и старой трубы 110 мм.</t>
  </si>
  <si>
    <t>вертикальной трубы Ross 160 и старой трубы 160 мм.</t>
  </si>
  <si>
    <t>Сайдинг ЭкоБрус **</t>
  </si>
  <si>
    <t>Ширина, мм</t>
  </si>
  <si>
    <t>min</t>
  </si>
  <si>
    <t>max</t>
  </si>
  <si>
    <t>Профнастил С10 Фигурный</t>
  </si>
  <si>
    <t>1,5 - 3</t>
  </si>
  <si>
    <t>Штрипс/отмотка</t>
  </si>
  <si>
    <t>&lt;=1250</t>
  </si>
  <si>
    <t>0,5/10</t>
  </si>
  <si>
    <t>Quarzit lite</t>
  </si>
  <si>
    <t>Отлив простой 250 мм</t>
  </si>
  <si>
    <t>Виниловый сайдинг GL AMERIKA</t>
  </si>
  <si>
    <t>Сайдинг-панель D4,4 GL Amerika</t>
  </si>
  <si>
    <t>Сайдинг-панель D4 GL Amerika</t>
  </si>
  <si>
    <t>бежевый, ванильный, желтый, персиковый, салатовый, серый, белый, кремовый, голубой</t>
  </si>
  <si>
    <t>Сайдинг-панель 
Блок-хаус D4,8 GL Amerika</t>
  </si>
  <si>
    <t>Сайдинг-панель вертикальный S6,3 GL Amerika</t>
  </si>
  <si>
    <t>белый, бежевый, ванильный, салатовый</t>
  </si>
  <si>
    <t>Софит T4 GL Amerika
(гладкий, перф-ный)</t>
  </si>
  <si>
    <t>Софит T4 GL Amerika 
(гладкий, перф-ный)</t>
  </si>
  <si>
    <t>Софит T3 GL Amerika (гладкий, перф-ный)</t>
  </si>
  <si>
    <r>
      <t>Стандартные цвета</t>
    </r>
    <r>
      <rPr>
        <sz val="8"/>
        <rFont val="Arial"/>
        <family val="2"/>
        <charset val="204"/>
      </rPr>
      <t>: бежевый, ванильный, желтый, персиковый, салатовый, серый, белый, сандаловый, кремовый, 
голубой</t>
    </r>
  </si>
  <si>
    <r>
      <rPr>
        <sz val="10"/>
        <color indexed="8"/>
        <rFont val="Franklin Gothic Book"/>
        <family val="2"/>
        <charset val="204"/>
      </rPr>
      <t>направление:</t>
    </r>
    <r>
      <rPr>
        <b/>
        <sz val="12"/>
        <color indexed="10"/>
        <rFont val="Franklin Gothic Book"/>
        <family val="2"/>
        <charset val="204"/>
      </rPr>
      <t xml:space="preserve">                                            </t>
    </r>
    <r>
      <rPr>
        <b/>
        <i/>
        <sz val="16"/>
        <color indexed="62"/>
        <rFont val="Franklin Gothic Book"/>
        <family val="2"/>
        <charset val="204"/>
      </rPr>
      <t xml:space="preserve">VILPE </t>
    </r>
    <r>
      <rPr>
        <b/>
        <i/>
        <sz val="12"/>
        <color indexed="62"/>
        <rFont val="Franklin Gothic Book"/>
        <family val="2"/>
        <charset val="204"/>
      </rPr>
      <t>Скатные кровли</t>
    </r>
  </si>
  <si>
    <t>введите в поле ниже вашу скидку в %</t>
  </si>
  <si>
    <t>Ваша закупочная цена в руб./ шт.</t>
  </si>
  <si>
    <t/>
  </si>
  <si>
    <t xml:space="preserve">PT 40 проходной элемент </t>
  </si>
  <si>
    <t xml:space="preserve">коричневый </t>
  </si>
  <si>
    <t xml:space="preserve">серый </t>
  </si>
  <si>
    <t xml:space="preserve">красный </t>
  </si>
  <si>
    <t xml:space="preserve">кирпичный </t>
  </si>
  <si>
    <t xml:space="preserve">светло-серый </t>
  </si>
  <si>
    <t xml:space="preserve">зеленый </t>
  </si>
  <si>
    <r>
      <t xml:space="preserve">Проходные элементы для металлической кровли с каменной посыпкой </t>
    </r>
    <r>
      <rPr>
        <sz val="10"/>
        <rFont val="Franklin Gothic Book"/>
        <family val="2"/>
        <charset val="204"/>
      </rPr>
      <t>(композитная черепица)</t>
    </r>
  </si>
  <si>
    <t xml:space="preserve">высота профиля около 39 мм). для стыковки кровельного </t>
  </si>
  <si>
    <r>
      <t xml:space="preserve">VILPE – SOLAR проходные элементы </t>
    </r>
    <r>
      <rPr>
        <sz val="10"/>
        <rFont val="Franklin Gothic Book"/>
        <family val="2"/>
        <charset val="204"/>
      </rPr>
      <t>(для выведения на крышу кабелей и труб малого диаметра)</t>
    </r>
  </si>
  <si>
    <r>
      <t>Вентиляция кровли</t>
    </r>
    <r>
      <rPr>
        <sz val="12"/>
        <rFont val="Franklin Gothic Book"/>
        <family val="2"/>
        <charset val="204"/>
      </rPr>
      <t xml:space="preserve"> (</t>
    </r>
    <r>
      <rPr>
        <sz val="10"/>
        <rFont val="Franklin Gothic Book"/>
        <family val="2"/>
        <charset val="204"/>
      </rPr>
      <t>VILPE KTV - кровельные вентили)</t>
    </r>
  </si>
  <si>
    <t xml:space="preserve">Кровельный вентиль для всех видов </t>
  </si>
  <si>
    <t xml:space="preserve">Без адаптера (для вентиляции подкровельного </t>
  </si>
  <si>
    <t xml:space="preserve">Кровельный вентиль  для цементно-песчаной </t>
  </si>
  <si>
    <t xml:space="preserve">черепицы. Заменяет одну двухволновую черепичку </t>
  </si>
  <si>
    <t xml:space="preserve">С адаптером (для соединения c вент. трубой) </t>
  </si>
  <si>
    <t xml:space="preserve">AIRIDGE FELT коньковый вентиль </t>
  </si>
  <si>
    <t xml:space="preserve">Кровельный вентиль для мягкого </t>
  </si>
  <si>
    <t xml:space="preserve">Кровельный вентиль для мягкой кровли. </t>
  </si>
  <si>
    <t xml:space="preserve">Устанавливается на скат или конек кровли и впритык </t>
  </si>
  <si>
    <t xml:space="preserve">Кровельный вентиль для металлочерепицы </t>
  </si>
  <si>
    <t xml:space="preserve">PELTI KTV / HARJA </t>
  </si>
  <si>
    <r>
      <t xml:space="preserve">Кровельные вентили для металлической кровли с каменной посыпкой </t>
    </r>
    <r>
      <rPr>
        <sz val="10"/>
        <rFont val="Franklin Gothic Book"/>
        <family val="2"/>
        <charset val="204"/>
      </rPr>
      <t>(композитная черепица)</t>
    </r>
  </si>
  <si>
    <r>
      <t xml:space="preserve">Дефлекторы коньковые и для скатных кровель </t>
    </r>
    <r>
      <rPr>
        <sz val="10"/>
        <rFont val="Franklin Gothic Book"/>
        <family val="2"/>
        <charset val="204"/>
      </rPr>
      <t>(для вентиляции подкровельного пространства)</t>
    </r>
  </si>
  <si>
    <r>
      <t>ALIPAI - 75</t>
    </r>
    <r>
      <rPr>
        <sz val="10"/>
        <rFont val="Franklin Gothic Book"/>
        <family val="2"/>
      </rPr>
      <t xml:space="preserve"> дефлектор коньковый труба 380 мм</t>
    </r>
  </si>
  <si>
    <r>
      <t>ALIPAI - 110</t>
    </r>
    <r>
      <rPr>
        <sz val="10"/>
        <rFont val="Franklin Gothic Book"/>
        <family val="2"/>
      </rPr>
      <t xml:space="preserve"> дефлектор коньковый труба 310 мм</t>
    </r>
  </si>
  <si>
    <r>
      <t>ALIPAI - 160</t>
    </r>
    <r>
      <rPr>
        <sz val="10"/>
        <rFont val="Franklin Gothic Book"/>
        <family val="2"/>
      </rPr>
      <t xml:space="preserve"> дефлектор коньковый труба 430 мм</t>
    </r>
  </si>
  <si>
    <r>
      <t>ALIPAI - 110</t>
    </r>
    <r>
      <rPr>
        <sz val="10"/>
        <rFont val="Franklin Gothic Book"/>
        <family val="2"/>
      </rPr>
      <t xml:space="preserve"> дефлектор скатный труба 500 мм</t>
    </r>
  </si>
  <si>
    <r>
      <t>ALIPAI - 110</t>
    </r>
    <r>
      <rPr>
        <sz val="10"/>
        <rFont val="Franklin Gothic Book"/>
        <family val="2"/>
      </rPr>
      <t xml:space="preserve"> дефлектор скатный/пологий труба 500 мм</t>
    </r>
  </si>
  <si>
    <r>
      <t>Патрубок - 110</t>
    </r>
    <r>
      <rPr>
        <sz val="10"/>
        <rFont val="Franklin Gothic Book"/>
        <family val="2"/>
      </rPr>
      <t>,  120 мм</t>
    </r>
  </si>
  <si>
    <r>
      <t>Патрубок - 75</t>
    </r>
    <r>
      <rPr>
        <sz val="10"/>
        <rFont val="Franklin Gothic Book"/>
        <family val="2"/>
      </rPr>
      <t>,  160 мм</t>
    </r>
  </si>
  <si>
    <r>
      <t>ALIPAI - 160</t>
    </r>
    <r>
      <rPr>
        <sz val="10"/>
        <rFont val="Franklin Gothic Book"/>
        <family val="2"/>
      </rPr>
      <t xml:space="preserve"> дефлектор скатный/пологий труба 540 мм</t>
    </r>
  </si>
  <si>
    <r>
      <t>ALIPAI - 160</t>
    </r>
    <r>
      <rPr>
        <sz val="10"/>
        <rFont val="Franklin Gothic Book"/>
        <family val="2"/>
      </rPr>
      <t xml:space="preserve"> дефлектор скатный/пологий труба 930 мм</t>
    </r>
  </si>
  <si>
    <t xml:space="preserve">Для вентиляции подкровельного пространства. </t>
  </si>
  <si>
    <r>
      <t>Труба-110 гофрированная</t>
    </r>
    <r>
      <rPr>
        <sz val="10"/>
        <rFont val="Franklin Gothic Book"/>
        <family val="2"/>
        <charset val="204"/>
      </rPr>
      <t xml:space="preserve"> (для соединения вент. выхода с канализационным стояком диаметром 110 мм.)</t>
    </r>
  </si>
  <si>
    <r>
      <t>Адаптер-75 для гофрированной трубы</t>
    </r>
    <r>
      <rPr>
        <sz val="10"/>
        <rFont val="Franklin Gothic Book"/>
        <family val="2"/>
        <charset val="204"/>
      </rPr>
      <t xml:space="preserve"> (Если диаметр канализационной трубы 75 мм)</t>
    </r>
  </si>
  <si>
    <t xml:space="preserve">Ø 110мм применяется для вентиляции </t>
  </si>
  <si>
    <t xml:space="preserve">подкровельного пространства. </t>
  </si>
  <si>
    <t xml:space="preserve"> Колпак-дефлектор для труб с внешним Ø 160 мм. </t>
  </si>
  <si>
    <t xml:space="preserve">Изолированный вентиляционный выход высотой </t>
  </si>
  <si>
    <t xml:space="preserve">Кровельный выход вентиляционной системы с </t>
  </si>
  <si>
    <r>
      <t xml:space="preserve">Тиристор - REE 1 </t>
    </r>
    <r>
      <rPr>
        <sz val="10"/>
        <rFont val="Franklin Gothic Book"/>
        <family val="2"/>
        <charset val="204"/>
      </rPr>
      <t>(Регулятор скорости для вентиляторов переменного тока)</t>
    </r>
  </si>
  <si>
    <t xml:space="preserve">E120 S  вентилятор </t>
  </si>
  <si>
    <t xml:space="preserve">E190 S  вентилятор </t>
  </si>
  <si>
    <t xml:space="preserve">ECo 190 S  вентилятор </t>
  </si>
  <si>
    <r>
      <t>ЕСo регулятор  0-10 В</t>
    </r>
    <r>
      <rPr>
        <sz val="10"/>
        <rFont val="Franklin Gothic Book"/>
        <family val="2"/>
        <charset val="204"/>
      </rPr>
      <t xml:space="preserve"> (Модель MVT-1/010-РМ)</t>
    </r>
  </si>
  <si>
    <t xml:space="preserve">E220 S  вентилятор </t>
  </si>
  <si>
    <t xml:space="preserve">ECo 220 S  вентилятор </t>
  </si>
  <si>
    <t xml:space="preserve">ECo110P/110/700 вентилятор </t>
  </si>
  <si>
    <t xml:space="preserve">Для вентиляции биотуалетов и удаления почвенного </t>
  </si>
  <si>
    <t xml:space="preserve">газа радона. Имеет мотор со специальной защитой. </t>
  </si>
  <si>
    <t xml:space="preserve">ECo110P/110/500 вентилятор </t>
  </si>
  <si>
    <t xml:space="preserve">ECo110S вентилятор </t>
  </si>
  <si>
    <t xml:space="preserve">VILPE TI-17 каминный вентилятор </t>
  </si>
  <si>
    <r>
      <t xml:space="preserve">VILPE – PIIPPU проходные элементы </t>
    </r>
    <r>
      <rPr>
        <sz val="10"/>
        <rFont val="Franklin Gothic Book"/>
        <family val="2"/>
        <charset val="204"/>
      </rPr>
      <t>(для герметичного вывода на кровлю металлических теплоизолированных труб)</t>
    </r>
  </si>
  <si>
    <t xml:space="preserve">для монтажа PIIPPU проходного элемента на всех видах </t>
  </si>
  <si>
    <t xml:space="preserve">цементно-песчаной черепицы для стыковки </t>
  </si>
  <si>
    <t xml:space="preserve">для окантовки PIIPPU проходного элемента. </t>
  </si>
  <si>
    <t xml:space="preserve">для облегчения монтажа PIIPPU проходного элемента </t>
  </si>
  <si>
    <t xml:space="preserve">XL- резиновый ворот 175 - 250 мм </t>
  </si>
  <si>
    <r>
      <t xml:space="preserve">Резиновые уплотнители для металлических кровель </t>
    </r>
    <r>
      <rPr>
        <sz val="10"/>
        <rFont val="Franklin Gothic Book"/>
        <family val="2"/>
        <charset val="204"/>
      </rPr>
      <t>(для герметичного прохода через кровлю круглых элементов)</t>
    </r>
  </si>
  <si>
    <t xml:space="preserve">ROOFSEAL - уплотнители </t>
  </si>
  <si>
    <r>
      <t>ROOFSEAL - 1</t>
    </r>
    <r>
      <rPr>
        <sz val="10"/>
        <rFont val="Franklin Gothic Book"/>
        <family val="2"/>
      </rPr>
      <t xml:space="preserve">  12-19 уплотнитель</t>
    </r>
  </si>
  <si>
    <r>
      <t>ROOFSEAL - 2</t>
    </r>
    <r>
      <rPr>
        <sz val="10"/>
        <rFont val="Franklin Gothic Book"/>
        <family val="2"/>
      </rPr>
      <t xml:space="preserve">  75-150 уплотнитель</t>
    </r>
  </si>
  <si>
    <r>
      <t>ROOFSEAL - 3</t>
    </r>
    <r>
      <rPr>
        <sz val="10"/>
        <rFont val="Franklin Gothic Book"/>
        <family val="2"/>
      </rPr>
      <t xml:space="preserve">  110-200 уплотнитель</t>
    </r>
  </si>
  <si>
    <r>
      <t>ROOFSEAL - 3</t>
    </r>
    <r>
      <rPr>
        <sz val="10"/>
        <rFont val="Franklin Gothic Book"/>
        <family val="2"/>
      </rPr>
      <t xml:space="preserve">  110-200 уплотнитель серый</t>
    </r>
  </si>
  <si>
    <r>
      <t>ROOFSEAL - 4/7</t>
    </r>
    <r>
      <rPr>
        <sz val="10"/>
        <rFont val="Franklin Gothic Book"/>
        <family val="2"/>
      </rPr>
      <t xml:space="preserve">  150-280 уплотнитель</t>
    </r>
  </si>
  <si>
    <r>
      <t>ROOFSEAL - 5/8</t>
    </r>
    <r>
      <rPr>
        <sz val="10"/>
        <rFont val="Franklin Gothic Book"/>
        <family val="2"/>
      </rPr>
      <t xml:space="preserve">  180-330 уплотнитель</t>
    </r>
  </si>
  <si>
    <r>
      <t>ROOFSEAL - 6/9</t>
    </r>
    <r>
      <rPr>
        <sz val="10"/>
        <rFont val="Franklin Gothic Book"/>
        <family val="2"/>
      </rPr>
      <t xml:space="preserve">  260-460 уплотнитель</t>
    </r>
  </si>
  <si>
    <r>
      <t>ROOFSEAL - MAXI</t>
    </r>
    <r>
      <rPr>
        <sz val="10"/>
        <rFont val="Franklin Gothic Book"/>
        <family val="2"/>
      </rPr>
      <t xml:space="preserve">  330-660 уплотнитель</t>
    </r>
  </si>
  <si>
    <r>
      <t xml:space="preserve">ROOFSEAL  комплекты </t>
    </r>
    <r>
      <rPr>
        <sz val="10"/>
        <rFont val="Franklin Gothic Book"/>
        <family val="2"/>
      </rPr>
      <t>содержат</t>
    </r>
    <r>
      <rPr>
        <b/>
        <sz val="10"/>
        <rFont val="Franklin Gothic Book"/>
        <family val="2"/>
      </rPr>
      <t xml:space="preserve"> </t>
    </r>
    <r>
      <rPr>
        <sz val="10"/>
        <rFont val="Franklin Gothic Book"/>
        <family val="2"/>
      </rPr>
      <t>уплотнитель, хомут, шурупы, силикон и инструкцию.</t>
    </r>
  </si>
  <si>
    <r>
      <t>ROOFSEAL - 1</t>
    </r>
    <r>
      <rPr>
        <sz val="10"/>
        <rFont val="Franklin Gothic Book"/>
        <family val="2"/>
      </rPr>
      <t xml:space="preserve">  12-19 уплотнитель комплект</t>
    </r>
  </si>
  <si>
    <r>
      <t>ROOFSEAL - 2</t>
    </r>
    <r>
      <rPr>
        <sz val="10"/>
        <rFont val="Franklin Gothic Book"/>
        <family val="2"/>
      </rPr>
      <t xml:space="preserve">  75-150 уплотнитель комплект</t>
    </r>
  </si>
  <si>
    <r>
      <t>ROOFSEAL - 3</t>
    </r>
    <r>
      <rPr>
        <sz val="10"/>
        <rFont val="Franklin Gothic Book"/>
        <family val="2"/>
      </rPr>
      <t xml:space="preserve">  110-200 уплотнитель комплект</t>
    </r>
  </si>
  <si>
    <r>
      <t>ROOFSEAL - 3</t>
    </r>
    <r>
      <rPr>
        <sz val="10"/>
        <rFont val="Franklin Gothic Book"/>
        <family val="2"/>
      </rPr>
      <t xml:space="preserve">  110-200 уплотнитель комплект серый</t>
    </r>
  </si>
  <si>
    <r>
      <t>ROOFSEAL - 4/7</t>
    </r>
    <r>
      <rPr>
        <sz val="10"/>
        <rFont val="Franklin Gothic Book"/>
        <family val="2"/>
      </rPr>
      <t xml:space="preserve">  150-280 уплотнитель комплект</t>
    </r>
  </si>
  <si>
    <r>
      <t>ROOFSEAL - 5/8</t>
    </r>
    <r>
      <rPr>
        <sz val="10"/>
        <rFont val="Franklin Gothic Book"/>
        <family val="2"/>
      </rPr>
      <t xml:space="preserve">  180-330 уплотнитель комплект</t>
    </r>
  </si>
  <si>
    <r>
      <t>ROOFSEAL - 6/9</t>
    </r>
    <r>
      <rPr>
        <sz val="10"/>
        <rFont val="Franklin Gothic Book"/>
        <family val="2"/>
      </rPr>
      <t xml:space="preserve">  260-460 уплотнитель комплект</t>
    </r>
  </si>
  <si>
    <r>
      <t>RETROFIT-1</t>
    </r>
    <r>
      <rPr>
        <sz val="10"/>
        <rFont val="Franklin Gothic Book"/>
        <family val="2"/>
      </rPr>
      <t xml:space="preserve">  10-100 уплотнитель комплект</t>
    </r>
  </si>
  <si>
    <r>
      <t>RETROFIT-2</t>
    </r>
    <r>
      <rPr>
        <sz val="10"/>
        <rFont val="Franklin Gothic Book"/>
        <family val="2"/>
      </rPr>
      <t xml:space="preserve">  100-230 уплотнитель комплект</t>
    </r>
  </si>
  <si>
    <t xml:space="preserve">Сетка вентиляционной решетки 150х150 </t>
  </si>
  <si>
    <t xml:space="preserve">Сетка вентиляционной решетки 240х240 </t>
  </si>
  <si>
    <r>
      <t xml:space="preserve">UNIROOF кровельный люк </t>
    </r>
    <r>
      <rPr>
        <b/>
        <sz val="10"/>
        <color indexed="10"/>
        <rFont val="Franklin Gothic Book"/>
        <family val="2"/>
        <charset val="204"/>
      </rPr>
      <t>(НОВИНКА!)</t>
    </r>
  </si>
  <si>
    <t xml:space="preserve">Технический (пожарный) люк для доступа в </t>
  </si>
  <si>
    <t xml:space="preserve">Уплотнитель гидрозатвора </t>
  </si>
  <si>
    <r>
      <rPr>
        <sz val="10"/>
        <rFont val="Franklin Gothic Book"/>
        <family val="2"/>
        <charset val="204"/>
      </rPr>
      <t>к UNIROOF кровельный люку</t>
    </r>
    <r>
      <rPr>
        <b/>
        <sz val="10"/>
        <rFont val="Franklin Gothic Book"/>
        <family val="2"/>
      </rPr>
      <t xml:space="preserve"> </t>
    </r>
    <r>
      <rPr>
        <b/>
        <sz val="10"/>
        <color indexed="10"/>
        <rFont val="Franklin Gothic Book"/>
        <family val="2"/>
        <charset val="204"/>
      </rPr>
      <t>(НОВИНКА!)</t>
    </r>
  </si>
  <si>
    <t xml:space="preserve">В комплекте с адаптером служит для соединения </t>
  </si>
  <si>
    <r>
      <t xml:space="preserve">черный  </t>
    </r>
    <r>
      <rPr>
        <b/>
        <sz val="10"/>
        <color indexed="62"/>
        <rFont val="Franklin Gothic Book"/>
        <family val="2"/>
        <charset val="204"/>
      </rPr>
      <t>33</t>
    </r>
  </si>
  <si>
    <r>
      <t xml:space="preserve">коричневый  </t>
    </r>
    <r>
      <rPr>
        <b/>
        <sz val="10"/>
        <color indexed="62"/>
        <rFont val="Franklin Gothic Book"/>
        <family val="2"/>
        <charset val="204"/>
      </rPr>
      <t>32</t>
    </r>
  </si>
  <si>
    <r>
      <t xml:space="preserve">зеленый  </t>
    </r>
    <r>
      <rPr>
        <b/>
        <sz val="10"/>
        <color indexed="62"/>
        <rFont val="Franklin Gothic Book"/>
        <family val="2"/>
        <charset val="204"/>
      </rPr>
      <t>11</t>
    </r>
  </si>
  <si>
    <r>
      <t xml:space="preserve">темно-серый </t>
    </r>
    <r>
      <rPr>
        <b/>
        <sz val="10"/>
        <color indexed="62"/>
        <rFont val="Franklin Gothic Book"/>
        <family val="2"/>
        <charset val="204"/>
      </rPr>
      <t>23</t>
    </r>
  </si>
  <si>
    <r>
      <t xml:space="preserve">красный </t>
    </r>
    <r>
      <rPr>
        <b/>
        <sz val="10"/>
        <color indexed="62"/>
        <rFont val="Franklin Gothic Book"/>
        <family val="2"/>
        <charset val="204"/>
      </rPr>
      <t>28</t>
    </r>
  </si>
  <si>
    <r>
      <t xml:space="preserve">кирпичный </t>
    </r>
    <r>
      <rPr>
        <b/>
        <sz val="10"/>
        <color indexed="62"/>
        <rFont val="Franklin Gothic Book"/>
        <family val="2"/>
        <charset val="204"/>
      </rPr>
      <t>ТР-750</t>
    </r>
  </si>
  <si>
    <r>
      <t xml:space="preserve">синий </t>
    </r>
    <r>
      <rPr>
        <b/>
        <sz val="10"/>
        <color indexed="62"/>
        <rFont val="Franklin Gothic Book"/>
        <family val="2"/>
        <charset val="204"/>
      </rPr>
      <t>35</t>
    </r>
  </si>
  <si>
    <r>
      <t xml:space="preserve">серый  </t>
    </r>
    <r>
      <rPr>
        <b/>
        <sz val="10"/>
        <color indexed="62"/>
        <rFont val="Franklin Gothic Book"/>
        <family val="2"/>
        <charset val="204"/>
      </rPr>
      <t>22</t>
    </r>
  </si>
  <si>
    <r>
      <t xml:space="preserve">светло-серый </t>
    </r>
    <r>
      <rPr>
        <b/>
        <sz val="10"/>
        <color indexed="62"/>
        <rFont val="Franklin Gothic Book"/>
        <family val="2"/>
        <charset val="204"/>
      </rPr>
      <t>21</t>
    </r>
  </si>
  <si>
    <r>
      <t xml:space="preserve">зеленый  </t>
    </r>
    <r>
      <rPr>
        <b/>
        <sz val="10"/>
        <color indexed="62"/>
        <rFont val="Franklin Gothic Book"/>
        <family val="2"/>
        <charset val="204"/>
      </rPr>
      <t>37</t>
    </r>
  </si>
  <si>
    <r>
      <t xml:space="preserve">темно-серый  </t>
    </r>
    <r>
      <rPr>
        <b/>
        <sz val="10"/>
        <color indexed="62"/>
        <rFont val="Franklin Gothic Book"/>
        <family val="2"/>
        <charset val="204"/>
      </rPr>
      <t>23</t>
    </r>
  </si>
  <si>
    <r>
      <t xml:space="preserve">красный  </t>
    </r>
    <r>
      <rPr>
        <b/>
        <sz val="10"/>
        <color indexed="62"/>
        <rFont val="Franklin Gothic Book"/>
        <family val="2"/>
        <charset val="204"/>
      </rPr>
      <t>28</t>
    </r>
  </si>
  <si>
    <r>
      <t xml:space="preserve">ROSS - цокольный дефлектор </t>
    </r>
    <r>
      <rPr>
        <sz val="10"/>
        <rFont val="Franklin Gothic Book"/>
        <family val="2"/>
        <charset val="204"/>
      </rPr>
      <t>(для проверивания /подачи свежего воздуха в подвальные и цокольные помещения)</t>
    </r>
  </si>
  <si>
    <t xml:space="preserve">ROSS - 125/135 дефлектор </t>
  </si>
  <si>
    <t xml:space="preserve">для проветривания цокольного пространства здания, обеспечения </t>
  </si>
  <si>
    <t xml:space="preserve">приточной или вытяжной вентиляции расположенных в подвале саун, </t>
  </si>
  <si>
    <t xml:space="preserve">маляр.белый </t>
  </si>
  <si>
    <t xml:space="preserve">ROSS - 160 /170 дефлектор </t>
  </si>
  <si>
    <t xml:space="preserve">ROSS - 200 / 210 дефлектор </t>
  </si>
  <si>
    <t xml:space="preserve">для наращивания высоты дефлектора. </t>
  </si>
  <si>
    <t xml:space="preserve">ROSS - 160 удлинитель </t>
  </si>
  <si>
    <t xml:space="preserve">ROSS - 125/110 ремонтный комплект </t>
  </si>
  <si>
    <t xml:space="preserve">Адаптер Ross 125/110 служит переходником для </t>
  </si>
  <si>
    <t xml:space="preserve">ROSS - 160 ремонтный комплект </t>
  </si>
  <si>
    <t xml:space="preserve">Адаптер Ross 160/160 служит переходником для </t>
  </si>
  <si>
    <t xml:space="preserve">ROSS Монтажный патрубок 125 </t>
  </si>
  <si>
    <t xml:space="preserve">ROSS Монтажный патрубок 160 </t>
  </si>
  <si>
    <t xml:space="preserve">ROSS Монтажный патрубок 200 </t>
  </si>
  <si>
    <t xml:space="preserve">для облегчения установки в стену ROSS дефлектора. </t>
  </si>
  <si>
    <t>Ютавек 85 черный</t>
  </si>
  <si>
    <t>Ютавек 85 серый</t>
  </si>
  <si>
    <t>Ютавек 115 серый</t>
  </si>
  <si>
    <t>Ютавек 115 красный</t>
  </si>
  <si>
    <t xml:space="preserve">Ютавек 95 </t>
  </si>
  <si>
    <t>Соединительная лента 45м</t>
  </si>
  <si>
    <t>Ютавек МАСТЕР</t>
  </si>
  <si>
    <t>DELTA-VENT S 1,5x50</t>
  </si>
  <si>
    <t>DELTA-VENT N PLUS1,5x50</t>
  </si>
  <si>
    <t>DELTA-VENT S PLUS 1,5x50</t>
  </si>
  <si>
    <t>DELTA-DAWI GP  2,0x50</t>
  </si>
  <si>
    <t>DELTA-MULTI-BAND M60 унив.25м.п.</t>
  </si>
  <si>
    <t>DELTA-POLY-BAND P100  100м.п.</t>
  </si>
  <si>
    <t>по запросу</t>
  </si>
  <si>
    <t>Ютафол Н АЛ 170 Специал</t>
  </si>
  <si>
    <t>Ютафол Н96 сильвер</t>
  </si>
  <si>
    <t>Ютафол Д96 сильвер</t>
  </si>
  <si>
    <t>Ютафол Д110 Стандарт</t>
  </si>
  <si>
    <t>Ютафол Н 110 Специал</t>
  </si>
  <si>
    <t>Штрипс для фальца (625 мм)</t>
  </si>
  <si>
    <t>Quarzit Matt</t>
  </si>
  <si>
    <t>Покрытие</t>
  </si>
  <si>
    <t>полиэстердвс</t>
  </si>
  <si>
    <t>цинк Zn</t>
  </si>
  <si>
    <t xml:space="preserve">полимер </t>
  </si>
  <si>
    <t xml:space="preserve">62*55*1000     </t>
  </si>
  <si>
    <t>полиэстер двс</t>
  </si>
  <si>
    <t xml:space="preserve"> Декоративное полотно</t>
  </si>
  <si>
    <t>RAL 3005, 6005, 8017</t>
  </si>
  <si>
    <t>полимер</t>
  </si>
  <si>
    <t>Труба 3м</t>
  </si>
  <si>
    <t>Соединитель желобов</t>
  </si>
  <si>
    <t>Заглушка желоба универсальная</t>
  </si>
  <si>
    <t>Угол желоба 90</t>
  </si>
  <si>
    <t>Угол желоба 135</t>
  </si>
  <si>
    <t>Кронштейн желоба пластиковый</t>
  </si>
  <si>
    <t>Крепление регулируемое желоба</t>
  </si>
  <si>
    <t>Хомут универсальный</t>
  </si>
  <si>
    <t>Сетка защитная</t>
  </si>
  <si>
    <t>Колено 72</t>
  </si>
  <si>
    <t xml:space="preserve">Наконечник </t>
  </si>
  <si>
    <t>Муфта соединительная</t>
  </si>
  <si>
    <t>Кронштейн желоба метал. 300мм</t>
  </si>
  <si>
    <t>Шпилька с гайкой 120 мм</t>
  </si>
  <si>
    <t>пломбир</t>
  </si>
  <si>
    <t>цветные</t>
  </si>
  <si>
    <t>Цена, руб/ШТ</t>
  </si>
  <si>
    <t>Цены указаны за планку 2м</t>
  </si>
  <si>
    <t>Возможно изготовить изделия длиной до 3 метров! Уточнять сроки</t>
  </si>
  <si>
    <t>Конек плоский 115 мм</t>
  </si>
  <si>
    <t>Конек плоский 150 мм</t>
  </si>
  <si>
    <t>Ендова внутренняя 280х280 мм</t>
  </si>
  <si>
    <t>Карнизная планка (капельник) 100х50 мм</t>
  </si>
  <si>
    <t>Примыкание 100х180 мм</t>
  </si>
  <si>
    <t>Уголок 50х50 мм внутрен., наружный</t>
  </si>
  <si>
    <t>Уголок 75х75 мм внутрен., наружный</t>
  </si>
  <si>
    <t>J-окантовка (40х17х20х17)</t>
  </si>
  <si>
    <t>Стыковочная планка 50 мм</t>
  </si>
  <si>
    <t>Стыковочная планка 80 мм</t>
  </si>
  <si>
    <t>Ветровая доска 95х120 мм (мч, гибкая, фигурная)</t>
  </si>
  <si>
    <t>Velur®20 Velur®</t>
  </si>
  <si>
    <t xml:space="preserve">Нестандартное изделие </t>
  </si>
  <si>
    <t>м2</t>
  </si>
  <si>
    <t>Снеговой барьев</t>
  </si>
  <si>
    <t>Усиление снегового барьера</t>
  </si>
  <si>
    <t>Granite Quarzit</t>
  </si>
  <si>
    <t>Print Safari</t>
  </si>
  <si>
    <t>Texture Viking</t>
  </si>
  <si>
    <t xml:space="preserve">Ендова внешняя </t>
  </si>
  <si>
    <t>Цена диллерская</t>
  </si>
  <si>
    <t>Конек/карниз  (11м.п./22м.п)</t>
  </si>
  <si>
    <t>Ендовный ковер 10м2</t>
  </si>
  <si>
    <t>Подкладочный ковёр Стандарт 15м2</t>
  </si>
  <si>
    <t>Подкладочный ковёр Комфорт 40м2</t>
  </si>
  <si>
    <t>Мастика 5л</t>
  </si>
  <si>
    <t>Мастика 10л</t>
  </si>
  <si>
    <t xml:space="preserve">Предупреждаем Вас, что не допускается продажа на объект в одном заказе улучшенного сайдинга Grand Line AMERIKA </t>
  </si>
  <si>
    <t>и сайдинга предыдущей серии из-за разной степени сопротивления УФ-излучению.</t>
  </si>
  <si>
    <t xml:space="preserve">* ВНИМАНИЕ! В случае, если доля доборных элементов в заказе составляет менее 40%, </t>
  </si>
  <si>
    <t>цена панели сайдинга может быть увеличена до 40%. право отказать в отгрузке заказа.</t>
  </si>
  <si>
    <t>Если в заказе присутствует только сайдинг без каких либо доборных элементов, поставщик оставляет за собой отказать в отгрузке заказа.</t>
  </si>
  <si>
    <t>Софит</t>
  </si>
  <si>
    <t>Скидка комплектующие</t>
  </si>
  <si>
    <r>
      <t>Наименование</t>
    </r>
    <r>
      <rPr>
        <b/>
        <sz val="11"/>
        <color indexed="8"/>
        <rFont val="Calibri"/>
        <family val="2"/>
        <charset val="204"/>
      </rPr>
      <t xml:space="preserve">        </t>
    </r>
    <r>
      <rPr>
        <b/>
        <sz val="20"/>
        <color indexed="8"/>
        <rFont val="Calibri"/>
        <family val="2"/>
        <charset val="204"/>
      </rPr>
      <t>DOCKE ПВХ</t>
    </r>
  </si>
  <si>
    <r>
      <t>Наименование</t>
    </r>
    <r>
      <rPr>
        <b/>
        <sz val="11"/>
        <color indexed="8"/>
        <rFont val="Calibri"/>
        <family val="2"/>
        <charset val="204"/>
      </rPr>
      <t xml:space="preserve">  </t>
    </r>
    <r>
      <rPr>
        <b/>
        <sz val="20"/>
        <color indexed="8"/>
        <rFont val="Calibri"/>
        <family val="2"/>
        <charset val="204"/>
      </rPr>
      <t>GL 150</t>
    </r>
  </si>
  <si>
    <r>
      <rPr>
        <b/>
        <sz val="16"/>
        <rFont val="Arial"/>
        <family val="2"/>
        <charset val="204"/>
      </rPr>
      <t xml:space="preserve">Аmbient </t>
    </r>
    <r>
      <rPr>
        <sz val="8"/>
        <rFont val="Arial"/>
        <family val="2"/>
        <charset val="204"/>
      </rPr>
      <t xml:space="preserve">(2,18м2 упак) </t>
    </r>
  </si>
  <si>
    <t>Клей К-36, 1л</t>
  </si>
  <si>
    <t>Print dp</t>
  </si>
  <si>
    <t>Конек плоский 115*30*115</t>
  </si>
  <si>
    <t>Планка торцевая 100*80</t>
  </si>
  <si>
    <t>Ендова верхняя 115*30*115</t>
  </si>
  <si>
    <t>Планка Н-образная 75 мм/стыков.сложная/</t>
  </si>
  <si>
    <r>
      <t xml:space="preserve">РАНЧО </t>
    </r>
    <r>
      <rPr>
        <b/>
        <sz val="16"/>
        <color indexed="10"/>
        <rFont val="Arial"/>
        <family val="2"/>
        <charset val="204"/>
      </rPr>
      <t>NEW</t>
    </r>
  </si>
  <si>
    <r>
      <t xml:space="preserve">Вестерн </t>
    </r>
    <r>
      <rPr>
        <b/>
        <sz val="16"/>
        <color indexed="10"/>
        <rFont val="Arial"/>
        <family val="2"/>
        <charset val="204"/>
      </rPr>
      <t>NEW</t>
    </r>
  </si>
  <si>
    <r>
      <t xml:space="preserve">Континент </t>
    </r>
    <r>
      <rPr>
        <b/>
        <sz val="16"/>
        <color indexed="10"/>
        <rFont val="Arial"/>
        <family val="2"/>
        <charset val="204"/>
      </rPr>
      <t>NEW</t>
    </r>
  </si>
  <si>
    <t>Конек/карниз 5м2</t>
  </si>
  <si>
    <t>Конек/карниз 3м3</t>
  </si>
  <si>
    <t>Конек/карниз 5м3 (синий)</t>
  </si>
  <si>
    <t>Ендова (синия)</t>
  </si>
  <si>
    <t>Подкладочный Anderep ULTRA 15м.п. самоклеющ.</t>
  </si>
  <si>
    <t xml:space="preserve">Подкладочный на стекло холсте 20 м.п. </t>
  </si>
  <si>
    <t>Клей , 12л</t>
  </si>
  <si>
    <t>Клей  0,31л</t>
  </si>
  <si>
    <t>Аэратор КТВ ТехноНиколь</t>
  </si>
  <si>
    <t>Гвозди 30х3,5мм  упаковка 5 кг</t>
  </si>
  <si>
    <t>крюк короткий полоса</t>
  </si>
  <si>
    <t>БИТУМ SBS</t>
  </si>
  <si>
    <r>
      <rPr>
        <b/>
        <sz val="16"/>
        <rFont val="Arial"/>
        <family val="2"/>
        <charset val="204"/>
      </rPr>
      <t>Цюрих</t>
    </r>
    <r>
      <rPr>
        <sz val="8"/>
        <rFont val="Arial"/>
        <family val="2"/>
        <charset val="204"/>
      </rPr>
      <t xml:space="preserve"> (кофе, арахис, изюм, чили, фладен) 3,1м2</t>
    </r>
  </si>
  <si>
    <r>
      <rPr>
        <b/>
        <sz val="16"/>
        <rFont val="Arial"/>
        <family val="2"/>
        <charset val="204"/>
      </rPr>
      <t>Гранада</t>
    </r>
    <r>
      <rPr>
        <sz val="8"/>
        <rFont val="Arial"/>
        <family val="2"/>
        <charset val="204"/>
      </rPr>
      <t xml:space="preserve"> (какао, инжир, кунжут, анис, пекан) 3м2</t>
    </r>
  </si>
  <si>
    <r>
      <rPr>
        <b/>
        <sz val="16"/>
        <rFont val="Arial"/>
        <family val="2"/>
        <charset val="204"/>
      </rPr>
      <t>Генуя</t>
    </r>
    <r>
      <rPr>
        <sz val="8"/>
        <rFont val="Arial"/>
        <family val="2"/>
        <charset val="204"/>
      </rPr>
      <t xml:space="preserve"> (трюфель, паприка, амаретто, торроне) 3м2</t>
    </r>
  </si>
  <si>
    <r>
      <rPr>
        <b/>
        <sz val="16"/>
        <rFont val="Arial"/>
        <family val="2"/>
        <charset val="204"/>
      </rPr>
      <t>Шеффилд</t>
    </r>
    <r>
      <rPr>
        <sz val="8"/>
        <rFont val="Arial"/>
        <family val="2"/>
        <charset val="204"/>
      </rPr>
      <t xml:space="preserve"> (бисквит, клубника, миндаль, розмарин, кешью) 3м2</t>
    </r>
  </si>
  <si>
    <r>
      <rPr>
        <b/>
        <sz val="16"/>
        <rFont val="Arial"/>
        <family val="2"/>
        <charset val="204"/>
      </rPr>
      <t xml:space="preserve">Кельн </t>
    </r>
    <r>
      <rPr>
        <sz val="8"/>
        <rFont val="Arial"/>
        <family val="2"/>
        <charset val="204"/>
      </rPr>
      <t>(чернослив) 3м2</t>
    </r>
  </si>
  <si>
    <r>
      <rPr>
        <b/>
        <sz val="16"/>
        <rFont val="Arial"/>
        <family val="2"/>
        <charset val="204"/>
      </rPr>
      <t>Кельн</t>
    </r>
    <r>
      <rPr>
        <sz val="8"/>
        <rFont val="Arial"/>
        <family val="2"/>
        <charset val="204"/>
      </rPr>
      <t xml:space="preserve"> (корица, шафран, имбирь, мята) 3м2</t>
    </r>
  </si>
  <si>
    <r>
      <t xml:space="preserve">Подкладочный ковер </t>
    </r>
    <r>
      <rPr>
        <b/>
        <sz val="11"/>
        <rFont val="Arial"/>
        <family val="2"/>
        <charset val="204"/>
      </rPr>
      <t>PrimeBase 60/1700 с самокл. слоем (25м)</t>
    </r>
  </si>
  <si>
    <r>
      <t>Подкладочный ковер</t>
    </r>
    <r>
      <rPr>
        <b/>
        <sz val="11"/>
        <rFont val="Arial"/>
        <family val="2"/>
        <charset val="204"/>
      </rPr>
      <t xml:space="preserve"> U-EL 60/220 с самокл. слоем</t>
    </r>
    <r>
      <rPr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(15м)</t>
    </r>
  </si>
  <si>
    <r>
      <t xml:space="preserve">Подкладочный ковер </t>
    </r>
    <r>
      <rPr>
        <b/>
        <sz val="11"/>
        <rFont val="Arial"/>
        <family val="2"/>
        <charset val="204"/>
      </rPr>
      <t>K-EL 60/220 (30 м)</t>
    </r>
  </si>
  <si>
    <r>
      <t xml:space="preserve">Подкладочный ковер </t>
    </r>
    <r>
      <rPr>
        <b/>
        <sz val="11"/>
        <rFont val="Arial"/>
        <family val="2"/>
        <charset val="204"/>
      </rPr>
      <t>SUPERBase в основе полиэстер (15м)</t>
    </r>
  </si>
  <si>
    <t xml:space="preserve"> PE 0,45</t>
  </si>
  <si>
    <t>Планка примыкание верхнее к стене фальц 150*130*20</t>
  </si>
  <si>
    <t>125/ 135</t>
  </si>
  <si>
    <t>Профессиональный инструмент</t>
  </si>
  <si>
    <t>Наименование инструмента</t>
  </si>
  <si>
    <t>Производ.</t>
  </si>
  <si>
    <t>Цена*, руб.</t>
  </si>
  <si>
    <t>розничная</t>
  </si>
  <si>
    <t>Электрические ножницы</t>
  </si>
  <si>
    <t>Насадка-ножницы Grand Line® для резки металла</t>
  </si>
  <si>
    <t>GrandLine</t>
  </si>
  <si>
    <t>МЧ, П</t>
  </si>
  <si>
    <t xml:space="preserve">В процессе резки не сжигает защитный слой металлического покрытия, не образовывает искр </t>
  </si>
  <si>
    <t>Ножницы вырубные NC380</t>
  </si>
  <si>
    <t>Status</t>
  </si>
  <si>
    <t>МЧ,ПН,МС</t>
  </si>
  <si>
    <t>Профессиональный инструмент для резки профилированной продукции</t>
  </si>
  <si>
    <t>Ножницы электрические вырубные НВ-1,2/520</t>
  </si>
  <si>
    <t>Интерскол</t>
  </si>
  <si>
    <t>МЧ, ПН, МС</t>
  </si>
  <si>
    <t>Комплект для ножниц NC380</t>
  </si>
  <si>
    <t>Комплектующие для вырубных ножниц NC380</t>
  </si>
  <si>
    <t>Матрица для ножниц вырубных НВ-1,2/520</t>
  </si>
  <si>
    <t>Комплектующие для вырубных ножниц НВ-1,2/520</t>
  </si>
  <si>
    <t>Пуансон для ножниц вырубных НВ-1,2/520</t>
  </si>
  <si>
    <t>Пуансон круглый для ножниц вырубных NC380</t>
  </si>
  <si>
    <t>Ручные ножницы для резки металла</t>
  </si>
  <si>
    <t>Ножницы авиационные универсальные 42мм</t>
  </si>
  <si>
    <t>EDMA</t>
  </si>
  <si>
    <t>ПН, МС, ГК</t>
  </si>
  <si>
    <t>Рычажные подружиненные ножницы для резки оцинкованной стали и кровельного металла</t>
  </si>
  <si>
    <t>Ножницы авиационные универсальные 75мм</t>
  </si>
  <si>
    <t>Ножницы "Пеликаны" (кованые)</t>
  </si>
  <si>
    <t>Stubai</t>
  </si>
  <si>
    <t>Фальц. кровля, пл.лист</t>
  </si>
  <si>
    <t>Ножницы применяются для прямого раскроя плоского листа</t>
  </si>
  <si>
    <t>Ножницы "Пеликаны" (рычажные)</t>
  </si>
  <si>
    <t>Позволяют делать как прямые, так и криволинейные резы. Одинаково эффективно режут металл как у кромки, так и по середине листа</t>
  </si>
  <si>
    <t>Ножницы комбинированные правые</t>
  </si>
  <si>
    <t>Ножницы подрезные левые</t>
  </si>
  <si>
    <t>Рычажные подпружиненные ножницы для выкройки простых и сложных заготовок</t>
  </si>
  <si>
    <t>Ножницы подрезные правые</t>
  </si>
  <si>
    <t>Ножницы подрезные левые AV6</t>
  </si>
  <si>
    <t>Malco</t>
  </si>
  <si>
    <t>Ножницы для резки материала по кривой</t>
  </si>
  <si>
    <t>Ножницы подрезные правые AV7</t>
  </si>
  <si>
    <t>Ножницы для резки материала по кривой, ручки оснащены возвратной пружиной</t>
  </si>
  <si>
    <t xml:space="preserve">Изогнутые лезвия позволяют осуществлять криволинейные резы с минимальным радиусом. </t>
  </si>
  <si>
    <t>Ножницы радиусные правые</t>
  </si>
  <si>
    <t>Ножницы фигурная модель</t>
  </si>
  <si>
    <t>Специальные ножницы, позволяющие делать как прямые, так и правые, и левые резы</t>
  </si>
  <si>
    <t>Для небольших резов в местах повышенного риска разрыва металла на конце реза</t>
  </si>
  <si>
    <t>Ножницы просечные по металлочерепице</t>
  </si>
  <si>
    <t>МЧ</t>
  </si>
  <si>
    <t>Обеспечивают аккуратный рез без загиба металла</t>
  </si>
  <si>
    <t>Нож сменный для просечных ножниц по металлочерепице</t>
  </si>
  <si>
    <t>Комплектующие для просечных ножниц по металлочерепице</t>
  </si>
  <si>
    <t>Кровельные рамки, ручные листогибы</t>
  </si>
  <si>
    <t>Рамка для Г-образного фальца</t>
  </si>
  <si>
    <t>RAU</t>
  </si>
  <si>
    <t>Фальц. кровля</t>
  </si>
  <si>
    <t>Применяется для выполняения первого прохода при закрытии Г-образного фальца</t>
  </si>
  <si>
    <t>Рамка для двойного фальца</t>
  </si>
  <si>
    <t xml:space="preserve"> RAU</t>
  </si>
  <si>
    <t>Применяется для выполнения второго прохода для окончательного формирования двойного стоячего фальца</t>
  </si>
  <si>
    <t>Рамка для подгиба карнизного свеса</t>
  </si>
  <si>
    <t>Для первой операции при формировании линии карнизного свеса, позволяет обогнуть карнизную часть картины вокруг карнизной планки</t>
  </si>
  <si>
    <t>Рамка для дозагиба карнизного свеса</t>
  </si>
  <si>
    <t>Рамка используется для завершающей операции при формировании линии карнизного свеса</t>
  </si>
  <si>
    <t xml:space="preserve">Рамка для дозагиба карнизного свеса </t>
  </si>
  <si>
    <t>Используется ля формирования карнизного свеса при монтаже фальцевых картин</t>
  </si>
  <si>
    <t>Инструмент для подгиба карнизного свеса</t>
  </si>
  <si>
    <t>Универсальный компактный  инструмент для подгиба карнизкого свеса</t>
  </si>
  <si>
    <t>Предназначена для формирования двойного фальца на изогнутых скатах</t>
  </si>
  <si>
    <t>Ручной листогиб Bender X2</t>
  </si>
  <si>
    <t>Специальный листогиб для формирования доборных элементов и фальцевых картин</t>
  </si>
  <si>
    <t xml:space="preserve">Киянки, молотки, оправки </t>
  </si>
  <si>
    <t>Киянка усеченная</t>
  </si>
  <si>
    <t>Пластиковая клиновидная киянка для формирования элементов фальцевой кровли</t>
  </si>
  <si>
    <t>Киянка прямоугольная</t>
  </si>
  <si>
    <t>Применяется на всех этапах монтажа кровли по технологии двойного стоячего фальца</t>
  </si>
  <si>
    <t>Молоток кровельный с пластиковыми наконечниками</t>
  </si>
  <si>
    <t>Предназначен для формирования элементов фальцевой кровли с  сохранением полимерного покрытия стального листа</t>
  </si>
  <si>
    <t>Молоток для формирования элементов фальцевой кровли</t>
  </si>
  <si>
    <t>Для работы при устройстве двойных стоячих фальцев, обходе труб и других проемов кровли.</t>
  </si>
  <si>
    <t>Молоток фальцевый "Косяк"</t>
  </si>
  <si>
    <t>Инструмент для формирования и закрытия замков двойного стоячего фальца.</t>
  </si>
  <si>
    <t>Специальная оправка для формирования и закрытия замка двойного стоячего фальца. Оправка-лопата применяется при обустройстве обходов труб, карнизных свесов, ендов, коньков и торцов</t>
  </si>
  <si>
    <t xml:space="preserve">Оправка-лопатка 140 мм </t>
  </si>
  <si>
    <t>Оправка-лопата 140 мм</t>
  </si>
  <si>
    <t>Оправка-лопата предназначена для формирования и закрытия фальцевых замков</t>
  </si>
  <si>
    <t xml:space="preserve">Оправка для формирования и закрытия фальца </t>
  </si>
  <si>
    <t>Оправка-лопата применяется при обустройстве обходов труб, карнизных свесов, ендов, коньков</t>
  </si>
  <si>
    <t>Оправка предназначена для формирования и закрытия фальцевых замков</t>
  </si>
  <si>
    <t>Дополнительный инструмент</t>
  </si>
  <si>
    <t xml:space="preserve">Зажим кровельный </t>
  </si>
  <si>
    <t>Для временного удерживания деталей из листового металла</t>
  </si>
  <si>
    <t>Пила для прорезания пазов под крюки водостока</t>
  </si>
  <si>
    <t>Предназначена для пропила углублений в стропилах для врезки крюков водосточной системы</t>
  </si>
  <si>
    <t>Шаблон для разметки на металле</t>
  </si>
  <si>
    <t>Используется для резметки линий реза на плоских листах и кровельных картинах</t>
  </si>
  <si>
    <t>Предназначен для изменения углов и выполнения операций по разметке</t>
  </si>
  <si>
    <t>Элементы безопасности кровли Grand Line®</t>
  </si>
  <si>
    <t>цены действительны с 07.04.2015</t>
  </si>
  <si>
    <t>Изображение</t>
  </si>
  <si>
    <t>Комплект</t>
  </si>
  <si>
    <t>Вес комп., кг</t>
  </si>
  <si>
    <t>Цена розничная (цвета на складе), руб.</t>
  </si>
  <si>
    <t>Цена розничная (цвета под заказ), руб.</t>
  </si>
  <si>
    <t>Снегозадержатель универсальный Grand Line 
3 м</t>
  </si>
  <si>
    <t>Труба для снегозадержателя Grand Line овальная Zn/RAL 42*21 3,0 м - 2 шт 
Кронштейн универсальный Grand Line  Zn/RAL - 4 шт
Саморез 8х60 - 8 шт
Резиновый уплотнитель ЭПДМ - 12 шт</t>
  </si>
  <si>
    <t>Снегозадержатель для фальцевой кровли  Grand Line
3 м</t>
  </si>
  <si>
    <t xml:space="preserve">Труба для снегозадержателя Grand Line овальная Zn/RAl 42*21 3,0 м - 2 шт 
Кронштейн универсальный Grand Line  Zn/RAL - 4 шт
Скоба кронштейна для фальцевой кровли RAL RAL - 8 шт
Болт М8х20 - 8 шт
Шайба А.8 - 8 шт
Гайка М8-7Н - 8 шт  </t>
  </si>
  <si>
    <t>Снегозадержатель универсальный Grand Line 
1 м</t>
  </si>
  <si>
    <t>Труба для снегозадержателя Grand Line овальная Zn/RAL 42*21 1,0 м - 2 шт 
Кронштейн универсальный Grand Line Zn/RAL - 2 шт
Саморез 8х60 - 4 шт
Резиновый уплотнитель ЭПДМ - 6 шт</t>
  </si>
  <si>
    <t>Снегозадержатель для фальцевой кровли  Grand Line
1 м</t>
  </si>
  <si>
    <t xml:space="preserve">Труба для снегозадержателя Grand Line овальная  Zn/RAL 42*21 1,0 м - 2 шт 
Кронштейн универсальный Grand Line Zn/RAL- 2 шт
Скоба кронштейна для фальцевой кровли  RAL - 4 шт
Болт М8х20 - 4 шт
Шайба А.8 - 4 шт
Гайка М8-7Н - 4 шт  </t>
  </si>
  <si>
    <t>Кронштейн универсальный Grand Line</t>
  </si>
  <si>
    <t>Кронштейн снегозадержателя универсальный  Zn//RAL - 1 шт
Саморез 8х60 - 2 шт
Резиновый уплотнитель ЭПДМ - 3 шт</t>
  </si>
  <si>
    <t>Пластина кронштейна для фальцевой кровли Grand Line</t>
  </si>
  <si>
    <t>Пластина кронштейна для фальцевой кровли Grand Line Zn/RAL - 1 шт
Гайка М8 - 6 шт         
Болт М8х30- 6 шт           
Шайба А.8 - 6 шт</t>
  </si>
  <si>
    <t>Крепление кронштейна для фальцевой кровли</t>
  </si>
  <si>
    <t xml:space="preserve">Скоба кронштейна для фальцевой кровли  RAL - 2 шт
Болт М8х20 - 2 шт
Шайба А.8 - 2 шт
Гайка М8-7Н - 2 шт  </t>
  </si>
  <si>
    <t>Мостик кровельный 
3 м*</t>
  </si>
  <si>
    <t xml:space="preserve">Полотно мостика переходного Grand Line 3,0 м - 1 шт
Кронштейн универсальный Grand Line - 6 шт
Пластина мостика переходного Grand Line - 3 шт                                                                                                                                                                                                               Саморез 8х60 DIN 571 - 6 шт
Болт М8х25 - 18 шт                                                                                                                                                                                                                                               Гайка М8 - 18 шт         
Шайба 8Г - 18 шт                                                                                                                                                                                                                                                 Шайба А.8 - 21 шт
Резиновый уплотнитель ЭПДМ - 9 шт </t>
  </si>
  <si>
    <t>Мостик кровельный 
1 м*</t>
  </si>
  <si>
    <t xml:space="preserve">Полотно мостика переходного Grand Line Zn/RAL 1,0 м - 1 шт
Кронштейн универсальный Grand Line Zn/RAL- 4 шт
Пластина мостика переходного Grand Line Zn/RAL- 2 шт  
Саморез 8х60 DIN 571 - 4 шт                                                                                                                                                                           
Болт М8х25 - 12 шт                               
Гайка М8 - 12 шт                                                                                                                                                                                                                        
Шайба 8Г - 12 шт                 
Шайба А.8 -14 шт
Резиновый уплотнитель ЭПДМ - 6 шт </t>
  </si>
  <si>
    <t>Лестница кровельная 
3 м 
в комплекте с крепежом*</t>
  </si>
  <si>
    <t xml:space="preserve">Полотно лесницы Grand Line Zn/RAL 3,0 м - 1 шт
Опора кровельная - 10 шт
Кронштейн коньковый Zn/RAL - 2 шт                                                                                                                                                                                                               
Болт М8х35 - 4 шт                                                                                                                                                                                                                                               Гайка М8 - 4 шт         </t>
  </si>
  <si>
    <t>Лестница стеновая 
3 м 
в комплекте с крепежом*</t>
  </si>
  <si>
    <t xml:space="preserve">Полотно лестницы Grand Line  Zn/RAL 3,0 м - 1 шт
Дуговой поручень  Zn/RAL - 2 шт
Кронштейн опорный  Zn/RAL 1,0 м - 4 шт                                                                                                                                                                                                               Соединительная накладка Zn/RAL  - 8 шт                                                                                                                                                                                                                                Кронштейн карнизный  Zn/RAL - 2 шт                                                                                                                                                                                                                                                 L-кронштейн крепления к кровле  Zn/RAL - 2 шт                                                                                                                                                                                                                    U-кронштейн крепления к кровельной лестнице Zn/RAL  - 2 шт              
Болт М8х16 - 12 шт                                                                                                                                                                                                                                                           Болт М8х40 - 10 шт             
Гайка М8 - 22 шт                                                                                                                                                                                                                                                     </t>
  </si>
  <si>
    <t>Кронштейн кровельный
 Grand Line
(для лестниц длиной 5 м и больше)*</t>
  </si>
  <si>
    <t>Металлическая ножка  Zn/RAL - 2 шт
Саморез кровельный 4,8*25 - 4 шт
Болт М8*40 - 2 шт
Гайка М8 - 2 шт
Уплотнительная лента - 0,25м</t>
  </si>
  <si>
    <t xml:space="preserve">Grand Line предлагает своим дилерам приобрести элементы безопасности кровли собственного производства.   </t>
  </si>
  <si>
    <t>* - на складе не поддерживается, на заказ</t>
  </si>
  <si>
    <t>Цвета снегозадержателей, кронштейнов и пластин для фальцевой кровли на складе: RAL 3005, RR29, RAL 5005, RAL 6005, RAL 7004, RAL 7024, RAL 8004, RAL 8017, RR 32, RAL 9006.</t>
  </si>
  <si>
    <t>Цвета снегозадержателей, кронштейнов и пластин для фальцевой кровли, доступные для заказа, уточняйте у вашего менеджера.</t>
  </si>
  <si>
    <t>Элементы безопасности кровли Optima</t>
  </si>
  <si>
    <t>Вес комплекта, 
кг</t>
  </si>
  <si>
    <t>Цена розничная (цвета на складе), 
руб.</t>
  </si>
  <si>
    <t>Цена розничная (цвета под заказ), 
руб.</t>
  </si>
  <si>
    <t>Снегозадержатель трубчатый универсальный Optima 
3 м</t>
  </si>
  <si>
    <t>Труба для снегозадержателя универсального Optima RAL d-25 3 м  - 2 шт 
Кронштейн снегозадержателя универсальный Zn//RAL - 3 шт
Саморез 8х60 - 6 шт
Резиновый уплотнитель ЭПДМ - 9 шт
Заглушка D 25 - 4 шт</t>
  </si>
  <si>
    <t>Снегозадержатель трубчатый для фальцевой кровли Optima 
3 м</t>
  </si>
  <si>
    <t xml:space="preserve">Труба для снегозадержателя универсального Optima RAL d-25 3 м  - 2 шт 
Кронштейн снегозадержателя универсальный Zn//RAL - 3 шт
Заглушка D 25 - 4 шт
Скоба кронштейна для фальцевой кровли  RAL - 2 шт
Болт М8х20 - 2 шт
Шайба А.8 - 2 шт
Гайка М8-7Н - 2 шт  </t>
  </si>
  <si>
    <t>Снегозадержатель трубчатый универсальный Optima 
1 м</t>
  </si>
  <si>
    <t>Труба для снегозадержателя универсального Optima RAL d-25 1 м  - 2 шт 
Кронштейн снегозадержателя универсальный Zn//RAL - 3 шт
Саморез 8х60 - 4 шт
Резиновый уплотнитель ЭПДМ - 6 шт
Заглушка D 25 - 4 шт</t>
  </si>
  <si>
    <t>Снегозадержатель трубчатый для фальцевой кровли Optima 
1 м</t>
  </si>
  <si>
    <t xml:space="preserve">Труба для снегозадержателя универсального Optima RAL d-25 1 м  - 2 шт 
Кронштейн снегозадержателя универсальный Zn//RAL - 3 шт
Заглушка D 25 - 4 шт
Скоба кронштейна для фальцевой кровли  RAL - 4 шт
Болт М8х20 - 4 шт
Шайба А.8 - 4 шт
Гайка М8-7Н -  шт  </t>
  </si>
  <si>
    <t>Кронштейн снегозадержателя универсальный Optima</t>
  </si>
  <si>
    <t>Уплотнитель ЭПДМ</t>
  </si>
  <si>
    <t>Резиновый уплотнитель ЭПДМ - 1 шт</t>
  </si>
  <si>
    <t>Ограждение кровельное Optima 650х (2,0 м)*</t>
  </si>
  <si>
    <t xml:space="preserve">Труба с обжимкой d 25, RAL 2,0 м - 2 шт                                                           
Опора  Zn/RAL - 2 шт
Стойка  Zn/RAL - 2 шт                                                                                                                                                                                                                                                        Раскос  Zn/RAL - 2 шт
Болт М8х20 - 6 шт
Гайка М8-7Н - 6 шт                                                                                                                                                                                                                                              Шайба А.8 - 6 шт
Саморез 8х60 DIN - 4 шт
Резиновый уплотнитель ЭПДМ - 6 шт </t>
  </si>
  <si>
    <t>Ограждение кровельное                                           со снегозадержанием Optima 650х (2,0 м)*</t>
  </si>
  <si>
    <t xml:space="preserve">Труба с обжимкой d 25, RAL 2,0 м - 4 шт                                                           
Опора  Zn/RAL - 2 шт
Стойка  Zn/RAL - 2 шт     
Раскос  Zn/RAL - 2 шт                                                                                                                                                                                                                         
Болт М8х20 - 6 шт
Шайба А.8 - 6 шт
Гайка М8-7Н - 6 шт                                                                                                                                                                                                                                             
Саморез 8х60 DIN - 4 шт
Резиновый уплотнитель ЭПДМ - 6 шт </t>
  </si>
  <si>
    <t>Кровельное ограждение под фальц 720 (2 м)*</t>
  </si>
  <si>
    <t>Труба с обжимкой d 25, RAL 2,0 м - 4 шт                                                           
Опора RAL - 2 шт
Стойка RAL - 2 шт     
Раскос RAL- 2 шт                                                                                                                                                                                                                         
Болт М8х20 - 6 шт
Шайба А.8 - 6 шт
Гайка М8-7Н - 6 шт                                                                                                                                                                                                                                             
Саморез 8х60 DIN - 4 шт
Резиновый уплотнитель ЭПДМ - 6 шт 
Вес комплекта - 9,04 кг</t>
  </si>
  <si>
    <t>Кровельный (переходной) мостик 1 м**</t>
  </si>
  <si>
    <t xml:space="preserve">Полотно мостика переходного 2,0 м - 1 шт
Опора треугольная - 3 шт
Кронштейн несущий - 3 шт                                                                                                                                                                                                               Планка прижимная - 3 шт                                                                                     Болт для сборки 8*35 - 12 шт                                                                                                                                                                                                                                   Гайка М8 -  12 шт         
Шайба 8Г - 24 шт                                                                                                                                                                                                                                                 </t>
  </si>
  <si>
    <t>Кровельный (переходной) мостик 2 м**</t>
  </si>
  <si>
    <t xml:space="preserve">Полотно мостика переходного 1,0 м - 1 шт
Опора треугольная - 2 шт
Кронштейн несущий - 2 шт                                                                                                                                                                                                               Планка прижимная - 2 шт.                                                                                     Болт для сборки 8*35 - 8 шт                                                                                                                                                                                                                                   Гайка М8 -  8 шт         
Шайба 8Г - 16 шт                                                                                                                                                                                                                                                 </t>
  </si>
  <si>
    <t>Кровельный (переходной) мостик 1 м (для фальцевой кровли)**</t>
  </si>
  <si>
    <t>Панель мостика - 1 шт
Опора треугольная - 2 шт
Кронштейн несущий - 2 шт
Болт 8 х 60 для монтажа к кровле - 4 шт
Прокладки резиновые - 6 шт
Болт сборочный 8 х 35 - 8 шт
Гайка - 8 шт
Шайба - 16 шт</t>
  </si>
  <si>
    <t>Кровельный (переходной) мостик 2 м (для фальцевой кровли)**</t>
  </si>
  <si>
    <t>Панель мостика - 1 шт
Опора треугольная - 3 шт
Кронштейн несущий - 3 шт
Болт 8 х 60 для монтажа к кровле - 6 шт
Прокладки резиновые - 9 шт
Болт сборочный 8 х 35 - 12 шт
Гайка - 12 шт
Шайба - 24 шт</t>
  </si>
  <si>
    <t>Лестница стеновая (дл. 1920 мм) без кронштейнов**</t>
  </si>
  <si>
    <t>Лестница кровельная (дл. 1920 мм) без кронштейнов**</t>
  </si>
  <si>
    <t>Лестница кровельная на фальц с креплением (дл. 1920 мм)**</t>
  </si>
  <si>
    <t>Кронштейн кровельный**</t>
  </si>
  <si>
    <t>Кронштейн стеновой**</t>
  </si>
  <si>
    <t>Кронштейн коньковый**</t>
  </si>
  <si>
    <t>Кронштейн подвесной**</t>
  </si>
  <si>
    <t>Поручень для лестницы**</t>
  </si>
  <si>
    <t>Цвета снегозадержателей Optima на складе: RAL 3005,3011, 5005,6005,7004,7024,8004,8017,8019,9006.</t>
  </si>
  <si>
    <t>Цвета кровельных ограждений Optima на складе: RAL 3005, 6005, 8017.</t>
  </si>
  <si>
    <t xml:space="preserve">Снегозадержатели </t>
  </si>
  <si>
    <t xml:space="preserve">Мостики </t>
  </si>
  <si>
    <t>Прайс-лист на кровельные листы, плоский лист</t>
  </si>
  <si>
    <t>Вид профиля</t>
  </si>
  <si>
    <t>Полезная ширина</t>
  </si>
  <si>
    <t>Полная ширина</t>
  </si>
  <si>
    <t>Толщина стали, мм</t>
  </si>
  <si>
    <t>Модульная      кровля</t>
  </si>
  <si>
    <t>Finnera™</t>
  </si>
  <si>
    <t>1140*660 мм</t>
  </si>
  <si>
    <t>Purex</t>
  </si>
  <si>
    <t>560 - лист</t>
  </si>
  <si>
    <t>Finnera Plus™</t>
  </si>
  <si>
    <t>1140 мм</t>
  </si>
  <si>
    <t>1190 мм</t>
  </si>
  <si>
    <t>Monterrey Standard™</t>
  </si>
  <si>
    <t>1100 мм</t>
  </si>
  <si>
    <t>1185 мм</t>
  </si>
  <si>
    <t>Polyester</t>
  </si>
  <si>
    <t>Monterrey Plus™</t>
  </si>
  <si>
    <t>Monterrey Premium™</t>
  </si>
  <si>
    <t>Pural</t>
  </si>
  <si>
    <t>Pural Matt</t>
  </si>
  <si>
    <t>Elite™</t>
  </si>
  <si>
    <t>1025 мм</t>
  </si>
  <si>
    <t>1115 мм</t>
  </si>
  <si>
    <t>Adamante™ (мерные складские позиции)</t>
  </si>
  <si>
    <t>1125 мм</t>
  </si>
  <si>
    <t>1153 мм</t>
  </si>
  <si>
    <t>Adamante™ (заказные позиции)</t>
  </si>
  <si>
    <t>Фальцевая кровля</t>
  </si>
  <si>
    <t>Classic™A,B</t>
  </si>
  <si>
    <t>475 мм</t>
  </si>
  <si>
    <t>505 мм</t>
  </si>
  <si>
    <t>Classic™C,D</t>
  </si>
  <si>
    <t>Classic™ C,D</t>
  </si>
  <si>
    <t>PVDF Matt</t>
  </si>
  <si>
    <t>Катанный профиль, SR27-545A</t>
  </si>
  <si>
    <t>545 мм</t>
  </si>
  <si>
    <t>570мм</t>
  </si>
  <si>
    <t>2000*1250 мм</t>
  </si>
  <si>
    <t>Ruukki</t>
  </si>
  <si>
    <r>
      <t xml:space="preserve"> </t>
    </r>
    <r>
      <rPr>
        <b/>
        <sz val="20"/>
        <color indexed="8"/>
        <rFont val="Calibri"/>
        <family val="2"/>
        <charset val="204"/>
      </rPr>
      <t xml:space="preserve">Galeco 152 ПВХ                     </t>
    </r>
  </si>
  <si>
    <r>
      <t>Наименование</t>
    </r>
    <r>
      <rPr>
        <b/>
        <sz val="11"/>
        <color indexed="8"/>
        <rFont val="Calibri"/>
        <family val="2"/>
        <charset val="204"/>
      </rPr>
      <t xml:space="preserve">        </t>
    </r>
    <r>
      <rPr>
        <b/>
        <sz val="20"/>
        <color indexed="8"/>
        <rFont val="Calibri"/>
        <family val="2"/>
        <charset val="204"/>
      </rPr>
      <t>DOCKE LUX</t>
    </r>
  </si>
  <si>
    <t>Труба 100мм  3м</t>
  </si>
  <si>
    <t>Желоб водосточный 145мм 3м</t>
  </si>
  <si>
    <t>шоколад</t>
  </si>
  <si>
    <t>Угол желоба 90 универсальный</t>
  </si>
  <si>
    <t>Кронштейн металлический 300мм</t>
  </si>
  <si>
    <t>Тройник 45 град.</t>
  </si>
  <si>
    <t>длина, мм</t>
  </si>
  <si>
    <t>Х</t>
  </si>
  <si>
    <t>Окантовочный профиль</t>
  </si>
  <si>
    <t>Околооконный профиль</t>
  </si>
  <si>
    <t>X</t>
  </si>
  <si>
    <t>Финишный профиль</t>
  </si>
  <si>
    <t>H-профиль</t>
  </si>
  <si>
    <t>Внешний угол</t>
  </si>
  <si>
    <t>Внутренний угол</t>
  </si>
  <si>
    <t xml:space="preserve">J-профиль </t>
  </si>
  <si>
    <t>Отлив</t>
  </si>
  <si>
    <t>J-фаска</t>
  </si>
  <si>
    <t>Наличник 75 мм</t>
  </si>
  <si>
    <t xml:space="preserve">Наличник 89 мм  </t>
  </si>
  <si>
    <t>Откос 254 мм</t>
  </si>
  <si>
    <t>Стартовый профиль</t>
  </si>
  <si>
    <r>
      <t>Сайдинг  D4,5D (S=0,85м</t>
    </r>
    <r>
      <rPr>
        <vertAlign val="superscript"/>
        <sz val="9"/>
        <color indexed="8"/>
        <rFont val="Arial"/>
        <family val="2"/>
        <charset val="204"/>
      </rPr>
      <t>2</t>
    </r>
    <r>
      <rPr>
        <sz val="9"/>
        <color indexed="8"/>
        <rFont val="Arial"/>
        <family val="2"/>
        <charset val="204"/>
      </rPr>
      <t>)</t>
    </r>
  </si>
  <si>
    <r>
      <t>Blockhaus D</t>
    </r>
    <r>
      <rPr>
        <sz val="8"/>
        <color indexed="8"/>
        <rFont val="Arial"/>
        <family val="2"/>
        <charset val="204"/>
      </rPr>
      <t>Ö</t>
    </r>
    <r>
      <rPr>
        <sz val="9"/>
        <color indexed="8"/>
        <rFont val="Arial"/>
        <family val="2"/>
        <charset val="204"/>
      </rPr>
      <t>cke (S=0,88м</t>
    </r>
    <r>
      <rPr>
        <vertAlign val="superscript"/>
        <sz val="9"/>
        <color indexed="8"/>
        <rFont val="Arial"/>
        <family val="2"/>
        <charset val="204"/>
      </rPr>
      <t>2</t>
    </r>
    <r>
      <rPr>
        <sz val="9"/>
        <color indexed="8"/>
        <rFont val="Arial"/>
        <family val="2"/>
        <charset val="204"/>
      </rPr>
      <t>)</t>
    </r>
  </si>
  <si>
    <r>
      <t>Сайдинг  D5С  (S=0,78м</t>
    </r>
    <r>
      <rPr>
        <vertAlign val="superscript"/>
        <sz val="9"/>
        <color indexed="8"/>
        <rFont val="Arial"/>
        <family val="2"/>
        <charset val="204"/>
      </rPr>
      <t>2</t>
    </r>
    <r>
      <rPr>
        <sz val="9"/>
        <color indexed="8"/>
        <rFont val="Arial"/>
        <family val="2"/>
        <charset val="204"/>
      </rPr>
      <t>)</t>
    </r>
  </si>
  <si>
    <r>
      <t>Сайдинг S7 (вертикальный) (S=0,55м</t>
    </r>
    <r>
      <rPr>
        <vertAlign val="superscript"/>
        <sz val="9"/>
        <color indexed="8"/>
        <rFont val="Arial"/>
        <family val="2"/>
        <charset val="204"/>
      </rPr>
      <t>2</t>
    </r>
    <r>
      <rPr>
        <sz val="9"/>
        <color indexed="8"/>
        <rFont val="Arial"/>
        <family val="2"/>
        <charset val="204"/>
      </rPr>
      <t>)</t>
    </r>
  </si>
  <si>
    <t>Шоколад, гранат</t>
  </si>
  <si>
    <t>Все цвета</t>
  </si>
  <si>
    <r>
      <t>Соффит 1,85м (спл., с центр. перф., перф.) (S=0,56м</t>
    </r>
    <r>
      <rPr>
        <vertAlign val="superscript"/>
        <sz val="9"/>
        <color indexed="8"/>
        <rFont val="Arial"/>
        <family val="2"/>
        <charset val="204"/>
      </rPr>
      <t>2</t>
    </r>
    <r>
      <rPr>
        <sz val="9"/>
        <color indexed="8"/>
        <rFont val="Arial"/>
        <family val="2"/>
        <charset val="204"/>
      </rPr>
      <t>)</t>
    </r>
  </si>
  <si>
    <r>
      <t xml:space="preserve"> Соффит Т4 (спл., с центр. </t>
    </r>
    <r>
      <rPr>
        <sz val="9"/>
        <color indexed="8"/>
        <rFont val="Arial"/>
        <family val="2"/>
        <charset val="204"/>
      </rPr>
      <t>перф., перф.)  (S=0,93м</t>
    </r>
    <r>
      <rPr>
        <vertAlign val="superscript"/>
        <sz val="9"/>
        <color indexed="8"/>
        <rFont val="Arial"/>
        <family val="2"/>
        <charset val="204"/>
      </rPr>
      <t>2</t>
    </r>
    <r>
      <rPr>
        <sz val="9"/>
        <color indexed="8"/>
        <rFont val="Arial"/>
        <family val="2"/>
        <charset val="204"/>
      </rPr>
      <t>)</t>
    </r>
  </si>
  <si>
    <t>Розница (руб/м2)</t>
  </si>
  <si>
    <t>Дилерская (руб/м2)</t>
  </si>
  <si>
    <r>
      <t>площадь, м</t>
    </r>
    <r>
      <rPr>
        <b/>
        <i/>
        <vertAlign val="superscript"/>
        <sz val="9"/>
        <color indexed="8"/>
        <rFont val="Arial"/>
        <family val="2"/>
        <charset val="204"/>
      </rPr>
      <t>2</t>
    </r>
  </si>
  <si>
    <t>Конек/карниз (12/20 мп)</t>
  </si>
  <si>
    <t>Ендова (Pihtari) (0,7х10 мп)</t>
  </si>
  <si>
    <t xml:space="preserve">Кровельные клещи, инструмент для формирования конвертов </t>
  </si>
  <si>
    <t xml:space="preserve">Инструмент для формирования конвертов "Цапля" </t>
  </si>
  <si>
    <t>Специальный инструмент для формирования конвертов</t>
  </si>
  <si>
    <t xml:space="preserve">Клещи для вскрытия фальца "Попугаи" накладное соед. </t>
  </si>
  <si>
    <t>Применяется при демонтаже установленных картин одинарного и двойного стоячего фальца</t>
  </si>
  <si>
    <t>Клещи прямые 80мм накладное соед.</t>
  </si>
  <si>
    <t>Специальные кровельные клещи для формирования узлов на фальцевой кровле</t>
  </si>
  <si>
    <t>Клещи прямые 100мм накладное соед.</t>
  </si>
  <si>
    <t>Кровельные клещи прямые с шириной губок 60 мм для формирования узлов на фальцевой кровле</t>
  </si>
  <si>
    <t>Клещи 45 град 60мм накладное соед.</t>
  </si>
  <si>
    <t>Кровельные клещи под углом 45 градусов для формирования узлов на фальцевой кровле</t>
  </si>
  <si>
    <t>Клещи 45 град 20мм накладное соед.</t>
  </si>
  <si>
    <t>Для тонких операций при обустройстве узлов фальца</t>
  </si>
  <si>
    <t>Служат для формирования элементов примыкания на фальцевой кровле</t>
  </si>
  <si>
    <t>Служат для формирования узлов фальцевой кровли</t>
  </si>
  <si>
    <t xml:space="preserve">Клещи большие прямые 180мм сквозное соед. </t>
  </si>
  <si>
    <t>Данный вид клещей позволяет сформировать узел "конверт", используемый при обхеде труб</t>
  </si>
  <si>
    <t>Клещи для конвертов накладное соед.</t>
  </si>
  <si>
    <t>Используются для формирования конвертов в связке с клещами для конвертов</t>
  </si>
  <si>
    <t>Специальный инструмент для работы с плосским листом</t>
  </si>
  <si>
    <t>Щипцы для формирования конвертов малые</t>
  </si>
  <si>
    <t>Для сайдинга</t>
  </si>
  <si>
    <t>Для нанесения насечек на край панели в месте соединения с доборными элементами (финишная планка и пр.)</t>
  </si>
  <si>
    <t>Просекатель овальных отверстий 3,5х15мм</t>
  </si>
  <si>
    <t>МС, ПВХ</t>
  </si>
  <si>
    <t>Просекатель овальных отверстий в металле и виниловых панелей размером 3,5х15 мм</t>
  </si>
  <si>
    <t xml:space="preserve">Пуансон для просекателя отверстий 3,5х15мм </t>
  </si>
  <si>
    <t>ПВХ, МС</t>
  </si>
  <si>
    <t>Комплектующие для просекателя</t>
  </si>
  <si>
    <t>ВС</t>
  </si>
  <si>
    <t>Предназначен для демонтажа панелей винилового сайдинга без повреждения</t>
  </si>
  <si>
    <t>Мультифункциональный резак IVT MPC-135</t>
  </si>
  <si>
    <t>IVT</t>
  </si>
  <si>
    <t>композит. черепица, металлический сайдинг</t>
  </si>
  <si>
    <t>Диск режущий к мультифункциональному станку IVT MPCB-135</t>
  </si>
  <si>
    <t>дополнительный сменный пильный диск с резаку</t>
  </si>
  <si>
    <t>Для водостока</t>
  </si>
  <si>
    <t>Клещи "Гофра" прямые усиленные</t>
  </si>
  <si>
    <t>Водосток</t>
  </si>
  <si>
    <t>Удобный инструмент для обжатия труб водосточной системы для их последующей стыковки между собой</t>
  </si>
  <si>
    <t>Клещи "Гофра" прямые</t>
  </si>
  <si>
    <t>Клещи "Гофра" угловые</t>
  </si>
  <si>
    <t>Инструмент для загиба крюков 810мм</t>
  </si>
  <si>
    <t>Профессиональный инструмент для высокоточной и быстрой гибки крюков водосточной системы</t>
  </si>
  <si>
    <t>Для ГК-профиля</t>
  </si>
  <si>
    <t>Клещи для соединения ГК профилей Master Profil</t>
  </si>
  <si>
    <t>ГК-профиль</t>
  </si>
  <si>
    <t>Профессиональный инструмент для соединения профилей без заклепок</t>
  </si>
  <si>
    <t>Клещи для соединения ГК-профилей универсальные Ergotop</t>
  </si>
  <si>
    <t>Измерит. инструмент</t>
  </si>
  <si>
    <t>Дальномер лазерный ADA Robot 40</t>
  </si>
  <si>
    <t>ADA</t>
  </si>
  <si>
    <t>Для дистанционного, быстрого и точного  измерения расстояний на объекте без напарника</t>
  </si>
  <si>
    <t>Leica</t>
  </si>
  <si>
    <t>Колесо измерительное ADA Wheel 100</t>
  </si>
  <si>
    <t>Ограждения</t>
  </si>
  <si>
    <t>Предназначен для измерения расстояний, в том числе и по неровной поверхности</t>
  </si>
  <si>
    <t>Для разметки элементов металлической кровли</t>
  </si>
  <si>
    <t>МЧ, ГК, прочее</t>
  </si>
  <si>
    <t>Для выравнимания торцовочных пил, установки подвесных потолков, иных монтажных работ</t>
  </si>
  <si>
    <t>Для работы с ограждениями</t>
  </si>
  <si>
    <t>Для работы одного оператора и неглубокого бурения, двигатель 2,45 л.с., можно установить удлинитель к шнеку.</t>
  </si>
  <si>
    <t>Бензобур ADA GroundDrill-5 в комплекте со шнеком Drill 200</t>
  </si>
  <si>
    <t>Для работы двух операторов, двиг. 2,45 л.с., усиленный редуктор, можно установить удлинитель к шнеку.</t>
  </si>
  <si>
    <t>Бензобур ADA GroundDrill-7 в комплекте со шнеком Drill 250</t>
  </si>
  <si>
    <t>Более мощный двиг. 3,26 л.с., для работы двух операторов,большая глубина бурения,можно установить удлинитель к шнеку</t>
  </si>
  <si>
    <t>Бензобур ADA GroundDrill-9 в комплекте со шнеком Drill 250</t>
  </si>
  <si>
    <t>Удлинитель шнека для бензобура ADA Extension 500мм</t>
  </si>
  <si>
    <t>Длина 50 см, для увеличение глубины бурения</t>
  </si>
  <si>
    <t>Удлинитель шнека для бензобура ADA Extension 1000мм</t>
  </si>
  <si>
    <t>Длина 100 см, для увеличение глубины бурения</t>
  </si>
  <si>
    <t>Шнек Drill-150/800</t>
  </si>
  <si>
    <t>Диаметр 150 мм, длина 800 мм</t>
  </si>
  <si>
    <t>Шнек Drill-250/800</t>
  </si>
  <si>
    <t>Диаметр 250 мм, длина 800 мм</t>
  </si>
  <si>
    <t>Шнек Drill-200/1000</t>
  </si>
  <si>
    <t>Диаметр 200 мм, длина 1000 мм</t>
  </si>
  <si>
    <t>Шнек Drill-300/1000</t>
  </si>
  <si>
    <t>Диаметр 300 мм, длина 1000 мм</t>
  </si>
  <si>
    <t>Шнек Frozen Drill 150/800</t>
  </si>
  <si>
    <t>Для бурения скважин в мерзлом или каменистом грунте, диаметр 150/200 мм, длина 800 мм</t>
  </si>
  <si>
    <t>Шнек Frozen Drill 200/800</t>
  </si>
  <si>
    <t>Инструмент для выравнивания сетчатых ограждений Dress Fil</t>
  </si>
  <si>
    <t>Регулирует натяжение сетчатых ограждений путем сгибания проволоки</t>
  </si>
  <si>
    <t>Клипсатор (стыковка панельных ограждений)</t>
  </si>
  <si>
    <t>Wisniowski</t>
  </si>
  <si>
    <t>Используется для обжима соединительных клипс при стыковке панельных ограждений</t>
  </si>
  <si>
    <t>Вспомогательный инструмент</t>
  </si>
  <si>
    <t>Степлер для скоб 4-14х0,7мм</t>
  </si>
  <si>
    <t>Stelgrit</t>
  </si>
  <si>
    <t>Гидро-пароизоляция</t>
  </si>
  <si>
    <t>Для крепления различного вида пленок гидро- и пароизоляции к деревянной обрешетке</t>
  </si>
  <si>
    <t>Скобы для степлера 10х0,7мм,12х0,7мм,14х0,7мм (53 Тип) </t>
  </si>
  <si>
    <t>Используются в комплекте со степлером для крепления  различного вида обивочных материалов</t>
  </si>
  <si>
    <t>100/100/110</t>
  </si>
  <si>
    <t>МЧ, ПН, Ограждения</t>
  </si>
  <si>
    <t xml:space="preserve">Для заворачивания и отворачивания крепежа в дрелях, шуруповертах и отвертках со сменными насадками </t>
  </si>
  <si>
    <t>Заклепочник 2,4-4,8мм</t>
  </si>
  <si>
    <t>МЧ,ПН,МС, ПВХ</t>
  </si>
  <si>
    <t>Для соединения изделий из листовой стали с помощью алюминиевых или стальных заклепок</t>
  </si>
  <si>
    <t>Шуруповерт Sparky BR2 10.8 Li</t>
  </si>
  <si>
    <t>Sparky</t>
  </si>
  <si>
    <t>МЧ, сайдинг, ограждения</t>
  </si>
  <si>
    <t>Компактный шуруповерт с высококачественным Li-Ion аккумулятором</t>
  </si>
  <si>
    <r>
      <t xml:space="preserve">Молоток фальцевый </t>
    </r>
    <r>
      <rPr>
        <b/>
        <sz val="10"/>
        <color indexed="10"/>
        <rFont val="Arial"/>
        <family val="2"/>
        <charset val="204"/>
      </rPr>
      <t>Акция!</t>
    </r>
  </si>
  <si>
    <r>
      <t xml:space="preserve">Штакетник Круглый </t>
    </r>
    <r>
      <rPr>
        <b/>
        <sz val="8"/>
        <color indexed="10"/>
        <rFont val="Arial"/>
        <family val="2"/>
        <charset val="204"/>
      </rPr>
      <t>NEW</t>
    </r>
  </si>
  <si>
    <r>
      <t xml:space="preserve">Штакетник Прямоугольный </t>
    </r>
    <r>
      <rPr>
        <b/>
        <sz val="8"/>
        <color indexed="10"/>
        <rFont val="Arial"/>
        <family val="2"/>
        <charset val="204"/>
      </rPr>
      <t>NEW</t>
    </r>
  </si>
  <si>
    <r>
      <t xml:space="preserve">Штакетник Круглый Фигурный </t>
    </r>
    <r>
      <rPr>
        <b/>
        <sz val="8"/>
        <color indexed="10"/>
        <rFont val="Arial"/>
        <family val="2"/>
        <charset val="204"/>
      </rPr>
      <t>NEW</t>
    </r>
  </si>
  <si>
    <r>
      <t xml:space="preserve">Штакетник Прямоугольный Фигурный </t>
    </r>
    <r>
      <rPr>
        <b/>
        <sz val="8"/>
        <color indexed="10"/>
        <rFont val="Arial"/>
        <family val="2"/>
        <charset val="204"/>
      </rPr>
      <t>NEW</t>
    </r>
  </si>
  <si>
    <t>Конек полукруглый малый</t>
  </si>
  <si>
    <t>Планка конька односкатной кровли 160х160</t>
  </si>
  <si>
    <t>Тройник Y - образный для полукруглого конька*</t>
  </si>
  <si>
    <t>Тройник Y - образный для полукруглого конька малого*</t>
  </si>
  <si>
    <t>Переходник вертикального сайдинга</t>
  </si>
  <si>
    <t>Сливная планка</t>
  </si>
  <si>
    <r>
      <rPr>
        <b/>
        <sz val="8"/>
        <color indexed="10"/>
        <rFont val="Arial"/>
        <family val="2"/>
        <charset val="204"/>
      </rPr>
      <t>АКЦИЯ</t>
    </r>
    <r>
      <rPr>
        <b/>
        <sz val="8"/>
        <rFont val="Arial"/>
        <family val="2"/>
        <charset val="204"/>
      </rPr>
      <t xml:space="preserve">
шт.</t>
    </r>
  </si>
  <si>
    <r>
      <t xml:space="preserve">Premium софит Т3 со скрытой перфорацией GL Estetic 3,0 </t>
    </r>
    <r>
      <rPr>
        <b/>
        <sz val="8"/>
        <color indexed="10"/>
        <rFont val="Arial"/>
        <family val="2"/>
        <charset val="204"/>
      </rPr>
      <t>NEW</t>
    </r>
  </si>
  <si>
    <r>
      <t xml:space="preserve">Цена за 1 п.м. комплекта, руб. </t>
    </r>
    <r>
      <rPr>
        <b/>
        <sz val="16"/>
        <color indexed="10"/>
        <rFont val="Arial"/>
        <family val="2"/>
        <charset val="204"/>
      </rPr>
      <t>Внимание! Расчет теоретический</t>
    </r>
    <r>
      <rPr>
        <b/>
        <sz val="16"/>
        <rFont val="Arial"/>
        <family val="2"/>
        <charset val="204"/>
      </rPr>
      <t>.                                                             Продажа ведется по ЭЛЕМЕНТАМ и расчет по конкретному участку будет отличаться!</t>
    </r>
  </si>
  <si>
    <t>с 10.05.2015</t>
  </si>
  <si>
    <t>HUOPA/ SLATE  проходной элемент</t>
  </si>
  <si>
    <r>
      <t>SPT 60 (</t>
    </r>
    <r>
      <rPr>
        <b/>
        <sz val="10"/>
        <rFont val="Franklin Gothic Book"/>
        <family val="2"/>
        <charset val="204"/>
      </rPr>
      <t>FINNERA проходной элемент)</t>
    </r>
  </si>
  <si>
    <t xml:space="preserve">для металлической кровли типа Finnera. </t>
  </si>
  <si>
    <t>74076B</t>
  </si>
  <si>
    <t>7331A</t>
  </si>
  <si>
    <t>7331B</t>
  </si>
  <si>
    <t>7331W</t>
  </si>
  <si>
    <t xml:space="preserve">ECo250S  вентилятор </t>
  </si>
  <si>
    <t xml:space="preserve">0 -1250 м3/ч   </t>
  </si>
  <si>
    <t>В комплект входит основание E250S.</t>
  </si>
  <si>
    <t>XL E220 P /160/700  вентилятор</t>
  </si>
  <si>
    <t>XL E220 P /160/500  вентилятор</t>
  </si>
  <si>
    <t>ECo250P/200/700  вентилятор</t>
  </si>
  <si>
    <t>(на постоянном токе)</t>
  </si>
  <si>
    <t>Быстрый    0 -1250 м3/ч</t>
  </si>
  <si>
    <t>ECo250P/200/500  вентилятор</t>
  </si>
  <si>
    <t>Окантовка PIIPPU  проходного элемента NO.1 и NO.2</t>
  </si>
  <si>
    <t>Дополнительный лист окантовки  NO.1</t>
  </si>
  <si>
    <t>Дополнительный лист окантовки  NO.2</t>
  </si>
  <si>
    <r>
      <t xml:space="preserve">Фланец наружной вентиляционной решетки </t>
    </r>
    <r>
      <rPr>
        <sz val="9"/>
        <rFont val="Franklin Gothic Book"/>
        <family val="2"/>
        <charset val="204"/>
      </rPr>
      <t>(для присоединения к трубе воздуховода).</t>
    </r>
  </si>
  <si>
    <r>
      <t>Сетка наружной вентиляционной решетки</t>
    </r>
    <r>
      <rPr>
        <sz val="9"/>
        <rFont val="Franklin Gothic Book"/>
        <family val="2"/>
        <charset val="204"/>
      </rPr>
      <t xml:space="preserve"> (антимоскитная сетка).</t>
    </r>
  </si>
  <si>
    <r>
      <rPr>
        <b/>
        <sz val="16"/>
        <rFont val="Arial"/>
        <family val="2"/>
        <charset val="204"/>
      </rPr>
      <t xml:space="preserve">Аmbient </t>
    </r>
    <r>
      <rPr>
        <sz val="12"/>
        <rFont val="Arial"/>
        <family val="2"/>
        <charset val="204"/>
      </rPr>
      <t xml:space="preserve">черное золото </t>
    </r>
    <r>
      <rPr>
        <sz val="8"/>
        <rFont val="Arial"/>
        <family val="2"/>
        <charset val="204"/>
      </rPr>
      <t xml:space="preserve">(2,18м2 упак) </t>
    </r>
  </si>
  <si>
    <r>
      <rPr>
        <b/>
        <sz val="16"/>
        <rFont val="Arial"/>
        <family val="2"/>
        <charset val="204"/>
      </rPr>
      <t>KL</t>
    </r>
    <r>
      <rPr>
        <sz val="8"/>
        <rFont val="Arial"/>
        <family val="2"/>
        <charset val="204"/>
      </rPr>
      <t xml:space="preserve"> (черный )</t>
    </r>
  </si>
  <si>
    <t>Отвод</t>
  </si>
  <si>
    <t>крюк длинный(300 мм)</t>
  </si>
  <si>
    <t>крюк короткий(180 мм)</t>
  </si>
  <si>
    <r>
      <t xml:space="preserve">Pe0,5/Ре двс0,5/Velur/Print/Sf/Q20 Granite/Solano/Q30/Q35/V35  </t>
    </r>
    <r>
      <rPr>
        <b/>
        <sz val="11"/>
        <color indexed="10"/>
        <rFont val="Calibri"/>
        <family val="2"/>
        <charset val="204"/>
      </rPr>
      <t>(ТАБЛИЦА №1)</t>
    </r>
  </si>
  <si>
    <r>
      <t>PE 0,35 и 0.4    Print CT</t>
    </r>
    <r>
      <rPr>
        <b/>
        <sz val="11"/>
        <color indexed="10"/>
        <rFont val="Calibri"/>
        <family val="2"/>
        <charset val="204"/>
      </rPr>
      <t xml:space="preserve"> (ТАБЛИЦА №2)</t>
    </r>
  </si>
  <si>
    <r>
      <t>PE СТ  Texture 0.4</t>
    </r>
    <r>
      <rPr>
        <b/>
        <sz val="11"/>
        <color indexed="10"/>
        <rFont val="Calibri"/>
        <family val="2"/>
        <charset val="204"/>
      </rPr>
      <t xml:space="preserve"> (ТАБЛИЦА №2)</t>
    </r>
  </si>
  <si>
    <r>
      <t>Ре Optima 0,5</t>
    </r>
    <r>
      <rPr>
        <b/>
        <sz val="11"/>
        <color indexed="10"/>
        <rFont val="Calibri"/>
        <family val="2"/>
        <charset val="204"/>
      </rPr>
      <t xml:space="preserve"> (ТАБЛИЦА №2)</t>
    </r>
  </si>
  <si>
    <r>
      <t xml:space="preserve">Texturе СТ (0,45)   PE двс 0,45 </t>
    </r>
    <r>
      <rPr>
        <b/>
        <sz val="11"/>
        <color indexed="10"/>
        <rFont val="Calibri"/>
        <family val="2"/>
        <charset val="204"/>
      </rPr>
      <t>(ТАБЛИЦА №2)</t>
    </r>
  </si>
  <si>
    <r>
      <t xml:space="preserve">Zn </t>
    </r>
    <r>
      <rPr>
        <b/>
        <sz val="11"/>
        <color indexed="10"/>
        <rFont val="Calibri"/>
        <family val="2"/>
        <charset val="204"/>
      </rPr>
      <t>(ТАБЛИЦА №2)</t>
    </r>
  </si>
  <si>
    <t xml:space="preserve">Подкладочный Anderep PROF 40м.п. </t>
  </si>
  <si>
    <t>Металлочерепица и фальцевая кровля</t>
  </si>
  <si>
    <t>Металлочерепица Kvinta</t>
  </si>
  <si>
    <t>Профилированный, плоский лист, штрипс и отмотка</t>
  </si>
  <si>
    <t>Металлический сайдинг</t>
  </si>
  <si>
    <t>Металлический штакетник</t>
  </si>
  <si>
    <t>Защитная плёнка (фиксированная цена)</t>
  </si>
  <si>
    <t>0,65***</t>
  </si>
  <si>
    <t>цены действительны от</t>
  </si>
  <si>
    <t>Террасная доска ЭКОДЕК</t>
  </si>
  <si>
    <t>Поверхность</t>
  </si>
  <si>
    <t>Размер</t>
  </si>
  <si>
    <t>Цена</t>
  </si>
  <si>
    <t>Пшеничный, 
Серый дым, 
Французский каштан *</t>
  </si>
  <si>
    <t>Глянец / Брашинг</t>
  </si>
  <si>
    <t>Профиль 140 х 22 мм
Стандартная длина 3000 мм
    Длина под заказ от 1000 до 6000 мм, кратно 100 мм</t>
  </si>
  <si>
    <t>1 доска (длина 3 м)</t>
  </si>
  <si>
    <t>1 уп. - 5 шт (длина 3 м)</t>
  </si>
  <si>
    <t>Белый клен,
Зеленый,
Синий,
Терракотовый,
Янтарный</t>
  </si>
  <si>
    <t>Профиль 140 х 22 мм
Длина под заказ от 1000 до 6000 мм, кратно 100 мм</t>
  </si>
  <si>
    <t>Венге</t>
  </si>
  <si>
    <t>Комплектующие для террасной доски ЭКОДЕК</t>
  </si>
  <si>
    <t>Материал</t>
  </si>
  <si>
    <t>Расход на 1 кв.м. покрытия</t>
  </si>
  <si>
    <t>Монтажная лага в цвет доски</t>
  </si>
  <si>
    <t>алюминий</t>
  </si>
  <si>
    <t>3 погонных метра на 1 кв.м.</t>
  </si>
  <si>
    <t>50 х 30 х 3000 мм</t>
  </si>
  <si>
    <t>Монтажная лага неокрашенная</t>
  </si>
  <si>
    <t>Монтажная лага в цвет Венге</t>
  </si>
  <si>
    <t>ДПК</t>
  </si>
  <si>
    <t>60 х 55 х 3000 мм</t>
  </si>
  <si>
    <t>L-профиль в цвет доски</t>
  </si>
  <si>
    <t>Расчитывается по необходимости</t>
  </si>
  <si>
    <t>22 х 55 х 3000 мм</t>
  </si>
  <si>
    <t>L-профиль неокрашенный</t>
  </si>
  <si>
    <t>Кляймер в цвет доски (соединительный)</t>
  </si>
  <si>
    <t>металл</t>
  </si>
  <si>
    <t>21 шт на 1 кв.м.</t>
  </si>
  <si>
    <t>Кляймер неокрашенный (стартовый и соединительный)</t>
  </si>
  <si>
    <t>Ширина профиля,мм</t>
  </si>
  <si>
    <t>Длина, м
min/max</t>
  </si>
  <si>
    <t>Коэфф. расчета*</t>
  </si>
  <si>
    <t>Premium</t>
  </si>
  <si>
    <t>Design</t>
  </si>
  <si>
    <t>Толщина металла, мм / покрытия, мкм</t>
  </si>
  <si>
    <t>0,5 / 25</t>
  </si>
  <si>
    <t>0,5 / 35</t>
  </si>
  <si>
    <t>0,5 / 55</t>
  </si>
  <si>
    <t>0,5 / 50</t>
  </si>
  <si>
    <t>0,45-0,5 / 30</t>
  </si>
  <si>
    <t>0,5 / 30</t>
  </si>
  <si>
    <t>Письменная гарантия Grand Line</t>
  </si>
  <si>
    <t>30 лет</t>
  </si>
  <si>
    <t>35 лет</t>
  </si>
  <si>
    <t>0,5/6,5</t>
  </si>
  <si>
    <t>Металлочерепица Classic</t>
  </si>
  <si>
    <t>Двойной стоячий фальц/Profi**</t>
  </si>
  <si>
    <t>0,8/9</t>
  </si>
  <si>
    <t>Кликфальц/Profi**</t>
  </si>
  <si>
    <t>Профнастил GL8 (С8)</t>
  </si>
  <si>
    <t>0,5/8</t>
  </si>
  <si>
    <t>Профнастил GL10 (С10)</t>
  </si>
  <si>
    <t>Профнастил GL10 (С10) Фигурный**</t>
  </si>
  <si>
    <t>1,5-3</t>
  </si>
  <si>
    <t>Профнастил GL20 (С20)</t>
  </si>
  <si>
    <t>Профнастил GL21 (С21)</t>
  </si>
  <si>
    <t>0,5/12</t>
  </si>
  <si>
    <t>Профнастил GL35 (НС35)</t>
  </si>
  <si>
    <t>Профнастил GL60 (Н60)</t>
  </si>
  <si>
    <t>0,5/400</t>
  </si>
  <si>
    <t>0,5/50-0,5/4,5</t>
  </si>
  <si>
    <t>0,5/4,5</t>
  </si>
  <si>
    <t>0,5/6</t>
  </si>
  <si>
    <t>Сайдинг Вертикаль GL**</t>
  </si>
  <si>
    <t>Сайдинг ЭкоБрус GL**/Gofr</t>
  </si>
  <si>
    <t>Сайдинг Блок-хаус GL**</t>
  </si>
  <si>
    <t>0,5/2,5</t>
  </si>
  <si>
    <t>Штакетник П-образный Фигурный</t>
  </si>
  <si>
    <t>Штакетник М-образный Фигурный</t>
  </si>
  <si>
    <r>
      <t xml:space="preserve">РЕ
</t>
    </r>
    <r>
      <rPr>
        <sz val="8"/>
        <rFont val="Arial"/>
        <family val="2"/>
        <charset val="204"/>
      </rPr>
      <t>(Zn 275 г/кв.м.)</t>
    </r>
  </si>
  <si>
    <r>
      <t xml:space="preserve">Velur® 20
</t>
    </r>
    <r>
      <rPr>
        <sz val="8"/>
        <rFont val="Arial"/>
        <family val="2"/>
        <charset val="204"/>
      </rPr>
      <t>(ZA 265 г/кв.м.)</t>
    </r>
  </si>
  <si>
    <r>
      <t xml:space="preserve">Quarzit lite
</t>
    </r>
    <r>
      <rPr>
        <sz val="8"/>
        <rFont val="Arial"/>
        <family val="2"/>
        <charset val="204"/>
      </rPr>
      <t>(ZA 265 г/кв.м.)</t>
    </r>
  </si>
  <si>
    <r>
      <t xml:space="preserve">Quarzit </t>
    </r>
    <r>
      <rPr>
        <b/>
        <sz val="8"/>
        <color indexed="10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(ZA 265 г/кв.м.)</t>
    </r>
  </si>
  <si>
    <r>
      <t xml:space="preserve">Quarzit Matt </t>
    </r>
    <r>
      <rPr>
        <b/>
        <sz val="8"/>
        <color indexed="10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(ZA 265 г/кв.м.)</t>
    </r>
  </si>
  <si>
    <r>
      <t xml:space="preserve">Safari
</t>
    </r>
    <r>
      <rPr>
        <sz val="8"/>
        <rFont val="Arial"/>
        <family val="2"/>
        <charset val="204"/>
      </rPr>
      <t>(Zn 275 г/кв.м.)</t>
    </r>
  </si>
  <si>
    <t>Ширина профиля, мм</t>
  </si>
  <si>
    <t>(Zn 275 г/кв.м)</t>
  </si>
  <si>
    <t>5 лет</t>
  </si>
  <si>
    <t>Цвет/покрытие</t>
  </si>
  <si>
    <t>Панель MEDIUM 
ЦИНК ячейка основная 200х55 мм
диаметр прутка  3,8 мм</t>
  </si>
  <si>
    <t>1,03*2,5</t>
  </si>
  <si>
    <t>цинк</t>
  </si>
  <si>
    <t>1,53*2,5</t>
  </si>
  <si>
    <t>1,73*2,5</t>
  </si>
  <si>
    <t>2,03*2,5</t>
  </si>
  <si>
    <t>2,43*2,5</t>
  </si>
  <si>
    <t>зелёный RAL 6005</t>
  </si>
  <si>
    <t xml:space="preserve">1,03*2,5 </t>
  </si>
  <si>
    <t>зелёный RAL 6005
коричневый RAL 8017</t>
  </si>
  <si>
    <t>1,73*3,0</t>
  </si>
  <si>
    <t>зелёный RAL 6005   
серый RAL 7040
коричневый RAL 8017</t>
  </si>
  <si>
    <t>2,03*3,0</t>
  </si>
  <si>
    <t>Панель PROFI
ЦИНК ячейка основная 200х50 мм
диаметр прутка  4,8 мм</t>
  </si>
  <si>
    <t>Панель PROFI С ПОЛИМЕРНЫМ ПОКРЫТИЕМ 
ячейка основная 
200х50 мм 
диаметр прутка 
5 мм</t>
  </si>
  <si>
    <t>зелёный RAL 6005
серый RAL 7040</t>
  </si>
  <si>
    <t>зелёный RAL 6005
серый RAL 7040
синий RAL 5005</t>
  </si>
  <si>
    <t>Панель BASTION 5/6 ЦИНК ячейка 200х55 мм диаметр прутка вертикального 5 мм диаметр прутка горизонтального 6 мм</t>
  </si>
  <si>
    <t>Панель BASTION 5/6 С ПОЛИМЕРНЫМ ПОКРЫТИЕМ ячейка 200х55 мм диаметр прутка вертикального 5 мм диаметр прутка горизонтального 6 мм</t>
  </si>
  <si>
    <t xml:space="preserve">2,03*2,5 </t>
  </si>
  <si>
    <r>
      <t>Цена за 1 п.м. комплекта прямого не замкнутого участка (столб 62*55 под бетон+панель+крепеж скоба/2,5), руб.</t>
    </r>
    <r>
      <rPr>
        <b/>
        <sz val="9"/>
        <color indexed="10"/>
        <rFont val="Arial"/>
        <family val="2"/>
        <charset val="204"/>
      </rPr>
      <t>Внимание! Расчет теоретический.</t>
    </r>
    <r>
      <rPr>
        <b/>
        <sz val="9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</si>
  <si>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r>
      <t>Рекомендованная розничная цена, руб с НДС (</t>
    </r>
    <r>
      <rPr>
        <b/>
        <u/>
        <sz val="8.5"/>
        <rFont val="Arial"/>
        <family val="2"/>
        <charset val="204"/>
      </rPr>
      <t>по полной площади</t>
    </r>
    <r>
      <rPr>
        <b/>
        <sz val="8.5"/>
        <rFont val="Arial"/>
        <family val="2"/>
        <charset val="204"/>
      </rPr>
      <t>)</t>
    </r>
  </si>
  <si>
    <r>
      <t>Рекомендованная розничная цена, руб с НДС (</t>
    </r>
    <r>
      <rPr>
        <b/>
        <u/>
        <sz val="8.5"/>
        <rFont val="Arial"/>
        <family val="2"/>
        <charset val="204"/>
      </rPr>
      <t>по полезной  площади</t>
    </r>
    <r>
      <rPr>
        <b/>
        <sz val="8.5"/>
        <rFont val="Arial"/>
        <family val="2"/>
        <charset val="204"/>
      </rPr>
      <t>)</t>
    </r>
  </si>
  <si>
    <t>1190*685 мм</t>
  </si>
  <si>
    <t>Decorrey</t>
  </si>
  <si>
    <t>1130 мм</t>
  </si>
  <si>
    <t>1181 мм</t>
  </si>
  <si>
    <t>Armorium™</t>
  </si>
  <si>
    <t>988 мм</t>
  </si>
  <si>
    <t>1039 мм</t>
  </si>
  <si>
    <t>Профилированный лист    T20-24W-1100</t>
  </si>
  <si>
    <t>1150мм</t>
  </si>
  <si>
    <t>Круглый пуансон и матрица для ножниц NC380</t>
  </si>
  <si>
    <t>Комплект для ножниц NC380 (прямоуг.)</t>
  </si>
  <si>
    <t>Прямоугольный пуансон и матрица для ножниц NC380</t>
  </si>
  <si>
    <t>Ножницы комбинированные левые</t>
  </si>
  <si>
    <r>
      <t xml:space="preserve">Ножницы подрезные левые M2006 </t>
    </r>
    <r>
      <rPr>
        <b/>
        <sz val="10"/>
        <color indexed="10"/>
        <rFont val="Arial"/>
        <family val="2"/>
        <charset val="204"/>
      </rPr>
      <t>Акция!</t>
    </r>
  </si>
  <si>
    <r>
      <rPr>
        <vertAlign val="superscript"/>
        <sz val="16"/>
        <color indexed="30"/>
        <rFont val="Arial"/>
        <family val="2"/>
        <charset val="204"/>
      </rPr>
      <t>2584</t>
    </r>
    <r>
      <rPr>
        <sz val="12"/>
        <color indexed="30"/>
        <rFont val="Arial"/>
        <family val="2"/>
        <charset val="204"/>
      </rPr>
      <t xml:space="preserve"> </t>
    </r>
    <r>
      <rPr>
        <strike/>
        <sz val="10"/>
        <color indexed="10"/>
        <rFont val="Arial"/>
        <family val="2"/>
        <charset val="204"/>
      </rPr>
      <t>2871</t>
    </r>
  </si>
  <si>
    <r>
      <t xml:space="preserve">Ножницы подрезные правые M2007 </t>
    </r>
    <r>
      <rPr>
        <b/>
        <sz val="10"/>
        <color indexed="10"/>
        <rFont val="Arial"/>
        <family val="2"/>
        <charset val="204"/>
      </rPr>
      <t>Акция!</t>
    </r>
  </si>
  <si>
    <t>Ножницы радиусные левые</t>
  </si>
  <si>
    <t>Ножницы просечные для плоского листа</t>
  </si>
  <si>
    <t>Рамка для радиусных обходов</t>
  </si>
  <si>
    <t>Ручной листогиб Bender 4x4 350мм</t>
  </si>
  <si>
    <t>Ручной листогиб EDGE ROLLER 25мм</t>
  </si>
  <si>
    <t>Молоток кровельный</t>
  </si>
  <si>
    <r>
      <rPr>
        <vertAlign val="superscript"/>
        <sz val="16"/>
        <color indexed="30"/>
        <rFont val="Arial"/>
        <family val="2"/>
        <charset val="204"/>
      </rPr>
      <t>1611</t>
    </r>
    <r>
      <rPr>
        <sz val="12"/>
        <color indexed="30"/>
        <rFont val="Arial"/>
        <family val="2"/>
        <charset val="204"/>
      </rPr>
      <t xml:space="preserve"> </t>
    </r>
    <r>
      <rPr>
        <strike/>
        <sz val="10"/>
        <color indexed="10"/>
        <rFont val="Arial"/>
        <family val="2"/>
        <charset val="204"/>
      </rPr>
      <t>1790</t>
    </r>
  </si>
  <si>
    <t>Молоток фальцевый крестовой</t>
  </si>
  <si>
    <t>Для обработки деталей кровельных картин при монтаже фальцевой кровли</t>
  </si>
  <si>
    <t>Оправка-лопатка 120 мм</t>
  </si>
  <si>
    <t>Оправка-лопатка круглая 120мм</t>
  </si>
  <si>
    <t>Оправка полиэтиленовая с ручкой</t>
  </si>
  <si>
    <t>Инструмент для измерения угла</t>
  </si>
  <si>
    <t>Инструмент для формирования конвертов "Цапля"</t>
  </si>
  <si>
    <r>
      <t xml:space="preserve">Клещи прямые 60мм накладное соед.  </t>
    </r>
    <r>
      <rPr>
        <b/>
        <sz val="10"/>
        <color indexed="10"/>
        <rFont val="Arial"/>
        <family val="2"/>
        <charset val="204"/>
      </rPr>
      <t>Акция!</t>
    </r>
  </si>
  <si>
    <r>
      <rPr>
        <vertAlign val="superscript"/>
        <sz val="16"/>
        <color indexed="30"/>
        <rFont val="Arial"/>
        <family val="2"/>
        <charset val="204"/>
      </rPr>
      <t>2948</t>
    </r>
    <r>
      <rPr>
        <sz val="12"/>
        <color indexed="30"/>
        <rFont val="Arial"/>
        <family val="2"/>
        <charset val="204"/>
      </rPr>
      <t xml:space="preserve"> </t>
    </r>
    <r>
      <rPr>
        <strike/>
        <sz val="10"/>
        <color indexed="10"/>
        <rFont val="Arial"/>
        <family val="2"/>
        <charset val="204"/>
      </rPr>
      <t>3276</t>
    </r>
  </si>
  <si>
    <t>Клещи прямые угловые 60мм накладное соед.</t>
  </si>
  <si>
    <t>Специальные клещи для обжима угловых соединений, при обустройстве примыкания к стене, обходе труб</t>
  </si>
  <si>
    <r>
      <t xml:space="preserve">Клещи 45 град 40мм накладное соед. </t>
    </r>
    <r>
      <rPr>
        <b/>
        <sz val="10"/>
        <color indexed="10"/>
        <rFont val="Arial"/>
        <family val="2"/>
        <charset val="204"/>
      </rPr>
      <t>NEW</t>
    </r>
  </si>
  <si>
    <t>Клещи 45 град 40мм сквозное соед.</t>
  </si>
  <si>
    <t>под заказ</t>
  </si>
  <si>
    <t>Клещи 45 град 80мм накладное соед.</t>
  </si>
  <si>
    <t>Клещи 90 град 60мм накладное соед.</t>
  </si>
  <si>
    <t>Для формирования элементов примыкания на фальц. кровле</t>
  </si>
  <si>
    <t>Клещи большие прямые скошенные 180мм сквозное соед.</t>
  </si>
  <si>
    <t>Клещи большие прямые 180мм накладное соед.</t>
  </si>
  <si>
    <t>Кровельные клещи для формирования примыкания плоского листа и фальцевых картин к стене и трубам</t>
  </si>
  <si>
    <t>Клещи большие 30 град 180мм сквозное соед.</t>
  </si>
  <si>
    <r>
      <t xml:space="preserve">Клещи большие 45 град 180мм накладное соед. </t>
    </r>
    <r>
      <rPr>
        <b/>
        <sz val="10"/>
        <color indexed="10"/>
        <rFont val="Arial"/>
        <family val="2"/>
        <charset val="204"/>
      </rPr>
      <t>Акция!</t>
    </r>
  </si>
  <si>
    <r>
      <rPr>
        <vertAlign val="superscript"/>
        <sz val="16"/>
        <color indexed="30"/>
        <rFont val="Arial"/>
        <family val="2"/>
        <charset val="204"/>
      </rPr>
      <t>8964</t>
    </r>
    <r>
      <rPr>
        <sz val="12"/>
        <color indexed="30"/>
        <rFont val="Arial"/>
        <family val="2"/>
        <charset val="204"/>
      </rPr>
      <t xml:space="preserve"> </t>
    </r>
    <r>
      <rPr>
        <strike/>
        <sz val="10"/>
        <color indexed="10"/>
        <rFont val="Arial"/>
        <family val="2"/>
        <charset val="204"/>
      </rPr>
      <t>9960</t>
    </r>
  </si>
  <si>
    <t>Клещи для конвертов сквозное соед.</t>
  </si>
  <si>
    <r>
      <t xml:space="preserve">Круглогубцы 45мм накладное / сквозное соед. </t>
    </r>
    <r>
      <rPr>
        <b/>
        <sz val="10"/>
        <color indexed="10"/>
        <rFont val="Arial"/>
        <family val="2"/>
        <charset val="204"/>
      </rPr>
      <t>Акция!</t>
    </r>
  </si>
  <si>
    <t>Круглогубцы 65мм сквозное соед.</t>
  </si>
  <si>
    <r>
      <t xml:space="preserve">Плоскогубцы кровельные сквозное соед. </t>
    </r>
    <r>
      <rPr>
        <b/>
        <sz val="10"/>
        <color indexed="10"/>
        <rFont val="Arial"/>
        <family val="2"/>
        <charset val="204"/>
      </rPr>
      <t>Акция!</t>
    </r>
  </si>
  <si>
    <t>Фальц. Кровля</t>
  </si>
  <si>
    <r>
      <rPr>
        <vertAlign val="superscript"/>
        <sz val="16"/>
        <color indexed="30"/>
        <rFont val="Arial"/>
        <family val="2"/>
        <charset val="204"/>
      </rPr>
      <t>2535</t>
    </r>
    <r>
      <rPr>
        <sz val="12"/>
        <color indexed="30"/>
        <rFont val="Arial"/>
        <family val="2"/>
        <charset val="204"/>
      </rPr>
      <t xml:space="preserve"> </t>
    </r>
    <r>
      <rPr>
        <strike/>
        <sz val="10"/>
        <color indexed="10"/>
        <rFont val="Arial"/>
        <family val="2"/>
        <charset val="204"/>
      </rPr>
      <t>2817</t>
    </r>
  </si>
  <si>
    <t>Просекатель отверстий NHP1R</t>
  </si>
  <si>
    <t>Инструмент для демонтажа сайдинга SRT2</t>
  </si>
  <si>
    <t>Для комп. чер. и мет. сайдинга</t>
  </si>
  <si>
    <t>Электрический многофункциональный резак, предназначенный для резки различных материалов без замены пильного диска. (в комплекте с режущим диском)</t>
  </si>
  <si>
    <t>Строительство</t>
  </si>
  <si>
    <t>Дальномер лазерный Leica Disto D210</t>
  </si>
  <si>
    <t>Лазерный нивелир ADA 6D Servoliner</t>
  </si>
  <si>
    <t>Для горизонтальной и вертикальной разметки на улице и внутри помещений.</t>
  </si>
  <si>
    <t>Оптический нивелир ADA BASIS</t>
  </si>
  <si>
    <t>Для определения разности высот между несколькими клетками земной</t>
  </si>
  <si>
    <t>Оптический нивелир ADA RUBER-Х32</t>
  </si>
  <si>
    <t xml:space="preserve">Штатив геодезический ADA Light-S </t>
  </si>
  <si>
    <t xml:space="preserve">Универсальный раздвижной штатив, на винтах. </t>
  </si>
  <si>
    <t>Нивелирная телескоп.рейка ADA STAFF 3</t>
  </si>
  <si>
    <t>Проградуированная рейка для измерения разности в уровнях с помощью нивелира. Длина 3м/5м</t>
  </si>
  <si>
    <t>Нивелирная телескоп. рейка ADA STAFF 5</t>
  </si>
  <si>
    <t>Уровень строительный ADA Titan 600 (60 см)</t>
  </si>
  <si>
    <t>Противоударный пузырьковый строительный уровень для работы на стройплощадке</t>
  </si>
  <si>
    <t>Уровень строительный ADA Titan 800 (80 см)</t>
  </si>
  <si>
    <t>Уровень строительный ADA Titan 1000 (100 см)</t>
  </si>
  <si>
    <t>Кровельный циркуль 200 мм</t>
  </si>
  <si>
    <t>Уровень электронный ADA Pro-Digit MICRO</t>
  </si>
  <si>
    <t>Бензобур ADA GroundDrill-2 в комплекте со шнеком Drill 150</t>
  </si>
  <si>
    <t>Магнитная насадка 8х45 / 8х48</t>
  </si>
  <si>
    <r>
      <t xml:space="preserve">Шуруповерт IVT Li-14,4 EGK </t>
    </r>
    <r>
      <rPr>
        <b/>
        <sz val="10"/>
        <color indexed="10"/>
        <rFont val="Arial"/>
        <family val="2"/>
        <charset val="204"/>
      </rPr>
      <t>NEW</t>
    </r>
  </si>
  <si>
    <r>
      <t xml:space="preserve">Шуруповерт IVT Li-18 EGK </t>
    </r>
    <r>
      <rPr>
        <b/>
        <sz val="10"/>
        <color indexed="10"/>
        <rFont val="Arial"/>
        <family val="2"/>
        <charset val="204"/>
      </rPr>
      <t>NEW</t>
    </r>
  </si>
  <si>
    <r>
      <t xml:space="preserve">Аккумуляторная батарея (Lithium) BAT Li - 14,4 </t>
    </r>
    <r>
      <rPr>
        <b/>
        <sz val="10"/>
        <color indexed="10"/>
        <rFont val="Arial"/>
        <family val="2"/>
        <charset val="204"/>
      </rPr>
      <t>NEW</t>
    </r>
  </si>
  <si>
    <t>Дополнительный Li-Ion аккумулятор к шуруповерту</t>
  </si>
  <si>
    <r>
      <t xml:space="preserve">Аккумуляторная батарея (Lithium) BAT Li - 18 </t>
    </r>
    <r>
      <rPr>
        <b/>
        <sz val="10"/>
        <color indexed="10"/>
        <rFont val="Arial"/>
        <family val="2"/>
        <charset val="204"/>
      </rPr>
      <t>NEW</t>
    </r>
  </si>
  <si>
    <t>Пистолет для герметика Caulker</t>
  </si>
  <si>
    <t>Blast</t>
  </si>
  <si>
    <t>МЧ, ПН</t>
  </si>
  <si>
    <t>Для герметика в картридже</t>
  </si>
  <si>
    <r>
      <t xml:space="preserve">Пистолет для герметика усиленный No-drop </t>
    </r>
    <r>
      <rPr>
        <b/>
        <sz val="10"/>
        <color indexed="10"/>
        <rFont val="Arial"/>
        <family val="2"/>
        <charset val="204"/>
      </rPr>
      <t>Акция!</t>
    </r>
  </si>
  <si>
    <r>
      <rPr>
        <vertAlign val="superscript"/>
        <sz val="16"/>
        <color indexed="30"/>
        <rFont val="Arial"/>
        <family val="2"/>
        <charset val="204"/>
      </rPr>
      <t>189</t>
    </r>
    <r>
      <rPr>
        <sz val="12"/>
        <color indexed="30"/>
        <rFont val="Arial"/>
        <family val="2"/>
        <charset val="204"/>
      </rPr>
      <t xml:space="preserve"> </t>
    </r>
    <r>
      <rPr>
        <strike/>
        <sz val="10"/>
        <color indexed="10"/>
        <rFont val="Arial"/>
        <family val="2"/>
        <charset val="204"/>
      </rPr>
      <t>210</t>
    </r>
  </si>
  <si>
    <t>гладкая поверхность</t>
  </si>
  <si>
    <t>текстурированная поверхность</t>
  </si>
  <si>
    <r>
      <t xml:space="preserve">Satin 
</t>
    </r>
    <r>
      <rPr>
        <sz val="8"/>
        <rFont val="Arial"/>
        <family val="2"/>
        <charset val="204"/>
      </rPr>
      <t>(Zn 180 г/кв.м.)</t>
    </r>
  </si>
  <si>
    <r>
      <t xml:space="preserve">Drap
</t>
    </r>
    <r>
      <rPr>
        <sz val="8"/>
        <rFont val="Arial"/>
        <family val="2"/>
        <charset val="204"/>
      </rPr>
      <t>(Zn 100-200 г/кв.м.)</t>
    </r>
  </si>
  <si>
    <r>
      <t xml:space="preserve">Ре двс
</t>
    </r>
    <r>
      <rPr>
        <sz val="8"/>
        <rFont val="Arial"/>
        <family val="2"/>
        <charset val="204"/>
      </rPr>
      <t>(Zn 100-180 г/кв.м.)</t>
    </r>
  </si>
  <si>
    <t>Atlas</t>
  </si>
  <si>
    <t>Quarzit/Quarzit Matt</t>
  </si>
  <si>
    <t>Планка примыкание в штробу</t>
  </si>
  <si>
    <t>Вентпрогон опорный для фальца (RAL 9002 и 7004)</t>
  </si>
  <si>
    <t>Планка карнизная фальц 130х80</t>
  </si>
  <si>
    <t xml:space="preserve">Планка крепежная фальц </t>
  </si>
  <si>
    <t xml:space="preserve">Планка примыкание боковое фальц </t>
  </si>
  <si>
    <t>Планка примыкание верхнее к трубе фальц</t>
  </si>
  <si>
    <t xml:space="preserve">Планка примыкание нижнее к трубе фальц </t>
  </si>
  <si>
    <t>Планка торцевая фальц 60х97</t>
  </si>
  <si>
    <t>Колпак на столбы для ограждений 390*390**</t>
  </si>
  <si>
    <t>Планка начальная</t>
  </si>
  <si>
    <t>Металлочерепица,композитная металлочерепица и фальцевая кровля</t>
  </si>
  <si>
    <t>400;1100;2150</t>
  </si>
  <si>
    <r>
      <t xml:space="preserve">Atlas® </t>
    </r>
    <r>
      <rPr>
        <b/>
        <sz val="8"/>
        <color indexed="10"/>
        <rFont val="Arial"/>
        <family val="2"/>
        <charset val="204"/>
      </rPr>
      <t>NEW</t>
    </r>
    <r>
      <rPr>
        <b/>
        <sz val="8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(ZA 265 г/кв.м.)</t>
    </r>
  </si>
  <si>
    <r>
      <t xml:space="preserve">Colority®Print
</t>
    </r>
    <r>
      <rPr>
        <sz val="8"/>
        <rFont val="Arial"/>
        <family val="2"/>
        <charset val="204"/>
      </rPr>
      <t>(Zn 275 г/кв.м.)</t>
    </r>
  </si>
  <si>
    <r>
      <t xml:space="preserve">Colority®Print dp 
</t>
    </r>
    <r>
      <rPr>
        <sz val="8"/>
        <rFont val="Arial"/>
        <family val="2"/>
        <charset val="204"/>
      </rPr>
      <t>(Zn 275 г/кв.м.)</t>
    </r>
  </si>
  <si>
    <r>
      <t xml:space="preserve">Металлочерепица Kamea    </t>
    </r>
    <r>
      <rPr>
        <b/>
        <sz val="8"/>
        <color indexed="10"/>
        <rFont val="Arial"/>
        <family val="2"/>
        <charset val="204"/>
      </rPr>
      <t>NEW</t>
    </r>
  </si>
  <si>
    <r>
      <t xml:space="preserve">Композитная металлочерепица Classic    </t>
    </r>
    <r>
      <rPr>
        <b/>
        <sz val="8"/>
        <color indexed="10"/>
        <rFont val="Arial"/>
        <family val="2"/>
        <charset val="204"/>
      </rPr>
      <t>NEW</t>
    </r>
  </si>
  <si>
    <r>
      <t xml:space="preserve">Сопутствующие товары </t>
    </r>
    <r>
      <rPr>
        <b/>
        <sz val="8"/>
        <color indexed="10"/>
        <rFont val="Arial"/>
        <family val="2"/>
        <charset val="204"/>
      </rPr>
      <t>- Grand Line рекомендует!</t>
    </r>
  </si>
  <si>
    <t xml:space="preserve">Штакетник П-образный </t>
  </si>
  <si>
    <t>Корректор для ремонта царапин (12 мл.)</t>
  </si>
  <si>
    <t xml:space="preserve">Аэроэлемент конька/хребта с перф. коричневый 220х5000 BWK </t>
  </si>
  <si>
    <t>Лента вентиляционная ПВХ (коричневая/белая NEW) 100х5000 BWK</t>
  </si>
  <si>
    <t>Магнитная насадка 8х45 для саморезов</t>
  </si>
  <si>
    <r>
      <t xml:space="preserve">Сопутствующие товары - </t>
    </r>
    <r>
      <rPr>
        <b/>
        <sz val="8"/>
        <color indexed="10"/>
        <rFont val="Arial"/>
        <family val="2"/>
        <charset val="204"/>
      </rPr>
      <t>Grand Line рекомендует!</t>
    </r>
  </si>
  <si>
    <r>
      <t xml:space="preserve">DRIPSTOP (пн, пл) </t>
    </r>
    <r>
      <rPr>
        <sz val="8"/>
        <rFont val="Arial"/>
        <family val="2"/>
        <charset val="204"/>
      </rPr>
      <t>(на заказы менее 50 кв.м. DRIPSTOP не наносится!)</t>
    </r>
  </si>
</sst>
</file>

<file path=xl/styles.xml><?xml version="1.0" encoding="utf-8"?>
<styleSheet xmlns="http://schemas.openxmlformats.org/spreadsheetml/2006/main">
  <numFmts count="22">
    <numFmt numFmtId="6" formatCode="#,##0&quot;р.&quot;;[Red]\-#,##0&quot;р.&quot;"/>
    <numFmt numFmtId="8" formatCode="#,##0.00&quot;р.&quot;;[Red]\-#,##0.00&quot;р.&quot;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%"/>
    <numFmt numFmtId="165" formatCode="#,##0.00_р_."/>
    <numFmt numFmtId="166" formatCode="#,##0&quot;р.&quot;"/>
    <numFmt numFmtId="167" formatCode="#,##0.0&quot;р.&quot;;[Red]\-#,##0.0&quot;р.&quot;"/>
    <numFmt numFmtId="168" formatCode="#,##0.0&quot;р.&quot;"/>
    <numFmt numFmtId="169" formatCode="#,##0.0_р_."/>
    <numFmt numFmtId="170" formatCode="#,##0.0"/>
    <numFmt numFmtId="171" formatCode="_-* #,##0.00[$€-1]_-;\-* #,##0.00[$€-1]_-;_-* &quot;-&quot;??[$€-1]_-"/>
    <numFmt numFmtId="172" formatCode="_([$€]* #,##0.00_);_([$€]* \(#,##0.00\);_([$€]* &quot;-&quot;??_);_(@_)"/>
    <numFmt numFmtId="173" formatCode="#,##0.000"/>
    <numFmt numFmtId="174" formatCode="0.000"/>
    <numFmt numFmtId="176" formatCode="#,##0_ ;\-#,##0\ "/>
    <numFmt numFmtId="177" formatCode="0.0"/>
    <numFmt numFmtId="178" formatCode="[$-419]General"/>
    <numFmt numFmtId="179" formatCode="#,##0.00&quot;р.&quot;"/>
    <numFmt numFmtId="180" formatCode="[$€-2]\ #,##0.00"/>
    <numFmt numFmtId="181" formatCode="_(* #,##0.00_);_(* \(#,##0.00\);_(* &quot;-&quot;??_);_(@_)"/>
    <numFmt numFmtId="182" formatCode="#,##0_р_."/>
  </numFmts>
  <fonts count="143"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charset val="204"/>
    </font>
    <font>
      <sz val="8"/>
      <name val="Arial"/>
      <family val="2"/>
      <charset val="204"/>
    </font>
    <font>
      <b/>
      <sz val="20"/>
      <color indexed="8"/>
      <name val="Calibri"/>
      <family val="2"/>
      <charset val="204"/>
    </font>
    <font>
      <sz val="9"/>
      <name val="Arial Cyr"/>
      <family val="2"/>
      <charset val="204"/>
    </font>
    <font>
      <sz val="9"/>
      <name val="Arial"/>
      <family val="2"/>
      <charset val="204"/>
    </font>
    <font>
      <sz val="9"/>
      <name val="Calibri"/>
      <family val="2"/>
      <charset val="204"/>
    </font>
    <font>
      <b/>
      <sz val="8"/>
      <name val="Arial"/>
      <family val="2"/>
      <charset val="204"/>
    </font>
    <font>
      <b/>
      <sz val="16"/>
      <name val="Arial"/>
      <family val="2"/>
      <charset val="204"/>
    </font>
    <font>
      <b/>
      <sz val="10"/>
      <name val="Arial"/>
      <family val="2"/>
      <charset val="204"/>
    </font>
    <font>
      <sz val="11"/>
      <name val="Arial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1"/>
      <name val="Arial"/>
      <family val="2"/>
      <charset val="204"/>
    </font>
    <font>
      <sz val="12"/>
      <name val="Arial Cyr"/>
      <family val="2"/>
      <charset val="204"/>
    </font>
    <font>
      <sz val="12"/>
      <name val="Arial"/>
      <family val="2"/>
      <charset val="204"/>
    </font>
    <font>
      <sz val="10"/>
      <name val="Arial Cyr"/>
    </font>
    <font>
      <sz val="9"/>
      <name val="Arial CE"/>
    </font>
    <font>
      <sz val="10"/>
      <color indexed="8"/>
      <name val="Arial Cyr"/>
      <family val="2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1"/>
      <name val="Arial Cyr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0"/>
      <color indexed="10"/>
      <name val="Arial"/>
      <family val="2"/>
      <charset val="204"/>
    </font>
    <font>
      <vertAlign val="superscript"/>
      <sz val="12"/>
      <name val="Arial Cyr"/>
      <charset val="204"/>
    </font>
    <font>
      <b/>
      <sz val="12"/>
      <name val="Arial Cyr"/>
      <charset val="204"/>
    </font>
    <font>
      <sz val="12"/>
      <color indexed="9"/>
      <name val="Arial Cyr"/>
      <family val="2"/>
      <charset val="204"/>
    </font>
    <font>
      <i/>
      <sz val="12"/>
      <name val="Arial"/>
      <family val="2"/>
      <charset val="204"/>
    </font>
    <font>
      <b/>
      <sz val="12"/>
      <color indexed="9"/>
      <name val="Arial Cyr"/>
      <charset val="204"/>
    </font>
    <font>
      <sz val="11"/>
      <name val="Arial Cyr"/>
      <charset val="204"/>
    </font>
    <font>
      <vertAlign val="superscript"/>
      <sz val="11"/>
      <name val="Arial Cyr"/>
      <charset val="204"/>
    </font>
    <font>
      <b/>
      <sz val="8"/>
      <color indexed="10"/>
      <name val="Arial"/>
      <family val="2"/>
      <charset val="204"/>
    </font>
    <font>
      <b/>
      <sz val="8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u/>
      <sz val="10"/>
      <color indexed="12"/>
      <name val="Arial Cyr"/>
      <charset val="204"/>
    </font>
    <font>
      <u/>
      <sz val="8"/>
      <name val="Arial"/>
      <family val="2"/>
      <charset val="204"/>
    </font>
    <font>
      <b/>
      <sz val="10"/>
      <color indexed="10"/>
      <name val="Franklin Gothic Book"/>
      <family val="2"/>
      <charset val="204"/>
    </font>
    <font>
      <sz val="10"/>
      <color indexed="8"/>
      <name val="Franklin Gothic Book"/>
      <family val="2"/>
      <charset val="204"/>
    </font>
    <font>
      <b/>
      <sz val="12"/>
      <color indexed="10"/>
      <name val="Franklin Gothic Book"/>
      <family val="2"/>
      <charset val="204"/>
    </font>
    <font>
      <b/>
      <i/>
      <sz val="16"/>
      <color indexed="62"/>
      <name val="Franklin Gothic Book"/>
      <family val="2"/>
      <charset val="204"/>
    </font>
    <font>
      <b/>
      <i/>
      <sz val="12"/>
      <color indexed="62"/>
      <name val="Franklin Gothic Book"/>
      <family val="2"/>
      <charset val="204"/>
    </font>
    <font>
      <b/>
      <sz val="10"/>
      <name val="Franklin Gothic Book"/>
      <family val="2"/>
    </font>
    <font>
      <sz val="10"/>
      <name val="Franklin Gothic Book"/>
      <family val="2"/>
    </font>
    <font>
      <b/>
      <sz val="12"/>
      <name val="Franklin Gothic Book"/>
      <family val="2"/>
    </font>
    <font>
      <b/>
      <sz val="11"/>
      <name val="Franklin Gothic Book"/>
      <family val="2"/>
    </font>
    <font>
      <b/>
      <sz val="10"/>
      <color indexed="10"/>
      <name val="Franklin Gothic Book"/>
      <family val="2"/>
    </font>
    <font>
      <sz val="10"/>
      <name val="Verdana"/>
      <family val="2"/>
    </font>
    <font>
      <sz val="10"/>
      <name val="Franklin Gothic Book"/>
      <family val="2"/>
      <charset val="204"/>
    </font>
    <font>
      <b/>
      <sz val="10"/>
      <name val="Franklin Gothic Book"/>
      <family val="2"/>
      <charset val="204"/>
    </font>
    <font>
      <sz val="12"/>
      <name val="Franklin Gothic Book"/>
      <family val="2"/>
      <charset val="204"/>
    </font>
    <font>
      <sz val="10"/>
      <color indexed="10"/>
      <name val="Franklin Gothic Book"/>
      <family val="2"/>
    </font>
    <font>
      <b/>
      <sz val="10"/>
      <color indexed="62"/>
      <name val="Franklin Gothic Book"/>
      <family val="2"/>
      <charset val="204"/>
    </font>
    <font>
      <sz val="10"/>
      <color indexed="8"/>
      <name val="Franklin Gothic Book"/>
      <family val="2"/>
    </font>
    <font>
      <sz val="10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vertAlign val="superscript"/>
      <sz val="16"/>
      <color indexed="30"/>
      <name val="Arial"/>
      <family val="2"/>
      <charset val="204"/>
    </font>
    <font>
      <sz val="12"/>
      <color indexed="30"/>
      <name val="Arial"/>
      <family val="2"/>
      <charset val="204"/>
    </font>
    <font>
      <strike/>
      <sz val="10"/>
      <color indexed="10"/>
      <name val="Arial"/>
      <family val="2"/>
      <charset val="204"/>
    </font>
    <font>
      <u/>
      <sz val="8"/>
      <name val="Arial Cyr"/>
      <charset val="204"/>
    </font>
    <font>
      <b/>
      <sz val="14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vertAlign val="superscript"/>
      <sz val="9"/>
      <color indexed="8"/>
      <name val="Arial"/>
      <family val="2"/>
      <charset val="204"/>
    </font>
    <font>
      <b/>
      <i/>
      <vertAlign val="superscript"/>
      <sz val="9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6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2"/>
      <name val="Arial"/>
      <family val="2"/>
      <charset val="204"/>
    </font>
    <font>
      <sz val="16"/>
      <name val="Arial Cyr"/>
      <charset val="204"/>
    </font>
    <font>
      <i/>
      <sz val="9"/>
      <name val="Franklin Gothic Book"/>
      <family val="2"/>
      <charset val="204"/>
    </font>
    <font>
      <sz val="9"/>
      <name val="Franklin Gothic Book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10"/>
      <name val="Arial"/>
      <family val="2"/>
      <charset val="204"/>
    </font>
    <font>
      <b/>
      <sz val="8.5"/>
      <name val="Arial"/>
      <family val="2"/>
      <charset val="204"/>
    </font>
    <font>
      <sz val="8.5"/>
      <name val="Arial"/>
      <family val="2"/>
      <charset val="204"/>
    </font>
    <font>
      <b/>
      <u/>
      <sz val="8.5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Arial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FF0000"/>
      <name val="Franklin Gothic Book"/>
      <family val="2"/>
    </font>
    <font>
      <b/>
      <sz val="10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sz val="20"/>
      <color rgb="FFFF0000"/>
      <name val="Calibri"/>
      <family val="2"/>
      <charset val="204"/>
      <scheme val="minor"/>
    </font>
    <font>
      <sz val="20"/>
      <color rgb="FFFF0000"/>
      <name val="Calibri"/>
      <family val="2"/>
      <scheme val="minor"/>
    </font>
    <font>
      <b/>
      <sz val="24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i/>
      <sz val="8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rgb="FF3B2FD9"/>
      <name val="Arial"/>
      <family val="2"/>
      <charset val="204"/>
    </font>
    <font>
      <sz val="11"/>
      <color theme="0"/>
      <name val="Calibri"/>
      <family val="2"/>
      <scheme val="minor"/>
    </font>
    <font>
      <sz val="10"/>
      <color rgb="FF3B2FD9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Franklin Gothic Book"/>
      <family val="2"/>
      <charset val="204"/>
    </font>
    <font>
      <b/>
      <sz val="9"/>
      <color theme="1"/>
      <name val="Arial"/>
      <family val="2"/>
      <charset val="204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AD706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2650E"/>
        <bgColor indexed="64"/>
      </patternFill>
    </fill>
    <fill>
      <patternFill patternType="solid">
        <fgColor rgb="FFFFC000"/>
        <bgColor indexed="64"/>
      </patternFill>
    </fill>
  </fills>
  <borders count="1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7">
    <xf numFmtId="0" fontId="0" fillId="0" borderId="0"/>
    <xf numFmtId="0" fontId="20" fillId="0" borderId="0"/>
    <xf numFmtId="0" fontId="21" fillId="0" borderId="0"/>
    <xf numFmtId="0" fontId="21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8" fillId="36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171" fontId="16" fillId="0" borderId="0" applyFont="0" applyFill="0" applyBorder="0" applyAlignment="0" applyProtection="0"/>
    <xf numFmtId="172" fontId="22" fillId="0" borderId="0" applyFont="0" applyFill="0" applyBorder="0" applyAlignment="0" applyProtection="0"/>
    <xf numFmtId="178" fontId="109" fillId="0" borderId="0" applyBorder="0" applyProtection="0"/>
    <xf numFmtId="0" fontId="17" fillId="16" borderId="1" applyFill="0">
      <alignment horizontal="center"/>
    </xf>
    <xf numFmtId="0" fontId="91" fillId="0" borderId="0"/>
    <xf numFmtId="2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20" borderId="0" applyNumberFormat="0" applyBorder="0" applyAlignment="0" applyProtection="0"/>
    <xf numFmtId="0" fontId="25" fillId="7" borderId="2" applyNumberFormat="0" applyAlignment="0" applyProtection="0"/>
    <xf numFmtId="0" fontId="26" fillId="21" borderId="3" applyNumberFormat="0" applyAlignment="0" applyProtection="0"/>
    <xf numFmtId="0" fontId="27" fillId="21" borderId="2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/>
    <xf numFmtId="44" fontId="16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8" fillId="0" borderId="4" applyNumberFormat="0" applyFill="0" applyAlignment="0" applyProtection="0"/>
    <xf numFmtId="0" fontId="29" fillId="0" borderId="5" applyNumberFormat="0" applyFill="0" applyAlignment="0" applyProtection="0"/>
    <xf numFmtId="0" fontId="30" fillId="0" borderId="6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7" applyNumberFormat="0" applyFill="0" applyAlignment="0" applyProtection="0"/>
    <xf numFmtId="0" fontId="32" fillId="22" borderId="8" applyNumberFormat="0" applyAlignment="0" applyProtection="0"/>
    <xf numFmtId="0" fontId="33" fillId="0" borderId="0" applyNumberFormat="0" applyFill="0" applyBorder="0" applyAlignment="0" applyProtection="0"/>
    <xf numFmtId="0" fontId="34" fillId="23" borderId="0" applyNumberFormat="0" applyBorder="0" applyAlignment="0" applyProtection="0"/>
    <xf numFmtId="0" fontId="19" fillId="0" borderId="0"/>
    <xf numFmtId="0" fontId="11" fillId="0" borderId="0"/>
    <xf numFmtId="0" fontId="108" fillId="0" borderId="0"/>
    <xf numFmtId="0" fontId="11" fillId="0" borderId="0"/>
    <xf numFmtId="0" fontId="108" fillId="0" borderId="0"/>
    <xf numFmtId="0" fontId="108" fillId="0" borderId="0"/>
    <xf numFmtId="0" fontId="108" fillId="0" borderId="0"/>
    <xf numFmtId="0" fontId="22" fillId="0" borderId="0"/>
    <xf numFmtId="0" fontId="108" fillId="0" borderId="0"/>
    <xf numFmtId="0" fontId="108" fillId="0" borderId="0"/>
    <xf numFmtId="0" fontId="16" fillId="0" borderId="0"/>
    <xf numFmtId="0" fontId="11" fillId="0" borderId="0"/>
    <xf numFmtId="0" fontId="22" fillId="0" borderId="0"/>
    <xf numFmtId="0" fontId="77" fillId="0" borderId="0"/>
    <xf numFmtId="0" fontId="11" fillId="0" borderId="0"/>
    <xf numFmtId="0" fontId="108" fillId="0" borderId="0"/>
    <xf numFmtId="0" fontId="11" fillId="0" borderId="0"/>
    <xf numFmtId="0" fontId="22" fillId="0" borderId="0"/>
    <xf numFmtId="0" fontId="18" fillId="0" borderId="0"/>
    <xf numFmtId="0" fontId="11" fillId="0" borderId="0"/>
    <xf numFmtId="0" fontId="19" fillId="0" borderId="0"/>
    <xf numFmtId="0" fontId="108" fillId="0" borderId="0"/>
    <xf numFmtId="0" fontId="22" fillId="0" borderId="0"/>
    <xf numFmtId="0" fontId="73" fillId="0" borderId="0"/>
    <xf numFmtId="0" fontId="108" fillId="0" borderId="0"/>
    <xf numFmtId="0" fontId="19" fillId="0" borderId="0"/>
    <xf numFmtId="0" fontId="1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22" fillId="0" borderId="0"/>
    <xf numFmtId="0" fontId="20" fillId="0" borderId="0"/>
    <xf numFmtId="0" fontId="11" fillId="0" borderId="0"/>
    <xf numFmtId="0" fontId="19" fillId="0" borderId="0"/>
    <xf numFmtId="0" fontId="19" fillId="0" borderId="0"/>
    <xf numFmtId="0" fontId="35" fillId="3" borderId="0" applyNumberFormat="0" applyBorder="0" applyAlignment="0" applyProtection="0"/>
    <xf numFmtId="0" fontId="36" fillId="0" borderId="0" applyNumberFormat="0" applyFill="0" applyBorder="0" applyAlignment="0" applyProtection="0"/>
    <xf numFmtId="0" fontId="11" fillId="24" borderId="9" applyNumberFormat="0" applyFont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7" fillId="0" borderId="10" applyNumberFormat="0" applyFill="0" applyAlignment="0" applyProtection="0"/>
    <xf numFmtId="0" fontId="20" fillId="0" borderId="0"/>
    <xf numFmtId="0" fontId="38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0" fontId="39" fillId="4" borderId="0" applyNumberFormat="0" applyBorder="0" applyAlignment="0" applyProtection="0"/>
  </cellStyleXfs>
  <cellXfs count="1874">
    <xf numFmtId="0" fontId="0" fillId="0" borderId="0" xfId="0"/>
    <xf numFmtId="0" fontId="0" fillId="0" borderId="0" xfId="0" applyBorder="1"/>
    <xf numFmtId="0" fontId="2" fillId="0" borderId="11" xfId="0" applyNumberFormat="1" applyFont="1" applyFill="1" applyBorder="1" applyAlignment="1" applyProtection="1">
      <alignment horizontal="left" vertical="top"/>
    </xf>
    <xf numFmtId="0" fontId="2" fillId="0" borderId="12" xfId="0" applyNumberFormat="1" applyFont="1" applyFill="1" applyBorder="1" applyAlignment="1" applyProtection="1">
      <alignment horizontal="left" vertical="top"/>
    </xf>
    <xf numFmtId="0" fontId="2" fillId="0" borderId="13" xfId="0" applyNumberFormat="1" applyFont="1" applyFill="1" applyBorder="1" applyAlignment="1" applyProtection="1">
      <alignment horizontal="left" vertical="top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justify"/>
    </xf>
    <xf numFmtId="0" fontId="0" fillId="0" borderId="16" xfId="0" applyBorder="1" applyAlignment="1">
      <alignment horizontal="center" vertical="justify"/>
    </xf>
    <xf numFmtId="165" fontId="0" fillId="0" borderId="17" xfId="0" applyNumberFormat="1" applyBorder="1" applyAlignment="1">
      <alignment horizontal="center" vertical="justify"/>
    </xf>
    <xf numFmtId="165" fontId="0" fillId="0" borderId="18" xfId="0" applyNumberFormat="1" applyBorder="1" applyAlignment="1">
      <alignment horizontal="center" vertical="justify"/>
    </xf>
    <xf numFmtId="0" fontId="2" fillId="0" borderId="19" xfId="0" applyNumberFormat="1" applyFont="1" applyFill="1" applyBorder="1" applyAlignment="1" applyProtection="1">
      <alignment vertical="justify"/>
    </xf>
    <xf numFmtId="0" fontId="2" fillId="0" borderId="20" xfId="0" applyNumberFormat="1" applyFont="1" applyFill="1" applyBorder="1" applyAlignment="1" applyProtection="1">
      <alignment vertical="justify"/>
    </xf>
    <xf numFmtId="0" fontId="2" fillId="0" borderId="21" xfId="0" applyNumberFormat="1" applyFont="1" applyFill="1" applyBorder="1" applyAlignment="1" applyProtection="1">
      <alignment vertical="justify"/>
    </xf>
    <xf numFmtId="165" fontId="0" fillId="0" borderId="22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0" borderId="23" xfId="0" applyNumberFormat="1" applyBorder="1" applyAlignment="1">
      <alignment vertical="center"/>
    </xf>
    <xf numFmtId="165" fontId="0" fillId="0" borderId="24" xfId="0" applyNumberFormat="1" applyBorder="1" applyAlignment="1">
      <alignment vertical="center"/>
    </xf>
    <xf numFmtId="165" fontId="0" fillId="0" borderId="22" xfId="0" applyNumberFormat="1" applyBorder="1" applyAlignment="1">
      <alignment vertical="center"/>
    </xf>
    <xf numFmtId="165" fontId="0" fillId="0" borderId="1" xfId="0" applyNumberFormat="1" applyBorder="1" applyAlignment="1">
      <alignment vertical="center"/>
    </xf>
    <xf numFmtId="165" fontId="0" fillId="0" borderId="25" xfId="0" applyNumberFormat="1" applyBorder="1" applyAlignment="1">
      <alignment vertical="center"/>
    </xf>
    <xf numFmtId="165" fontId="0" fillId="0" borderId="18" xfId="0" applyNumberFormat="1" applyBorder="1" applyAlignment="1">
      <alignment vertical="center"/>
    </xf>
    <xf numFmtId="0" fontId="2" fillId="0" borderId="11" xfId="0" applyNumberFormat="1" applyFont="1" applyFill="1" applyBorder="1" applyAlignment="1" applyProtection="1">
      <alignment vertical="justify"/>
    </xf>
    <xf numFmtId="0" fontId="2" fillId="0" borderId="12" xfId="0" applyNumberFormat="1" applyFont="1" applyFill="1" applyBorder="1" applyAlignment="1" applyProtection="1">
      <alignment vertical="justify"/>
    </xf>
    <xf numFmtId="0" fontId="2" fillId="0" borderId="13" xfId="0" applyNumberFormat="1" applyFont="1" applyFill="1" applyBorder="1" applyAlignment="1" applyProtection="1">
      <alignment vertical="justify"/>
    </xf>
    <xf numFmtId="0" fontId="0" fillId="0" borderId="26" xfId="0" applyBorder="1" applyAlignment="1">
      <alignment horizontal="center" vertical="center"/>
    </xf>
    <xf numFmtId="166" fontId="0" fillId="0" borderId="24" xfId="0" applyNumberFormat="1" applyBorder="1" applyAlignment="1">
      <alignment vertical="center"/>
    </xf>
    <xf numFmtId="166" fontId="0" fillId="0" borderId="1" xfId="0" applyNumberFormat="1" applyBorder="1" applyAlignment="1">
      <alignment vertical="center"/>
    </xf>
    <xf numFmtId="166" fontId="0" fillId="0" borderId="18" xfId="0" applyNumberFormat="1" applyBorder="1" applyAlignment="1">
      <alignment vertical="center"/>
    </xf>
    <xf numFmtId="6" fontId="0" fillId="0" borderId="27" xfId="0" applyNumberFormat="1" applyBorder="1" applyAlignment="1">
      <alignment horizontal="center" vertical="justify"/>
    </xf>
    <xf numFmtId="6" fontId="0" fillId="0" borderId="24" xfId="0" applyNumberFormat="1" applyBorder="1" applyAlignment="1">
      <alignment horizontal="center" vertical="justify"/>
    </xf>
    <xf numFmtId="6" fontId="0" fillId="0" borderId="28" xfId="0" applyNumberFormat="1" applyBorder="1" applyAlignment="1">
      <alignment horizontal="center" vertical="justify"/>
    </xf>
    <xf numFmtId="6" fontId="0" fillId="0" borderId="29" xfId="0" applyNumberFormat="1" applyBorder="1" applyAlignment="1">
      <alignment horizontal="center" vertical="justify"/>
    </xf>
    <xf numFmtId="6" fontId="0" fillId="0" borderId="1" xfId="0" applyNumberFormat="1" applyBorder="1" applyAlignment="1">
      <alignment horizontal="center" vertical="justify"/>
    </xf>
    <xf numFmtId="6" fontId="0" fillId="0" borderId="30" xfId="0" applyNumberFormat="1" applyBorder="1" applyAlignment="1">
      <alignment horizontal="center" vertical="justify"/>
    </xf>
    <xf numFmtId="6" fontId="0" fillId="0" borderId="31" xfId="0" applyNumberFormat="1" applyBorder="1" applyAlignment="1">
      <alignment horizontal="center" vertical="justify"/>
    </xf>
    <xf numFmtId="6" fontId="0" fillId="0" borderId="18" xfId="0" applyNumberFormat="1" applyBorder="1" applyAlignment="1">
      <alignment horizontal="center" vertical="justify"/>
    </xf>
    <xf numFmtId="0" fontId="2" fillId="0" borderId="12" xfId="0" applyNumberFormat="1" applyFont="1" applyFill="1" applyBorder="1" applyAlignment="1" applyProtection="1">
      <alignment horizontal="left" vertical="center"/>
    </xf>
    <xf numFmtId="0" fontId="0" fillId="0" borderId="26" xfId="0" applyBorder="1" applyAlignment="1">
      <alignment horizontal="center" vertical="justify"/>
    </xf>
    <xf numFmtId="0" fontId="0" fillId="0" borderId="32" xfId="0" applyBorder="1" applyAlignment="1">
      <alignment horizontal="center" vertical="justify"/>
    </xf>
    <xf numFmtId="6" fontId="0" fillId="0" borderId="33" xfId="0" applyNumberFormat="1" applyBorder="1" applyAlignment="1">
      <alignment horizontal="center" vertical="justify"/>
    </xf>
    <xf numFmtId="6" fontId="0" fillId="0" borderId="34" xfId="0" applyNumberFormat="1" applyBorder="1" applyAlignment="1">
      <alignment horizontal="center" vertical="justify"/>
    </xf>
    <xf numFmtId="0" fontId="2" fillId="0" borderId="35" xfId="0" applyNumberFormat="1" applyFont="1" applyFill="1" applyBorder="1" applyAlignment="1" applyProtection="1">
      <alignment vertical="justify"/>
    </xf>
    <xf numFmtId="166" fontId="0" fillId="0" borderId="27" xfId="0" applyNumberFormat="1" applyBorder="1" applyAlignment="1">
      <alignment horizontal="right" vertical="center"/>
    </xf>
    <xf numFmtId="166" fontId="0" fillId="0" borderId="33" xfId="0" applyNumberFormat="1" applyBorder="1" applyAlignment="1">
      <alignment horizontal="right" vertical="center"/>
    </xf>
    <xf numFmtId="166" fontId="0" fillId="0" borderId="34" xfId="0" applyNumberFormat="1" applyBorder="1" applyAlignment="1">
      <alignment horizontal="right" vertical="center"/>
    </xf>
    <xf numFmtId="6" fontId="0" fillId="0" borderId="35" xfId="0" applyNumberFormat="1" applyBorder="1" applyAlignment="1">
      <alignment horizontal="center" vertical="justify"/>
    </xf>
    <xf numFmtId="0" fontId="2" fillId="0" borderId="19" xfId="0" applyNumberFormat="1" applyFont="1" applyFill="1" applyBorder="1" applyAlignment="1" applyProtection="1">
      <alignment horizontal="left" vertical="center"/>
    </xf>
    <xf numFmtId="0" fontId="2" fillId="0" borderId="20" xfId="0" applyNumberFormat="1" applyFont="1" applyFill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horizontal="left" vertical="center"/>
    </xf>
    <xf numFmtId="167" fontId="0" fillId="0" borderId="28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  <xf numFmtId="167" fontId="0" fillId="0" borderId="36" xfId="0" applyNumberFormat="1" applyBorder="1" applyAlignment="1">
      <alignment horizontal="center" vertical="center"/>
    </xf>
    <xf numFmtId="6" fontId="0" fillId="0" borderId="27" xfId="0" applyNumberFormat="1" applyBorder="1" applyAlignment="1">
      <alignment horizontal="center" vertical="center"/>
    </xf>
    <xf numFmtId="6" fontId="0" fillId="0" borderId="24" xfId="0" applyNumberFormat="1" applyBorder="1" applyAlignment="1">
      <alignment horizontal="center" vertical="center"/>
    </xf>
    <xf numFmtId="6" fontId="0" fillId="0" borderId="33" xfId="0" applyNumberFormat="1" applyBorder="1" applyAlignment="1">
      <alignment horizontal="center" vertical="center"/>
    </xf>
    <xf numFmtId="6" fontId="0" fillId="0" borderId="1" xfId="0" applyNumberFormat="1" applyBorder="1" applyAlignment="1">
      <alignment horizontal="center" vertical="center"/>
    </xf>
    <xf numFmtId="6" fontId="0" fillId="0" borderId="34" xfId="0" applyNumberFormat="1" applyBorder="1" applyAlignment="1">
      <alignment horizontal="center" vertical="center"/>
    </xf>
    <xf numFmtId="6" fontId="0" fillId="0" borderId="18" xfId="0" applyNumberFormat="1" applyBorder="1" applyAlignment="1">
      <alignment horizontal="center" vertical="center"/>
    </xf>
    <xf numFmtId="9" fontId="111" fillId="0" borderId="35" xfId="0" applyNumberFormat="1" applyFont="1" applyBorder="1" applyAlignment="1">
      <alignment horizontal="center" vertical="center"/>
    </xf>
    <xf numFmtId="9" fontId="111" fillId="0" borderId="14" xfId="0" applyNumberFormat="1" applyFont="1" applyBorder="1" applyAlignment="1">
      <alignment horizontal="center" vertical="justify"/>
    </xf>
    <xf numFmtId="9" fontId="111" fillId="0" borderId="35" xfId="0" applyNumberFormat="1" applyFont="1" applyBorder="1" applyAlignment="1">
      <alignment horizontal="center" vertical="justify"/>
    </xf>
    <xf numFmtId="9" fontId="111" fillId="0" borderId="14" xfId="0" applyNumberFormat="1" applyFont="1" applyBorder="1" applyAlignment="1">
      <alignment horizontal="center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9" fillId="0" borderId="35" xfId="0" applyNumberFormat="1" applyFont="1" applyFill="1" applyBorder="1" applyAlignment="1" applyProtection="1">
      <alignment horizontal="left" vertical="center" wrapText="1"/>
    </xf>
    <xf numFmtId="165" fontId="0" fillId="0" borderId="37" xfId="0" applyNumberFormat="1" applyBorder="1" applyAlignment="1">
      <alignment horizontal="center" vertical="justify"/>
    </xf>
    <xf numFmtId="9" fontId="111" fillId="0" borderId="38" xfId="0" applyNumberFormat="1" applyFont="1" applyBorder="1" applyAlignment="1">
      <alignment horizontal="center" vertical="justify"/>
    </xf>
    <xf numFmtId="0" fontId="10" fillId="0" borderId="11" xfId="0" applyNumberFormat="1" applyFont="1" applyFill="1" applyBorder="1" applyAlignment="1" applyProtection="1">
      <alignment horizontal="left" vertical="center" wrapText="1"/>
    </xf>
    <xf numFmtId="165" fontId="0" fillId="0" borderId="27" xfId="0" applyNumberFormat="1" applyFont="1" applyBorder="1" applyAlignment="1">
      <alignment horizontal="center" vertical="justify"/>
    </xf>
    <xf numFmtId="165" fontId="0" fillId="0" borderId="24" xfId="0" applyNumberFormat="1" applyFont="1" applyBorder="1" applyAlignment="1">
      <alignment horizontal="center" vertical="justify"/>
    </xf>
    <xf numFmtId="0" fontId="10" fillId="0" borderId="12" xfId="0" applyNumberFormat="1" applyFont="1" applyFill="1" applyBorder="1" applyAlignment="1" applyProtection="1">
      <alignment horizontal="left" vertical="center" wrapText="1"/>
    </xf>
    <xf numFmtId="165" fontId="0" fillId="0" borderId="1" xfId="0" applyNumberFormat="1" applyFont="1" applyBorder="1" applyAlignment="1">
      <alignment horizontal="center" vertical="justify"/>
    </xf>
    <xf numFmtId="0" fontId="10" fillId="0" borderId="13" xfId="0" applyNumberFormat="1" applyFont="1" applyFill="1" applyBorder="1" applyAlignment="1" applyProtection="1">
      <alignment horizontal="left" vertical="center" wrapText="1"/>
    </xf>
    <xf numFmtId="165" fontId="0" fillId="0" borderId="18" xfId="0" applyNumberFormat="1" applyFont="1" applyBorder="1" applyAlignment="1">
      <alignment horizontal="center" vertical="justify"/>
    </xf>
    <xf numFmtId="165" fontId="0" fillId="0" borderId="33" xfId="0" applyNumberFormat="1" applyFont="1" applyBorder="1" applyAlignment="1">
      <alignment horizontal="center" vertical="justify"/>
    </xf>
    <xf numFmtId="165" fontId="0" fillId="0" borderId="34" xfId="0" applyNumberFormat="1" applyFont="1" applyBorder="1" applyAlignment="1">
      <alignment horizontal="center" vertical="justify"/>
    </xf>
    <xf numFmtId="0" fontId="2" fillId="0" borderId="14" xfId="0" applyNumberFormat="1" applyFont="1" applyFill="1" applyBorder="1" applyAlignment="1" applyProtection="1">
      <alignment horizontal="left" vertical="center" wrapText="1"/>
    </xf>
    <xf numFmtId="164" fontId="111" fillId="0" borderId="35" xfId="0" applyNumberFormat="1" applyFont="1" applyBorder="1" applyAlignment="1">
      <alignment horizontal="center" vertical="justify"/>
    </xf>
    <xf numFmtId="0" fontId="112" fillId="0" borderId="0" xfId="0" applyFont="1"/>
    <xf numFmtId="165" fontId="0" fillId="0" borderId="39" xfId="0" applyNumberFormat="1" applyBorder="1" applyAlignment="1">
      <alignment horizontal="center" vertical="justify"/>
    </xf>
    <xf numFmtId="165" fontId="0" fillId="0" borderId="40" xfId="0" applyNumberFormat="1" applyBorder="1" applyAlignment="1">
      <alignment horizontal="center" vertical="justify"/>
    </xf>
    <xf numFmtId="0" fontId="10" fillId="0" borderId="41" xfId="0" applyNumberFormat="1" applyFont="1" applyFill="1" applyBorder="1" applyAlignment="1" applyProtection="1">
      <alignment horizontal="left" vertical="center" wrapText="1"/>
    </xf>
    <xf numFmtId="0" fontId="10" fillId="0" borderId="14" xfId="0" applyNumberFormat="1" applyFont="1" applyFill="1" applyBorder="1" applyAlignment="1" applyProtection="1">
      <alignment horizontal="left" vertical="center" wrapText="1"/>
    </xf>
    <xf numFmtId="0" fontId="10" fillId="0" borderId="35" xfId="0" applyNumberFormat="1" applyFont="1" applyFill="1" applyBorder="1" applyAlignment="1" applyProtection="1">
      <alignment horizontal="left" vertical="center" wrapText="1"/>
    </xf>
    <xf numFmtId="165" fontId="0" fillId="0" borderId="42" xfId="0" applyNumberFormat="1" applyFont="1" applyBorder="1" applyAlignment="1">
      <alignment horizontal="center" vertical="justify"/>
    </xf>
    <xf numFmtId="165" fontId="0" fillId="0" borderId="43" xfId="0" applyNumberFormat="1" applyFont="1" applyBorder="1" applyAlignment="1">
      <alignment horizontal="center" vertical="justify"/>
    </xf>
    <xf numFmtId="0" fontId="10" fillId="0" borderId="44" xfId="0" applyNumberFormat="1" applyFont="1" applyFill="1" applyBorder="1" applyAlignment="1" applyProtection="1">
      <alignment horizontal="left" vertical="center" wrapText="1"/>
    </xf>
    <xf numFmtId="165" fontId="0" fillId="0" borderId="45" xfId="0" applyNumberFormat="1" applyFont="1" applyBorder="1" applyAlignment="1">
      <alignment horizontal="center" vertical="justify"/>
    </xf>
    <xf numFmtId="165" fontId="0" fillId="0" borderId="46" xfId="0" applyNumberFormat="1" applyFont="1" applyBorder="1" applyAlignment="1">
      <alignment horizontal="center" vertical="justify"/>
    </xf>
    <xf numFmtId="0" fontId="15" fillId="0" borderId="19" xfId="0" applyNumberFormat="1" applyFont="1" applyFill="1" applyBorder="1" applyAlignment="1" applyProtection="1">
      <alignment vertical="justify"/>
    </xf>
    <xf numFmtId="0" fontId="15" fillId="0" borderId="14" xfId="0" applyNumberFormat="1" applyFont="1" applyFill="1" applyBorder="1" applyAlignment="1" applyProtection="1">
      <alignment vertical="justify"/>
    </xf>
    <xf numFmtId="0" fontId="113" fillId="0" borderId="0" xfId="0" applyFont="1"/>
    <xf numFmtId="0" fontId="0" fillId="0" borderId="1" xfId="0" applyBorder="1" applyAlignment="1">
      <alignment horizontal="center"/>
    </xf>
    <xf numFmtId="0" fontId="42" fillId="0" borderId="47" xfId="0" applyFont="1" applyFill="1" applyBorder="1" applyAlignment="1">
      <alignment textRotation="90"/>
    </xf>
    <xf numFmtId="0" fontId="42" fillId="0" borderId="48" xfId="0" applyFont="1" applyFill="1" applyBorder="1" applyAlignment="1">
      <alignment textRotation="90"/>
    </xf>
    <xf numFmtId="0" fontId="42" fillId="0" borderId="49" xfId="0" applyFont="1" applyFill="1" applyBorder="1" applyAlignment="1">
      <alignment textRotation="90"/>
    </xf>
    <xf numFmtId="0" fontId="42" fillId="0" borderId="50" xfId="0" applyFont="1" applyFill="1" applyBorder="1" applyAlignment="1">
      <alignment textRotation="90"/>
    </xf>
    <xf numFmtId="0" fontId="45" fillId="0" borderId="51" xfId="0" applyFont="1" applyFill="1" applyBorder="1" applyAlignment="1">
      <alignment vertical="center" wrapText="1"/>
    </xf>
    <xf numFmtId="0" fontId="45" fillId="0" borderId="52" xfId="0" applyFont="1" applyFill="1" applyBorder="1" applyAlignment="1">
      <alignment vertical="center" wrapText="1"/>
    </xf>
    <xf numFmtId="0" fontId="45" fillId="0" borderId="53" xfId="0" applyFont="1" applyBorder="1" applyAlignment="1">
      <alignment horizontal="center" vertical="center" wrapText="1"/>
    </xf>
    <xf numFmtId="0" fontId="45" fillId="0" borderId="54" xfId="0" applyFont="1" applyBorder="1" applyAlignment="1">
      <alignment horizontal="center" vertical="center" wrapText="1"/>
    </xf>
    <xf numFmtId="0" fontId="42" fillId="0" borderId="55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0" fillId="0" borderId="0" xfId="0" applyFont="1"/>
    <xf numFmtId="14" fontId="47" fillId="25" borderId="0" xfId="0" applyNumberFormat="1" applyFont="1" applyFill="1" applyAlignment="1">
      <alignment horizontal="center"/>
    </xf>
    <xf numFmtId="0" fontId="42" fillId="0" borderId="57" xfId="0" applyFont="1" applyBorder="1" applyAlignment="1">
      <alignment horizontal="right" vertical="center"/>
    </xf>
    <xf numFmtId="0" fontId="45" fillId="0" borderId="56" xfId="0" applyFont="1" applyBorder="1" applyAlignment="1">
      <alignment horizontal="center" vertical="center" wrapText="1"/>
    </xf>
    <xf numFmtId="10" fontId="0" fillId="0" borderId="1" xfId="0" applyNumberFormat="1" applyBorder="1"/>
    <xf numFmtId="0" fontId="0" fillId="0" borderId="1" xfId="0" applyBorder="1" applyAlignment="1">
      <alignment horizontal="left"/>
    </xf>
    <xf numFmtId="165" fontId="0" fillId="0" borderId="0" xfId="0" applyNumberFormat="1" applyFont="1" applyFill="1" applyBorder="1" applyAlignment="1">
      <alignment horizontal="center" vertical="justify"/>
    </xf>
    <xf numFmtId="3" fontId="7" fillId="0" borderId="0" xfId="130" applyNumberFormat="1" applyFont="1" applyBorder="1" applyAlignment="1">
      <alignment horizontal="center" vertical="center" wrapText="1"/>
    </xf>
    <xf numFmtId="3" fontId="2" fillId="0" borderId="0" xfId="130" applyNumberFormat="1" applyFont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58" xfId="0" applyFont="1" applyFill="1" applyBorder="1" applyAlignment="1">
      <alignment horizontal="left" vertical="center" wrapText="1"/>
    </xf>
    <xf numFmtId="0" fontId="7" fillId="26" borderId="43" xfId="0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Fill="1" applyBorder="1" applyAlignment="1">
      <alignment vertical="center" wrapText="1"/>
    </xf>
    <xf numFmtId="0" fontId="7" fillId="0" borderId="0" xfId="130" applyFont="1" applyAlignment="1">
      <alignment vertical="center"/>
    </xf>
    <xf numFmtId="0" fontId="51" fillId="0" borderId="0" xfId="13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49" fontId="2" fillId="0" borderId="0" xfId="13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2" fillId="0" borderId="0" xfId="123" applyFont="1" applyBorder="1" applyAlignment="1">
      <alignment horizontal="center" vertical="center"/>
    </xf>
    <xf numFmtId="2" fontId="2" fillId="0" borderId="0" xfId="123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2" fillId="0" borderId="0" xfId="131" applyFont="1" applyAlignment="1">
      <alignment vertical="center"/>
    </xf>
    <xf numFmtId="0" fontId="12" fillId="0" borderId="0" xfId="131" applyFont="1" applyFill="1"/>
    <xf numFmtId="0" fontId="2" fillId="0" borderId="0" xfId="131" applyFont="1" applyBorder="1" applyAlignment="1">
      <alignment vertical="center" wrapText="1"/>
    </xf>
    <xf numFmtId="1" fontId="2" fillId="0" borderId="0" xfId="127" applyNumberFormat="1" applyFont="1" applyFill="1" applyBorder="1" applyAlignment="1">
      <alignment horizontal="center" vertical="center" wrapText="1"/>
    </xf>
    <xf numFmtId="0" fontId="7" fillId="0" borderId="0" xfId="131" applyFont="1" applyFill="1" applyBorder="1" applyAlignment="1">
      <alignment vertical="center" wrapText="1"/>
    </xf>
    <xf numFmtId="0" fontId="2" fillId="0" borderId="0" xfId="131" applyFont="1" applyFill="1" applyBorder="1" applyAlignment="1">
      <alignment vertical="center" wrapText="1"/>
    </xf>
    <xf numFmtId="44" fontId="2" fillId="0" borderId="0" xfId="83" applyFont="1" applyFill="1" applyBorder="1" applyAlignment="1">
      <alignment vertical="center"/>
    </xf>
    <xf numFmtId="44" fontId="2" fillId="0" borderId="0" xfId="83" applyFont="1" applyBorder="1" applyAlignment="1">
      <alignment vertical="center"/>
    </xf>
    <xf numFmtId="0" fontId="12" fillId="0" borderId="0" xfId="131" applyFont="1"/>
    <xf numFmtId="0" fontId="0" fillId="0" borderId="0" xfId="0" applyBorder="1" applyAlignment="1">
      <alignment horizontal="center" vertical="center"/>
    </xf>
    <xf numFmtId="169" fontId="110" fillId="0" borderId="0" xfId="0" applyNumberFormat="1" applyFont="1" applyBorder="1"/>
    <xf numFmtId="1" fontId="2" fillId="0" borderId="59" xfId="103" applyNumberFormat="1" applyFont="1" applyBorder="1" applyAlignment="1">
      <alignment horizontal="center" wrapText="1"/>
    </xf>
    <xf numFmtId="1" fontId="2" fillId="0" borderId="1" xfId="103" applyNumberFormat="1" applyFont="1" applyBorder="1" applyAlignment="1">
      <alignment horizontal="center" wrapText="1"/>
    </xf>
    <xf numFmtId="0" fontId="2" fillId="0" borderId="60" xfId="103" applyNumberFormat="1" applyFont="1" applyFill="1" applyBorder="1" applyAlignment="1">
      <alignment horizontal="center"/>
    </xf>
    <xf numFmtId="0" fontId="2" fillId="0" borderId="61" xfId="103" applyNumberFormat="1" applyFont="1" applyFill="1" applyBorder="1" applyAlignment="1">
      <alignment horizontal="center"/>
    </xf>
    <xf numFmtId="0" fontId="2" fillId="0" borderId="1" xfId="103" applyNumberFormat="1" applyFont="1" applyFill="1" applyBorder="1" applyAlignment="1">
      <alignment horizontal="center"/>
    </xf>
    <xf numFmtId="0" fontId="7" fillId="26" borderId="1" xfId="131" applyFont="1" applyFill="1" applyBorder="1" applyAlignment="1">
      <alignment horizontal="center" vertical="center" wrapText="1"/>
    </xf>
    <xf numFmtId="14" fontId="7" fillId="0" borderId="62" xfId="127" applyNumberFormat="1" applyFont="1" applyFill="1" applyBorder="1" applyAlignment="1">
      <alignment vertical="center"/>
    </xf>
    <xf numFmtId="0" fontId="7" fillId="26" borderId="58" xfId="131" applyFont="1" applyFill="1" applyBorder="1" applyAlignment="1">
      <alignment horizontal="center" vertical="center"/>
    </xf>
    <xf numFmtId="0" fontId="2" fillId="0" borderId="58" xfId="131" applyFont="1" applyBorder="1" applyAlignment="1">
      <alignment horizontal="center" vertical="top"/>
    </xf>
    <xf numFmtId="0" fontId="2" fillId="0" borderId="1" xfId="131" applyFont="1" applyBorder="1" applyAlignment="1">
      <alignment horizontal="center" vertical="top"/>
    </xf>
    <xf numFmtId="1" fontId="2" fillId="26" borderId="1" xfId="103" applyNumberFormat="1" applyFont="1" applyFill="1" applyBorder="1" applyAlignment="1">
      <alignment horizontal="center" wrapText="1"/>
    </xf>
    <xf numFmtId="0" fontId="2" fillId="26" borderId="63" xfId="103" applyNumberFormat="1" applyFont="1" applyFill="1" applyBorder="1" applyAlignment="1">
      <alignment horizontal="center"/>
    </xf>
    <xf numFmtId="0" fontId="2" fillId="26" borderId="61" xfId="103" applyNumberFormat="1" applyFont="1" applyFill="1" applyBorder="1" applyAlignment="1">
      <alignment horizontal="center"/>
    </xf>
    <xf numFmtId="1" fontId="2" fillId="26" borderId="59" xfId="103" applyNumberFormat="1" applyFont="1" applyFill="1" applyBorder="1" applyAlignment="1">
      <alignment horizontal="center" wrapText="1"/>
    </xf>
    <xf numFmtId="0" fontId="2" fillId="26" borderId="59" xfId="103" applyNumberFormat="1" applyFont="1" applyFill="1" applyBorder="1" applyAlignment="1">
      <alignment horizontal="center"/>
    </xf>
    <xf numFmtId="0" fontId="7" fillId="26" borderId="58" xfId="0" applyFont="1" applyFill="1" applyBorder="1" applyAlignment="1">
      <alignment vertical="center" wrapText="1"/>
    </xf>
    <xf numFmtId="0" fontId="7" fillId="26" borderId="64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vertical="center" wrapText="1"/>
    </xf>
    <xf numFmtId="0" fontId="61" fillId="0" borderId="0" xfId="0" applyFont="1" applyFill="1" applyAlignment="1">
      <alignment horizontal="center"/>
    </xf>
    <xf numFmtId="0" fontId="62" fillId="0" borderId="0" xfId="0" applyFont="1" applyAlignment="1">
      <alignment horizontal="center"/>
    </xf>
    <xf numFmtId="0" fontId="62" fillId="37" borderId="65" xfId="0" applyFont="1" applyFill="1" applyBorder="1" applyAlignment="1">
      <alignment horizontal="right"/>
    </xf>
    <xf numFmtId="166" fontId="114" fillId="37" borderId="43" xfId="0" applyNumberFormat="1" applyFont="1" applyFill="1" applyBorder="1" applyAlignment="1">
      <alignment horizontal="left"/>
    </xf>
    <xf numFmtId="0" fontId="62" fillId="37" borderId="22" xfId="0" applyFont="1" applyFill="1" applyBorder="1" applyAlignment="1">
      <alignment horizontal="right"/>
    </xf>
    <xf numFmtId="166" fontId="114" fillId="37" borderId="59" xfId="0" applyNumberFormat="1" applyFont="1" applyFill="1" applyBorder="1"/>
    <xf numFmtId="0" fontId="63" fillId="0" borderId="0" xfId="0" applyFont="1" applyFill="1" applyAlignment="1">
      <alignment horizontal="left"/>
    </xf>
    <xf numFmtId="0" fontId="62" fillId="0" borderId="0" xfId="0" applyFont="1" applyFill="1" applyAlignment="1"/>
    <xf numFmtId="0" fontId="62" fillId="0" borderId="0" xfId="0" applyFont="1" applyFill="1" applyAlignment="1">
      <alignment horizontal="right"/>
    </xf>
    <xf numFmtId="166" fontId="62" fillId="0" borderId="0" xfId="0" applyNumberFormat="1" applyFont="1" applyFill="1" applyAlignment="1">
      <alignment horizontal="right"/>
    </xf>
    <xf numFmtId="0" fontId="62" fillId="0" borderId="0" xfId="115" applyFont="1" applyFill="1" applyAlignment="1"/>
    <xf numFmtId="0" fontId="62" fillId="0" borderId="0" xfId="115" applyFont="1" applyFill="1" applyAlignment="1">
      <alignment horizontal="right"/>
    </xf>
    <xf numFmtId="0" fontId="63" fillId="0" borderId="0" xfId="115" applyFont="1" applyFill="1" applyAlignment="1">
      <alignment horizontal="left"/>
    </xf>
    <xf numFmtId="0" fontId="61" fillId="0" borderId="0" xfId="104" applyFont="1"/>
    <xf numFmtId="0" fontId="62" fillId="0" borderId="0" xfId="104" applyFont="1"/>
    <xf numFmtId="0" fontId="62" fillId="0" borderId="0" xfId="104" applyFont="1" applyAlignment="1">
      <alignment horizontal="center"/>
    </xf>
    <xf numFmtId="166" fontId="115" fillId="0" borderId="0" xfId="104" applyNumberFormat="1" applyFont="1"/>
    <xf numFmtId="0" fontId="61" fillId="0" borderId="0" xfId="104" applyFont="1" applyBorder="1" applyAlignment="1">
      <alignment horizontal="left"/>
    </xf>
    <xf numFmtId="0" fontId="61" fillId="0" borderId="0" xfId="104" applyFont="1" applyFill="1"/>
    <xf numFmtId="166" fontId="115" fillId="0" borderId="0" xfId="104" applyNumberFormat="1" applyFont="1" applyFill="1"/>
    <xf numFmtId="0" fontId="62" fillId="0" borderId="0" xfId="104" applyFont="1" applyFill="1" applyAlignment="1">
      <alignment horizontal="right"/>
    </xf>
    <xf numFmtId="0" fontId="62" fillId="0" borderId="0" xfId="104" applyFont="1" applyFill="1"/>
    <xf numFmtId="0" fontId="62" fillId="0" borderId="0" xfId="104" applyFont="1" applyFill="1" applyAlignment="1">
      <alignment horizontal="center"/>
    </xf>
    <xf numFmtId="0" fontId="62" fillId="0" borderId="0" xfId="104" applyFont="1" applyFill="1" applyBorder="1" applyAlignment="1">
      <alignment horizontal="center"/>
    </xf>
    <xf numFmtId="0" fontId="62" fillId="0" borderId="0" xfId="104" applyFont="1" applyFill="1" applyBorder="1" applyAlignment="1">
      <alignment horizontal="right"/>
    </xf>
    <xf numFmtId="180" fontId="62" fillId="0" borderId="0" xfId="115" applyNumberFormat="1" applyFont="1" applyFill="1" applyAlignment="1">
      <alignment horizontal="right"/>
    </xf>
    <xf numFmtId="0" fontId="15" fillId="0" borderId="19" xfId="0" applyNumberFormat="1" applyFont="1" applyFill="1" applyBorder="1" applyAlignment="1" applyProtection="1">
      <alignment horizontal="left" vertical="center"/>
    </xf>
    <xf numFmtId="0" fontId="15" fillId="0" borderId="35" xfId="0" applyNumberFormat="1" applyFont="1" applyFill="1" applyBorder="1" applyAlignment="1" applyProtection="1">
      <alignment horizontal="left" vertical="center"/>
    </xf>
    <xf numFmtId="0" fontId="15" fillId="0" borderId="14" xfId="0" applyNumberFormat="1" applyFont="1" applyFill="1" applyBorder="1" applyAlignment="1" applyProtection="1">
      <alignment horizontal="left" vertical="center"/>
    </xf>
    <xf numFmtId="0" fontId="15" fillId="0" borderId="16" xfId="0" applyNumberFormat="1" applyFont="1" applyFill="1" applyBorder="1" applyAlignment="1" applyProtection="1">
      <alignment horizontal="left" vertical="center"/>
    </xf>
    <xf numFmtId="6" fontId="0" fillId="0" borderId="39" xfId="0" applyNumberFormat="1" applyFill="1" applyBorder="1" applyAlignment="1">
      <alignment horizontal="center" vertical="center"/>
    </xf>
    <xf numFmtId="6" fontId="0" fillId="0" borderId="1" xfId="0" applyNumberFormat="1" applyFill="1" applyBorder="1" applyAlignment="1">
      <alignment horizontal="center" vertical="center"/>
    </xf>
    <xf numFmtId="0" fontId="7" fillId="0" borderId="43" xfId="131" applyFont="1" applyFill="1" applyBorder="1" applyAlignment="1">
      <alignment vertical="center"/>
    </xf>
    <xf numFmtId="0" fontId="7" fillId="0" borderId="1" xfId="131" applyFont="1" applyFill="1" applyBorder="1" applyAlignment="1">
      <alignment vertical="center"/>
    </xf>
    <xf numFmtId="0" fontId="7" fillId="26" borderId="61" xfId="103" applyFont="1" applyFill="1" applyBorder="1" applyAlignment="1"/>
    <xf numFmtId="0" fontId="2" fillId="26" borderId="61" xfId="103" applyFont="1" applyFill="1" applyBorder="1" applyAlignment="1">
      <alignment horizontal="center"/>
    </xf>
    <xf numFmtId="0" fontId="2" fillId="26" borderId="66" xfId="103" applyFont="1" applyFill="1" applyBorder="1" applyAlignment="1">
      <alignment horizontal="center"/>
    </xf>
    <xf numFmtId="0" fontId="2" fillId="0" borderId="59" xfId="103" applyNumberFormat="1" applyFont="1" applyFill="1" applyBorder="1" applyAlignment="1">
      <alignment horizontal="center"/>
    </xf>
    <xf numFmtId="0" fontId="7" fillId="26" borderId="1" xfId="103" applyFont="1" applyFill="1" applyBorder="1" applyAlignment="1"/>
    <xf numFmtId="0" fontId="2" fillId="26" borderId="1" xfId="103" applyNumberFormat="1" applyFont="1" applyFill="1" applyBorder="1" applyAlignment="1">
      <alignment horizontal="center"/>
    </xf>
    <xf numFmtId="0" fontId="7" fillId="0" borderId="1" xfId="103" applyFont="1" applyFill="1" applyBorder="1" applyAlignment="1"/>
    <xf numFmtId="0" fontId="7" fillId="26" borderId="60" xfId="103" applyFont="1" applyFill="1" applyBorder="1" applyAlignment="1"/>
    <xf numFmtId="0" fontId="2" fillId="26" borderId="60" xfId="103" applyFont="1" applyFill="1" applyBorder="1" applyAlignment="1">
      <alignment horizontal="center"/>
    </xf>
    <xf numFmtId="1" fontId="55" fillId="0" borderId="62" xfId="80" applyNumberFormat="1" applyFont="1" applyFill="1" applyBorder="1" applyAlignment="1" applyProtection="1">
      <alignment horizontal="right"/>
    </xf>
    <xf numFmtId="1" fontId="7" fillId="0" borderId="0" xfId="126" applyNumberFormat="1" applyFont="1" applyFill="1" applyBorder="1" applyAlignment="1"/>
    <xf numFmtId="1" fontId="7" fillId="0" borderId="59" xfId="103" applyNumberFormat="1" applyFont="1" applyBorder="1" applyAlignment="1"/>
    <xf numFmtId="1" fontId="2" fillId="0" borderId="59" xfId="103" applyNumberFormat="1" applyFont="1" applyBorder="1" applyAlignment="1">
      <alignment horizontal="center"/>
    </xf>
    <xf numFmtId="1" fontId="7" fillId="26" borderId="1" xfId="103" applyNumberFormat="1" applyFont="1" applyFill="1" applyBorder="1" applyAlignment="1"/>
    <xf numFmtId="1" fontId="2" fillId="26" borderId="1" xfId="103" applyNumberFormat="1" applyFont="1" applyFill="1" applyBorder="1" applyAlignment="1">
      <alignment horizontal="center"/>
    </xf>
    <xf numFmtId="1" fontId="7" fillId="0" borderId="60" xfId="103" applyNumberFormat="1" applyFont="1" applyBorder="1" applyAlignment="1"/>
    <xf numFmtId="1" fontId="2" fillId="0" borderId="60" xfId="103" applyNumberFormat="1" applyFont="1" applyBorder="1" applyAlignment="1">
      <alignment horizontal="center"/>
    </xf>
    <xf numFmtId="1" fontId="7" fillId="26" borderId="61" xfId="103" applyNumberFormat="1" applyFont="1" applyFill="1" applyBorder="1" applyAlignment="1"/>
    <xf numFmtId="1" fontId="2" fillId="26" borderId="61" xfId="103" applyNumberFormat="1" applyFont="1" applyFill="1" applyBorder="1" applyAlignment="1">
      <alignment horizontal="center"/>
    </xf>
    <xf numFmtId="1" fontId="7" fillId="0" borderId="61" xfId="103" applyNumberFormat="1" applyFont="1" applyBorder="1" applyAlignment="1"/>
    <xf numFmtId="1" fontId="2" fillId="0" borderId="61" xfId="103" applyNumberFormat="1" applyFont="1" applyBorder="1" applyAlignment="1">
      <alignment horizontal="center"/>
    </xf>
    <xf numFmtId="1" fontId="7" fillId="26" borderId="63" xfId="103" applyNumberFormat="1" applyFont="1" applyFill="1" applyBorder="1" applyAlignment="1"/>
    <xf numFmtId="1" fontId="2" fillId="26" borderId="63" xfId="103" applyNumberFormat="1" applyFont="1" applyFill="1" applyBorder="1" applyAlignment="1">
      <alignment horizontal="center"/>
    </xf>
    <xf numFmtId="1" fontId="7" fillId="0" borderId="1" xfId="103" applyNumberFormat="1" applyFont="1" applyBorder="1" applyAlignment="1"/>
    <xf numFmtId="1" fontId="2" fillId="0" borderId="1" xfId="103" applyNumberFormat="1" applyFont="1" applyBorder="1" applyAlignment="1">
      <alignment horizontal="center"/>
    </xf>
    <xf numFmtId="0" fontId="7" fillId="0" borderId="61" xfId="103" applyFont="1" applyBorder="1" applyAlignment="1"/>
    <xf numFmtId="0" fontId="2" fillId="0" borderId="61" xfId="103" applyFont="1" applyBorder="1" applyAlignment="1">
      <alignment horizontal="center"/>
    </xf>
    <xf numFmtId="0" fontId="7" fillId="0" borderId="63" xfId="103" applyFont="1" applyBorder="1" applyAlignment="1"/>
    <xf numFmtId="0" fontId="2" fillId="0" borderId="63" xfId="103" applyFont="1" applyBorder="1" applyAlignment="1">
      <alignment horizontal="center"/>
    </xf>
    <xf numFmtId="1" fontId="7" fillId="26" borderId="60" xfId="103" applyNumberFormat="1" applyFont="1" applyFill="1" applyBorder="1" applyAlignment="1"/>
    <xf numFmtId="1" fontId="2" fillId="26" borderId="60" xfId="103" applyNumberFormat="1" applyFont="1" applyFill="1" applyBorder="1" applyAlignment="1">
      <alignment horizontal="center"/>
    </xf>
    <xf numFmtId="1" fontId="7" fillId="0" borderId="63" xfId="103" applyNumberFormat="1" applyFont="1" applyBorder="1" applyAlignment="1"/>
    <xf numFmtId="1" fontId="2" fillId="0" borderId="63" xfId="103" applyNumberFormat="1" applyFont="1" applyBorder="1" applyAlignment="1">
      <alignment horizontal="center"/>
    </xf>
    <xf numFmtId="1" fontId="7" fillId="0" borderId="67" xfId="103" applyNumberFormat="1" applyFont="1" applyBorder="1" applyAlignment="1"/>
    <xf numFmtId="1" fontId="2" fillId="0" borderId="67" xfId="103" applyNumberFormat="1" applyFont="1" applyBorder="1" applyAlignment="1">
      <alignment horizontal="center"/>
    </xf>
    <xf numFmtId="1" fontId="7" fillId="0" borderId="59" xfId="103" applyNumberFormat="1" applyFont="1" applyBorder="1" applyAlignment="1">
      <alignment horizontal="left"/>
    </xf>
    <xf numFmtId="1" fontId="7" fillId="26" borderId="1" xfId="103" applyNumberFormat="1" applyFont="1" applyFill="1" applyBorder="1" applyAlignment="1">
      <alignment horizontal="left"/>
    </xf>
    <xf numFmtId="1" fontId="7" fillId="0" borderId="60" xfId="103" applyNumberFormat="1" applyFont="1" applyBorder="1" applyAlignment="1">
      <alignment horizontal="left"/>
    </xf>
    <xf numFmtId="1" fontId="7" fillId="26" borderId="63" xfId="103" applyNumberFormat="1" applyFont="1" applyFill="1" applyBorder="1" applyAlignment="1">
      <alignment horizontal="left"/>
    </xf>
    <xf numFmtId="1" fontId="7" fillId="26" borderId="61" xfId="103" applyNumberFormat="1" applyFont="1" applyFill="1" applyBorder="1" applyAlignment="1">
      <alignment horizontal="left"/>
    </xf>
    <xf numFmtId="1" fontId="7" fillId="0" borderId="61" xfId="103" applyNumberFormat="1" applyFont="1" applyBorder="1" applyAlignment="1">
      <alignment horizontal="left"/>
    </xf>
    <xf numFmtId="1" fontId="7" fillId="26" borderId="59" xfId="103" applyNumberFormat="1" applyFont="1" applyFill="1" applyBorder="1" applyAlignment="1"/>
    <xf numFmtId="1" fontId="2" fillId="26" borderId="59" xfId="103" applyNumberFormat="1" applyFont="1" applyFill="1" applyBorder="1" applyAlignment="1">
      <alignment horizontal="center"/>
    </xf>
    <xf numFmtId="0" fontId="2" fillId="0" borderId="0" xfId="0" applyFont="1" applyAlignment="1">
      <alignment vertical="center"/>
    </xf>
    <xf numFmtId="2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0" fontId="2" fillId="0" borderId="0" xfId="123" applyFont="1" applyAlignment="1">
      <alignment vertical="center"/>
    </xf>
    <xf numFmtId="3" fontId="7" fillId="0" borderId="0" xfId="0" applyNumberFormat="1" applyFont="1" applyBorder="1" applyAlignment="1">
      <alignment horizontal="right" vertical="center" wrapText="1"/>
    </xf>
    <xf numFmtId="1" fontId="2" fillId="0" borderId="62" xfId="129" applyNumberFormat="1" applyFont="1" applyFill="1" applyBorder="1" applyAlignment="1">
      <alignment vertical="center"/>
    </xf>
    <xf numFmtId="14" fontId="2" fillId="0" borderId="0" xfId="0" applyNumberFormat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7" fillId="26" borderId="59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vertical="center"/>
    </xf>
    <xf numFmtId="1" fontId="2" fillId="0" borderId="6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1" fontId="2" fillId="0" borderId="67" xfId="0" applyNumberFormat="1" applyFont="1" applyFill="1" applyBorder="1" applyAlignment="1">
      <alignment horizontal="center" vertical="center"/>
    </xf>
    <xf numFmtId="1" fontId="2" fillId="0" borderId="67" xfId="0" applyNumberFormat="1" applyFont="1" applyFill="1" applyBorder="1" applyAlignment="1">
      <alignment horizontal="center" vertical="center" wrapText="1"/>
    </xf>
    <xf numFmtId="1" fontId="2" fillId="0" borderId="63" xfId="0" applyNumberFormat="1" applyFont="1" applyFill="1" applyBorder="1" applyAlignment="1">
      <alignment horizontal="center" vertical="center"/>
    </xf>
    <xf numFmtId="1" fontId="2" fillId="0" borderId="60" xfId="0" applyNumberFormat="1" applyFont="1" applyFill="1" applyBorder="1" applyAlignment="1">
      <alignment horizontal="center" vertical="center"/>
    </xf>
    <xf numFmtId="1" fontId="2" fillId="0" borderId="68" xfId="0" applyNumberFormat="1" applyFont="1" applyFill="1" applyBorder="1" applyAlignment="1">
      <alignment horizontal="center" vertical="center" wrapText="1"/>
    </xf>
    <xf numFmtId="1" fontId="2" fillId="0" borderId="69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6" fontId="0" fillId="0" borderId="40" xfId="0" applyNumberFormat="1" applyFill="1" applyBorder="1" applyAlignment="1">
      <alignment horizontal="center" vertical="center"/>
    </xf>
    <xf numFmtId="6" fontId="0" fillId="0" borderId="18" xfId="0" applyNumberFormat="1" applyFill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justify"/>
    </xf>
    <xf numFmtId="165" fontId="0" fillId="0" borderId="70" xfId="0" applyNumberFormat="1" applyBorder="1" applyAlignment="1">
      <alignment horizontal="center" vertical="justify"/>
    </xf>
    <xf numFmtId="165" fontId="0" fillId="0" borderId="33" xfId="0" applyNumberFormat="1" applyBorder="1" applyAlignment="1">
      <alignment horizontal="center" vertical="justify"/>
    </xf>
    <xf numFmtId="165" fontId="0" fillId="0" borderId="31" xfId="0" applyNumberFormat="1" applyBorder="1" applyAlignment="1">
      <alignment horizontal="center" vertical="justify"/>
    </xf>
    <xf numFmtId="1" fontId="2" fillId="0" borderId="62" xfId="126" applyNumberFormat="1" applyFont="1" applyFill="1" applyBorder="1" applyAlignment="1"/>
    <xf numFmtId="1" fontId="2" fillId="0" borderId="0" xfId="131" applyNumberFormat="1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66" xfId="0" applyFont="1" applyBorder="1" applyAlignment="1">
      <alignment horizontal="center" vertical="center" wrapText="1"/>
    </xf>
    <xf numFmtId="2" fontId="2" fillId="0" borderId="66" xfId="0" applyNumberFormat="1" applyFont="1" applyBorder="1" applyAlignment="1">
      <alignment horizontal="center" vertical="center" wrapText="1"/>
    </xf>
    <xf numFmtId="2" fontId="2" fillId="0" borderId="59" xfId="0" applyNumberFormat="1" applyFont="1" applyFill="1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justify"/>
    </xf>
    <xf numFmtId="6" fontId="0" fillId="0" borderId="0" xfId="0" applyNumberFormat="1" applyBorder="1" applyAlignment="1">
      <alignment horizontal="center" vertical="justify"/>
    </xf>
    <xf numFmtId="167" fontId="0" fillId="0" borderId="71" xfId="0" applyNumberFormat="1" applyBorder="1" applyAlignment="1">
      <alignment horizontal="center" vertical="justify"/>
    </xf>
    <xf numFmtId="167" fontId="0" fillId="0" borderId="28" xfId="0" applyNumberFormat="1" applyBorder="1" applyAlignment="1">
      <alignment horizontal="center" vertical="justify"/>
    </xf>
    <xf numFmtId="167" fontId="0" fillId="0" borderId="30" xfId="0" applyNumberFormat="1" applyBorder="1" applyAlignment="1">
      <alignment horizontal="center" vertical="justify"/>
    </xf>
    <xf numFmtId="167" fontId="0" fillId="0" borderId="39" xfId="0" applyNumberFormat="1" applyBorder="1" applyAlignment="1">
      <alignment horizontal="center" vertical="justify"/>
    </xf>
    <xf numFmtId="167" fontId="0" fillId="0" borderId="33" xfId="0" applyNumberFormat="1" applyBorder="1" applyAlignment="1">
      <alignment horizontal="center" vertical="justify"/>
    </xf>
    <xf numFmtId="167" fontId="0" fillId="0" borderId="58" xfId="0" applyNumberFormat="1" applyBorder="1" applyAlignment="1">
      <alignment horizontal="center" vertical="justify"/>
    </xf>
    <xf numFmtId="167" fontId="0" fillId="0" borderId="27" xfId="0" applyNumberFormat="1" applyBorder="1" applyAlignment="1">
      <alignment horizontal="center" vertical="justify"/>
    </xf>
    <xf numFmtId="0" fontId="0" fillId="0" borderId="35" xfId="0" applyBorder="1" applyAlignment="1">
      <alignment horizontal="center" vertical="justify"/>
    </xf>
    <xf numFmtId="0" fontId="0" fillId="0" borderId="41" xfId="0" applyBorder="1" applyAlignment="1">
      <alignment horizontal="center" vertical="justify"/>
    </xf>
    <xf numFmtId="167" fontId="0" fillId="0" borderId="23" xfId="0" applyNumberFormat="1" applyBorder="1" applyAlignment="1">
      <alignment horizontal="center" vertical="justify"/>
    </xf>
    <xf numFmtId="0" fontId="7" fillId="38" borderId="43" xfId="103" applyFont="1" applyFill="1" applyBorder="1" applyAlignment="1"/>
    <xf numFmtId="0" fontId="7" fillId="38" borderId="1" xfId="103" applyFont="1" applyFill="1" applyBorder="1" applyAlignment="1"/>
    <xf numFmtId="0" fontId="116" fillId="0" borderId="1" xfId="103" applyNumberFormat="1" applyFont="1" applyFill="1" applyBorder="1" applyAlignment="1">
      <alignment horizontal="center" vertical="center"/>
    </xf>
    <xf numFmtId="0" fontId="116" fillId="38" borderId="43" xfId="103" applyNumberFormat="1" applyFont="1" applyFill="1" applyBorder="1" applyAlignment="1">
      <alignment horizontal="center" vertical="center"/>
    </xf>
    <xf numFmtId="0" fontId="116" fillId="38" borderId="1" xfId="103" applyNumberFormat="1" applyFont="1" applyFill="1" applyBorder="1" applyAlignment="1">
      <alignment horizontal="center" vertical="center"/>
    </xf>
    <xf numFmtId="0" fontId="116" fillId="0" borderId="1" xfId="103" applyFont="1" applyFill="1" applyBorder="1" applyAlignment="1">
      <alignment horizontal="center" vertical="center"/>
    </xf>
    <xf numFmtId="1" fontId="116" fillId="38" borderId="1" xfId="103" applyNumberFormat="1" applyFont="1" applyFill="1" applyBorder="1" applyAlignment="1">
      <alignment horizontal="center" vertical="center"/>
    </xf>
    <xf numFmtId="0" fontId="116" fillId="38" borderId="1" xfId="103" applyFont="1" applyFill="1" applyBorder="1" applyAlignment="1">
      <alignment horizontal="center" vertical="center"/>
    </xf>
    <xf numFmtId="0" fontId="117" fillId="0" borderId="0" xfId="0" applyFont="1" applyAlignment="1">
      <alignment horizontal="center"/>
    </xf>
    <xf numFmtId="0" fontId="118" fillId="0" borderId="0" xfId="0" applyNumberFormat="1" applyFont="1" applyAlignment="1">
      <alignment horizontal="right"/>
    </xf>
    <xf numFmtId="164" fontId="0" fillId="0" borderId="20" xfId="0" applyNumberForma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0" fontId="0" fillId="0" borderId="72" xfId="0" applyBorder="1" applyAlignment="1">
      <alignment horizontal="center" vertical="center"/>
    </xf>
    <xf numFmtId="164" fontId="0" fillId="0" borderId="64" xfId="0" applyNumberFormat="1" applyBorder="1" applyAlignment="1">
      <alignment horizontal="center"/>
    </xf>
    <xf numFmtId="164" fontId="0" fillId="0" borderId="73" xfId="0" applyNumberFormat="1" applyBorder="1" applyAlignment="1">
      <alignment horizontal="center"/>
    </xf>
    <xf numFmtId="0" fontId="2" fillId="38" borderId="1" xfId="103" applyFont="1" applyFill="1" applyBorder="1" applyAlignment="1">
      <alignment horizontal="center" vertical="center"/>
    </xf>
    <xf numFmtId="0" fontId="2" fillId="0" borderId="1" xfId="103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17" fillId="0" borderId="0" xfId="0" applyFont="1"/>
    <xf numFmtId="164" fontId="111" fillId="0" borderId="35" xfId="0" applyNumberFormat="1" applyFont="1" applyBorder="1" applyAlignment="1">
      <alignment horizontal="center" vertical="center"/>
    </xf>
    <xf numFmtId="168" fontId="0" fillId="0" borderId="27" xfId="0" applyNumberFormat="1" applyBorder="1" applyAlignment="1">
      <alignment horizontal="center" vertical="center"/>
    </xf>
    <xf numFmtId="168" fontId="0" fillId="0" borderId="24" xfId="0" applyNumberFormat="1" applyBorder="1" applyAlignment="1">
      <alignment horizontal="center" vertical="center"/>
    </xf>
    <xf numFmtId="168" fontId="0" fillId="0" borderId="33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center" vertical="center"/>
    </xf>
    <xf numFmtId="168" fontId="0" fillId="0" borderId="18" xfId="0" applyNumberFormat="1" applyBorder="1" applyAlignment="1">
      <alignment horizontal="center" vertical="center"/>
    </xf>
    <xf numFmtId="0" fontId="2" fillId="0" borderId="11" xfId="0" applyNumberFormat="1" applyFont="1" applyFill="1" applyBorder="1" applyAlignment="1" applyProtection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3" fontId="51" fillId="0" borderId="0" xfId="130" applyNumberFormat="1" applyFont="1" applyBorder="1" applyAlignment="1">
      <alignment horizontal="center" vertical="center" wrapText="1"/>
    </xf>
    <xf numFmtId="179" fontId="0" fillId="0" borderId="27" xfId="0" applyNumberFormat="1" applyFont="1" applyBorder="1" applyAlignment="1">
      <alignment horizontal="center" vertical="center"/>
    </xf>
    <xf numFmtId="179" fontId="0" fillId="0" borderId="24" xfId="0" applyNumberFormat="1" applyFont="1" applyBorder="1" applyAlignment="1">
      <alignment horizontal="center" vertical="center"/>
    </xf>
    <xf numFmtId="179" fontId="0" fillId="0" borderId="1" xfId="0" applyNumberFormat="1" applyFont="1" applyBorder="1" applyAlignment="1">
      <alignment horizontal="center" vertical="center"/>
    </xf>
    <xf numFmtId="179" fontId="0" fillId="0" borderId="33" xfId="0" applyNumberFormat="1" applyFont="1" applyBorder="1" applyAlignment="1">
      <alignment horizontal="center" vertical="center"/>
    </xf>
    <xf numFmtId="4" fontId="2" fillId="0" borderId="0" xfId="123" applyNumberFormat="1" applyFont="1" applyAlignment="1">
      <alignment vertical="center"/>
    </xf>
    <xf numFmtId="0" fontId="51" fillId="0" borderId="0" xfId="123" applyFont="1" applyAlignment="1">
      <alignment vertical="center"/>
    </xf>
    <xf numFmtId="4" fontId="51" fillId="0" borderId="0" xfId="123" applyNumberFormat="1" applyFont="1" applyAlignment="1">
      <alignment vertical="center"/>
    </xf>
    <xf numFmtId="1" fontId="2" fillId="0" borderId="60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67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4" xfId="143" applyNumberFormat="1" applyFont="1" applyFill="1" applyBorder="1" applyAlignment="1" applyProtection="1">
      <alignment horizontal="center" vertical="center"/>
    </xf>
    <xf numFmtId="1" fontId="2" fillId="0" borderId="63" xfId="0" applyNumberFormat="1" applyFont="1" applyFill="1" applyBorder="1" applyAlignment="1" applyProtection="1">
      <alignment horizontal="center" vertical="center"/>
    </xf>
    <xf numFmtId="1" fontId="2" fillId="0" borderId="58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130" applyFont="1" applyAlignment="1">
      <alignment vertical="center"/>
    </xf>
    <xf numFmtId="0" fontId="51" fillId="0" borderId="0" xfId="130" applyFont="1" applyAlignment="1">
      <alignment vertical="center"/>
    </xf>
    <xf numFmtId="0" fontId="51" fillId="0" borderId="0" xfId="0" applyFont="1" applyFill="1" applyAlignment="1">
      <alignment vertical="center"/>
    </xf>
    <xf numFmtId="0" fontId="51" fillId="0" borderId="0" xfId="130" applyFont="1" applyBorder="1" applyAlignment="1">
      <alignment vertical="center"/>
    </xf>
    <xf numFmtId="3" fontId="2" fillId="0" borderId="0" xfId="123" applyNumberFormat="1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vertical="center"/>
    </xf>
    <xf numFmtId="9" fontId="52" fillId="0" borderId="0" xfId="0" applyNumberFormat="1" applyFont="1" applyFill="1" applyBorder="1" applyAlignment="1">
      <alignment vertical="center" wrapText="1"/>
    </xf>
    <xf numFmtId="0" fontId="2" fillId="0" borderId="0" xfId="123" applyFont="1" applyAlignment="1">
      <alignment horizontal="left" vertical="center"/>
    </xf>
    <xf numFmtId="0" fontId="4" fillId="0" borderId="11" xfId="0" applyFont="1" applyFill="1" applyBorder="1" applyAlignment="1">
      <alignment horizontal="left" vertical="center" indent="1"/>
    </xf>
    <xf numFmtId="0" fontId="4" fillId="0" borderId="12" xfId="0" applyFont="1" applyFill="1" applyBorder="1" applyAlignment="1">
      <alignment horizontal="left" vertical="center" indent="1"/>
    </xf>
    <xf numFmtId="0" fontId="5" fillId="0" borderId="12" xfId="0" applyFont="1" applyFill="1" applyBorder="1" applyAlignment="1">
      <alignment horizontal="left" indent="1"/>
    </xf>
    <xf numFmtId="0" fontId="5" fillId="0" borderId="12" xfId="0" applyFont="1" applyFill="1" applyBorder="1" applyAlignment="1">
      <alignment horizontal="left" vertical="center" indent="1"/>
    </xf>
    <xf numFmtId="0" fontId="5" fillId="0" borderId="11" xfId="0" applyFont="1" applyFill="1" applyBorder="1" applyAlignment="1">
      <alignment horizontal="left" vertical="center" indent="1"/>
    </xf>
    <xf numFmtId="0" fontId="5" fillId="0" borderId="13" xfId="0" applyFont="1" applyFill="1" applyBorder="1" applyAlignment="1">
      <alignment horizontal="left" vertical="center" indent="1"/>
    </xf>
    <xf numFmtId="0" fontId="5" fillId="0" borderId="13" xfId="0" applyFont="1" applyFill="1" applyBorder="1" applyAlignment="1">
      <alignment horizontal="left" indent="1"/>
    </xf>
    <xf numFmtId="14" fontId="7" fillId="0" borderId="0" xfId="127" applyNumberFormat="1" applyFont="1" applyFill="1" applyBorder="1" applyAlignment="1">
      <alignment vertical="center"/>
    </xf>
    <xf numFmtId="0" fontId="2" fillId="0" borderId="0" xfId="131" applyFont="1" applyBorder="1" applyAlignment="1">
      <alignment horizontal="center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/>
    </xf>
    <xf numFmtId="168" fontId="0" fillId="0" borderId="38" xfId="0" applyNumberFormat="1" applyBorder="1" applyAlignment="1">
      <alignment horizontal="center" vertical="center"/>
    </xf>
    <xf numFmtId="168" fontId="0" fillId="0" borderId="12" xfId="0" applyNumberFormat="1" applyBorder="1" applyAlignment="1">
      <alignment horizontal="center" vertical="center"/>
    </xf>
    <xf numFmtId="0" fontId="8" fillId="0" borderId="44" xfId="0" applyNumberFormat="1" applyFont="1" applyFill="1" applyBorder="1" applyAlignment="1" applyProtection="1">
      <alignment horizontal="left" vertical="center" wrapText="1"/>
    </xf>
    <xf numFmtId="165" fontId="0" fillId="0" borderId="29" xfId="0" applyNumberFormat="1" applyFont="1" applyBorder="1" applyAlignment="1">
      <alignment horizontal="center" vertical="justify"/>
    </xf>
    <xf numFmtId="165" fontId="0" fillId="0" borderId="59" xfId="0" applyNumberFormat="1" applyFont="1" applyBorder="1" applyAlignment="1">
      <alignment horizontal="center" vertical="justify"/>
    </xf>
    <xf numFmtId="14" fontId="0" fillId="0" borderId="0" xfId="0" applyNumberFormat="1"/>
    <xf numFmtId="0" fontId="10" fillId="0" borderId="26" xfId="0" applyNumberFormat="1" applyFont="1" applyFill="1" applyBorder="1" applyAlignment="1" applyProtection="1">
      <alignment horizontal="left" vertical="center" wrapText="1"/>
    </xf>
    <xf numFmtId="0" fontId="2" fillId="0" borderId="75" xfId="0" applyNumberFormat="1" applyFont="1" applyFill="1" applyBorder="1" applyAlignment="1" applyProtection="1">
      <alignment vertical="justify"/>
    </xf>
    <xf numFmtId="0" fontId="2" fillId="38" borderId="43" xfId="103" applyNumberFormat="1" applyFont="1" applyFill="1" applyBorder="1" applyAlignment="1">
      <alignment horizontal="center" vertical="center"/>
    </xf>
    <xf numFmtId="0" fontId="2" fillId="0" borderId="1" xfId="103" applyNumberFormat="1" applyFont="1" applyFill="1" applyBorder="1" applyAlignment="1">
      <alignment horizontal="center" vertical="center"/>
    </xf>
    <xf numFmtId="0" fontId="2" fillId="38" borderId="1" xfId="103" applyNumberFormat="1" applyFont="1" applyFill="1" applyBorder="1" applyAlignment="1">
      <alignment horizontal="center" vertical="center"/>
    </xf>
    <xf numFmtId="0" fontId="119" fillId="0" borderId="0" xfId="0" applyFont="1"/>
    <xf numFmtId="0" fontId="2" fillId="0" borderId="0" xfId="103" applyFont="1" applyAlignment="1"/>
    <xf numFmtId="9" fontId="0" fillId="0" borderId="0" xfId="0" applyNumberFormat="1"/>
    <xf numFmtId="0" fontId="2" fillId="0" borderId="0" xfId="103" applyFont="1" applyAlignment="1">
      <alignment vertical="center"/>
    </xf>
    <xf numFmtId="176" fontId="116" fillId="38" borderId="1" xfId="103" applyNumberFormat="1" applyFont="1" applyFill="1" applyBorder="1" applyAlignment="1">
      <alignment horizontal="center" vertical="center"/>
    </xf>
    <xf numFmtId="0" fontId="0" fillId="39" borderId="0" xfId="0" applyFill="1" applyBorder="1"/>
    <xf numFmtId="0" fontId="22" fillId="0" borderId="1" xfId="132" applyFont="1" applyFill="1" applyBorder="1" applyAlignment="1">
      <alignment vertical="center"/>
    </xf>
    <xf numFmtId="0" fontId="22" fillId="0" borderId="58" xfId="132" applyFont="1" applyFill="1" applyBorder="1" applyAlignment="1">
      <alignment horizontal="center" vertical="center"/>
    </xf>
    <xf numFmtId="0" fontId="22" fillId="0" borderId="58" xfId="132" applyFont="1" applyFill="1" applyBorder="1" applyAlignment="1">
      <alignment vertical="center" wrapText="1"/>
    </xf>
    <xf numFmtId="3" fontId="22" fillId="0" borderId="1" xfId="132" applyNumberFormat="1" applyFont="1" applyFill="1" applyBorder="1" applyAlignment="1">
      <alignment horizontal="center" vertical="center"/>
    </xf>
    <xf numFmtId="0" fontId="80" fillId="0" borderId="1" xfId="132" applyFont="1" applyFill="1" applyBorder="1" applyAlignment="1">
      <alignment vertical="center"/>
    </xf>
    <xf numFmtId="0" fontId="80" fillId="0" borderId="58" xfId="132" applyFont="1" applyFill="1" applyBorder="1" applyAlignment="1">
      <alignment horizontal="center" vertical="center"/>
    </xf>
    <xf numFmtId="0" fontId="80" fillId="0" borderId="58" xfId="132" applyFont="1" applyFill="1" applyBorder="1" applyAlignment="1">
      <alignment horizontal="center" vertical="center" wrapText="1"/>
    </xf>
    <xf numFmtId="0" fontId="80" fillId="0" borderId="58" xfId="132" applyNumberFormat="1" applyFont="1" applyFill="1" applyBorder="1" applyAlignment="1">
      <alignment vertical="center"/>
    </xf>
    <xf numFmtId="0" fontId="80" fillId="0" borderId="18" xfId="132" applyFont="1" applyFill="1" applyBorder="1" applyAlignment="1">
      <alignment vertical="center"/>
    </xf>
    <xf numFmtId="0" fontId="22" fillId="0" borderId="76" xfId="132" applyFont="1" applyFill="1" applyBorder="1" applyAlignment="1">
      <alignment horizontal="center" vertical="center"/>
    </xf>
    <xf numFmtId="0" fontId="80" fillId="0" borderId="76" xfId="132" applyFont="1" applyFill="1" applyBorder="1" applyAlignment="1">
      <alignment horizontal="center" vertical="center" wrapText="1"/>
    </xf>
    <xf numFmtId="0" fontId="80" fillId="0" borderId="76" xfId="132" applyNumberFormat="1" applyFont="1" applyFill="1" applyBorder="1" applyAlignment="1">
      <alignment vertical="center"/>
    </xf>
    <xf numFmtId="3" fontId="22" fillId="0" borderId="18" xfId="132" applyNumberFormat="1" applyFont="1" applyFill="1" applyBorder="1" applyAlignment="1">
      <alignment horizontal="center" vertical="center"/>
    </xf>
    <xf numFmtId="0" fontId="80" fillId="0" borderId="59" xfId="132" applyFont="1" applyFill="1" applyBorder="1" applyAlignment="1">
      <alignment vertical="center" wrapText="1"/>
    </xf>
    <xf numFmtId="0" fontId="80" fillId="0" borderId="1" xfId="132" applyFont="1" applyFill="1" applyBorder="1" applyAlignment="1">
      <alignment vertical="center" wrapText="1"/>
    </xf>
    <xf numFmtId="0" fontId="80" fillId="0" borderId="18" xfId="132" applyFont="1" applyFill="1" applyBorder="1" applyAlignment="1">
      <alignment vertical="center" wrapText="1"/>
    </xf>
    <xf numFmtId="0" fontId="80" fillId="0" borderId="24" xfId="133" applyFont="1" applyFill="1" applyBorder="1" applyAlignment="1">
      <alignment vertical="center" wrapText="1"/>
    </xf>
    <xf numFmtId="0" fontId="80" fillId="0" borderId="71" xfId="133" applyFont="1" applyFill="1" applyBorder="1" applyAlignment="1">
      <alignment horizontal="center" vertical="center" wrapText="1"/>
    </xf>
    <xf numFmtId="0" fontId="80" fillId="0" borderId="1" xfId="133" applyFont="1" applyFill="1" applyBorder="1" applyAlignment="1">
      <alignment vertical="center" wrapText="1"/>
    </xf>
    <xf numFmtId="0" fontId="80" fillId="0" borderId="58" xfId="133" applyFont="1" applyFill="1" applyBorder="1" applyAlignment="1">
      <alignment horizontal="center" vertical="center" wrapText="1"/>
    </xf>
    <xf numFmtId="0" fontId="80" fillId="0" borderId="58" xfId="133" applyFont="1" applyFill="1" applyBorder="1" applyAlignment="1">
      <alignment horizontal="left" vertical="center"/>
    </xf>
    <xf numFmtId="0" fontId="22" fillId="0" borderId="1" xfId="133" applyFont="1" applyFill="1" applyBorder="1" applyAlignment="1">
      <alignment vertical="center" wrapText="1"/>
    </xf>
    <xf numFmtId="0" fontId="22" fillId="0" borderId="43" xfId="133" applyFont="1" applyFill="1" applyBorder="1" applyAlignment="1">
      <alignment vertical="center" wrapText="1"/>
    </xf>
    <xf numFmtId="0" fontId="80" fillId="0" borderId="18" xfId="133" applyFont="1" applyFill="1" applyBorder="1" applyAlignment="1">
      <alignment vertical="center" wrapText="1"/>
    </xf>
    <xf numFmtId="0" fontId="80" fillId="0" borderId="59" xfId="133" applyFont="1" applyFill="1" applyBorder="1" applyAlignment="1">
      <alignment vertical="center" wrapText="1"/>
    </xf>
    <xf numFmtId="0" fontId="80" fillId="0" borderId="77" xfId="133" applyFont="1" applyFill="1" applyBorder="1" applyAlignment="1">
      <alignment horizontal="center" vertical="center" wrapText="1"/>
    </xf>
    <xf numFmtId="1" fontId="86" fillId="0" borderId="62" xfId="80" applyNumberFormat="1" applyFont="1" applyFill="1" applyBorder="1" applyAlignment="1" applyProtection="1">
      <alignment horizontal="right" vertical="center" wrapText="1"/>
    </xf>
    <xf numFmtId="0" fontId="81" fillId="0" borderId="0" xfId="132" applyFont="1" applyAlignment="1">
      <alignment vertical="center"/>
    </xf>
    <xf numFmtId="0" fontId="82" fillId="0" borderId="0" xfId="132" applyFont="1"/>
    <xf numFmtId="0" fontId="82" fillId="0" borderId="62" xfId="132" applyNumberFormat="1" applyFont="1" applyBorder="1" applyAlignment="1"/>
    <xf numFmtId="0" fontId="82" fillId="0" borderId="62" xfId="132" applyFont="1" applyBorder="1" applyAlignment="1"/>
    <xf numFmtId="0" fontId="82" fillId="0" borderId="62" xfId="132" applyFont="1" applyBorder="1" applyAlignment="1">
      <alignment horizontal="right"/>
    </xf>
    <xf numFmtId="0" fontId="81" fillId="26" borderId="1" xfId="132" applyFont="1" applyFill="1" applyBorder="1" applyAlignment="1">
      <alignment horizontal="center" vertical="center"/>
    </xf>
    <xf numFmtId="0" fontId="81" fillId="26" borderId="39" xfId="132" applyNumberFormat="1" applyFont="1" applyFill="1" applyBorder="1" applyAlignment="1">
      <alignment horizontal="center" vertical="center" wrapText="1"/>
    </xf>
    <xf numFmtId="165" fontId="81" fillId="26" borderId="1" xfId="132" applyNumberFormat="1" applyFont="1" applyFill="1" applyBorder="1" applyAlignment="1">
      <alignment horizontal="center" vertical="center" wrapText="1"/>
    </xf>
    <xf numFmtId="182" fontId="81" fillId="26" borderId="1" xfId="132" applyNumberFormat="1" applyFont="1" applyFill="1" applyBorder="1" applyAlignment="1">
      <alignment horizontal="center" vertical="center" wrapText="1"/>
    </xf>
    <xf numFmtId="0" fontId="82" fillId="0" borderId="1" xfId="132" applyFont="1" applyBorder="1"/>
    <xf numFmtId="0" fontId="81" fillId="0" borderId="1" xfId="132" applyFont="1" applyBorder="1" applyAlignment="1">
      <alignment horizontal="center" vertical="center" wrapText="1"/>
    </xf>
    <xf numFmtId="0" fontId="82" fillId="0" borderId="1" xfId="132" applyNumberFormat="1" applyFont="1" applyBorder="1" applyAlignment="1">
      <alignment horizontal="center" vertical="center"/>
    </xf>
    <xf numFmtId="3" fontId="82" fillId="0" borderId="1" xfId="132" applyNumberFormat="1" applyFont="1" applyBorder="1" applyAlignment="1">
      <alignment horizontal="center" vertical="center"/>
    </xf>
    <xf numFmtId="0" fontId="82" fillId="0" borderId="1" xfId="132" applyFont="1" applyBorder="1" applyAlignment="1">
      <alignment horizontal="center"/>
    </xf>
    <xf numFmtId="0" fontId="82" fillId="0" borderId="39" xfId="132" applyNumberFormat="1" applyFont="1" applyBorder="1" applyAlignment="1">
      <alignment horizontal="center" vertical="center"/>
    </xf>
    <xf numFmtId="3" fontId="2" fillId="0" borderId="1" xfId="132" applyNumberFormat="1" applyFont="1" applyBorder="1" applyAlignment="1">
      <alignment horizontal="center" vertical="center"/>
    </xf>
    <xf numFmtId="0" fontId="82" fillId="0" borderId="43" xfId="132" applyFont="1" applyBorder="1" applyAlignment="1">
      <alignment horizontal="center"/>
    </xf>
    <xf numFmtId="0" fontId="82" fillId="0" borderId="1" xfId="132" applyFont="1" applyFill="1" applyBorder="1"/>
    <xf numFmtId="0" fontId="82" fillId="0" borderId="59" xfId="132" applyFont="1" applyBorder="1" applyAlignment="1">
      <alignment horizontal="center"/>
    </xf>
    <xf numFmtId="0" fontId="2" fillId="0" borderId="0" xfId="103" applyFont="1" applyBorder="1" applyAlignment="1"/>
    <xf numFmtId="0" fontId="2" fillId="0" borderId="0" xfId="131" applyNumberFormat="1" applyFont="1" applyAlignment="1">
      <alignment vertical="center"/>
    </xf>
    <xf numFmtId="0" fontId="82" fillId="0" borderId="0" xfId="132" applyFont="1" applyBorder="1" applyAlignment="1">
      <alignment vertical="center" wrapText="1"/>
    </xf>
    <xf numFmtId="182" fontId="82" fillId="0" borderId="0" xfId="132" applyNumberFormat="1" applyFont="1" applyBorder="1" applyAlignment="1">
      <alignment vertical="center" wrapText="1"/>
    </xf>
    <xf numFmtId="165" fontId="2" fillId="0" borderId="0" xfId="131" applyNumberFormat="1" applyFont="1" applyAlignment="1">
      <alignment vertical="center"/>
    </xf>
    <xf numFmtId="182" fontId="2" fillId="0" borderId="0" xfId="131" applyNumberFormat="1" applyFont="1" applyAlignment="1">
      <alignment vertical="center"/>
    </xf>
    <xf numFmtId="0" fontId="7" fillId="0" borderId="0" xfId="103" applyFont="1" applyBorder="1" applyAlignment="1">
      <alignment horizontal="left"/>
    </xf>
    <xf numFmtId="0" fontId="2" fillId="0" borderId="0" xfId="131" applyFont="1" applyBorder="1" applyAlignment="1">
      <alignment horizontal="left" vertical="center" wrapText="1"/>
    </xf>
    <xf numFmtId="0" fontId="2" fillId="0" borderId="0" xfId="131" applyNumberFormat="1" applyFont="1" applyBorder="1" applyAlignment="1">
      <alignment horizontal="left" vertical="center" wrapText="1"/>
    </xf>
    <xf numFmtId="182" fontId="2" fillId="0" borderId="0" xfId="131" applyNumberFormat="1" applyFont="1" applyBorder="1" applyAlignment="1">
      <alignment horizontal="left" vertical="center" wrapText="1"/>
    </xf>
    <xf numFmtId="0" fontId="2" fillId="0" borderId="0" xfId="103" applyFont="1" applyBorder="1" applyAlignment="1">
      <alignment horizontal="left"/>
    </xf>
    <xf numFmtId="1" fontId="12" fillId="0" borderId="62" xfId="80" applyNumberFormat="1" applyFont="1" applyFill="1" applyBorder="1" applyAlignment="1" applyProtection="1">
      <alignment horizontal="right" vertical="center" wrapText="1"/>
    </xf>
    <xf numFmtId="0" fontId="82" fillId="0" borderId="0" xfId="132" applyFont="1" applyAlignment="1">
      <alignment horizontal="center" vertical="center" wrapText="1"/>
    </xf>
    <xf numFmtId="0" fontId="81" fillId="26" borderId="1" xfId="132" applyFont="1" applyFill="1" applyBorder="1" applyAlignment="1">
      <alignment horizontal="center" vertical="center" wrapText="1"/>
    </xf>
    <xf numFmtId="0" fontId="82" fillId="0" borderId="1" xfId="132" applyFont="1" applyBorder="1" applyAlignment="1">
      <alignment horizontal="center" vertical="center"/>
    </xf>
    <xf numFmtId="0" fontId="2" fillId="0" borderId="58" xfId="103" applyNumberFormat="1" applyFont="1" applyFill="1" applyBorder="1" applyAlignment="1">
      <alignment horizontal="center" vertical="center"/>
    </xf>
    <xf numFmtId="0" fontId="2" fillId="0" borderId="58" xfId="1" applyNumberFormat="1" applyFont="1" applyFill="1" applyBorder="1" applyAlignment="1">
      <alignment horizontal="center" vertical="center"/>
    </xf>
    <xf numFmtId="0" fontId="120" fillId="0" borderId="0" xfId="101" applyFont="1" applyBorder="1" applyAlignment="1"/>
    <xf numFmtId="0" fontId="2" fillId="0" borderId="0" xfId="103" applyFont="1" applyFill="1" applyBorder="1" applyAlignment="1">
      <alignment horizontal="left" vertical="center"/>
    </xf>
    <xf numFmtId="0" fontId="2" fillId="0" borderId="0" xfId="103" applyNumberFormat="1" applyFont="1" applyFill="1" applyBorder="1" applyAlignment="1">
      <alignment horizontal="center" vertical="center"/>
    </xf>
    <xf numFmtId="0" fontId="82" fillId="0" borderId="0" xfId="132" applyFont="1" applyBorder="1"/>
    <xf numFmtId="0" fontId="2" fillId="0" borderId="0" xfId="123" applyFont="1"/>
    <xf numFmtId="0" fontId="0" fillId="25" borderId="0" xfId="0" applyFill="1" applyBorder="1"/>
    <xf numFmtId="2" fontId="89" fillId="25" borderId="0" xfId="0" applyNumberFormat="1" applyFont="1" applyFill="1" applyBorder="1" applyAlignment="1">
      <alignment horizontal="center"/>
    </xf>
    <xf numFmtId="0" fontId="90" fillId="25" borderId="0" xfId="0" applyFont="1" applyFill="1" applyBorder="1" applyAlignment="1"/>
    <xf numFmtId="8" fontId="0" fillId="0" borderId="27" xfId="0" applyNumberFormat="1" applyBorder="1" applyAlignment="1">
      <alignment horizontal="center" vertical="center"/>
    </xf>
    <xf numFmtId="8" fontId="0" fillId="0" borderId="24" xfId="0" applyNumberFormat="1" applyBorder="1" applyAlignment="1">
      <alignment horizontal="center" vertical="center"/>
    </xf>
    <xf numFmtId="8" fontId="0" fillId="0" borderId="33" xfId="0" applyNumberFormat="1" applyBorder="1" applyAlignment="1">
      <alignment horizontal="center" vertical="center"/>
    </xf>
    <xf numFmtId="8" fontId="0" fillId="0" borderId="1" xfId="0" applyNumberFormat="1" applyBorder="1" applyAlignment="1">
      <alignment horizontal="center" vertical="center"/>
    </xf>
    <xf numFmtId="8" fontId="0" fillId="0" borderId="34" xfId="0" applyNumberFormat="1" applyBorder="1" applyAlignment="1">
      <alignment horizontal="center" vertical="center"/>
    </xf>
    <xf numFmtId="8" fontId="0" fillId="0" borderId="18" xfId="0" applyNumberFormat="1" applyBorder="1" applyAlignment="1">
      <alignment horizontal="center" vertical="center"/>
    </xf>
    <xf numFmtId="167" fontId="0" fillId="0" borderId="34" xfId="0" applyNumberFormat="1" applyBorder="1" applyAlignment="1">
      <alignment horizontal="center" vertical="justify"/>
    </xf>
    <xf numFmtId="167" fontId="0" fillId="0" borderId="36" xfId="0" applyNumberFormat="1" applyBorder="1" applyAlignment="1">
      <alignment horizontal="center" vertical="justify"/>
    </xf>
    <xf numFmtId="6" fontId="0" fillId="0" borderId="42" xfId="0" applyNumberFormat="1" applyBorder="1" applyAlignment="1">
      <alignment horizontal="center" vertical="justify"/>
    </xf>
    <xf numFmtId="6" fontId="0" fillId="0" borderId="78" xfId="0" applyNumberFormat="1" applyBorder="1" applyAlignment="1">
      <alignment horizontal="center" vertical="justify"/>
    </xf>
    <xf numFmtId="0" fontId="121" fillId="0" borderId="0" xfId="0" applyFont="1" applyAlignment="1">
      <alignment vertical="center"/>
    </xf>
    <xf numFmtId="0" fontId="122" fillId="40" borderId="14" xfId="0" applyFont="1" applyFill="1" applyBorder="1" applyAlignment="1">
      <alignment horizontal="left" vertical="center" indent="1"/>
    </xf>
    <xf numFmtId="0" fontId="122" fillId="0" borderId="72" xfId="0" applyFont="1" applyBorder="1" applyAlignment="1">
      <alignment horizontal="center" vertical="center"/>
    </xf>
    <xf numFmtId="0" fontId="122" fillId="40" borderId="26" xfId="0" applyFont="1" applyFill="1" applyBorder="1" applyAlignment="1">
      <alignment horizontal="left" vertical="center" indent="1"/>
    </xf>
    <xf numFmtId="0" fontId="122" fillId="0" borderId="0" xfId="0" applyFont="1" applyBorder="1" applyAlignment="1">
      <alignment horizontal="center" vertical="center"/>
    </xf>
    <xf numFmtId="0" fontId="123" fillId="40" borderId="26" xfId="0" applyFont="1" applyFill="1" applyBorder="1" applyAlignment="1">
      <alignment vertical="center"/>
    </xf>
    <xf numFmtId="0" fontId="123" fillId="40" borderId="26" xfId="0" applyFont="1" applyFill="1" applyBorder="1" applyAlignment="1">
      <alignment horizontal="left" vertical="center" indent="1"/>
    </xf>
    <xf numFmtId="0" fontId="123" fillId="40" borderId="26" xfId="0" applyFont="1" applyFill="1" applyBorder="1" applyAlignment="1">
      <alignment horizontal="left" vertical="center" wrapText="1" indent="1"/>
    </xf>
    <xf numFmtId="0" fontId="123" fillId="40" borderId="26" xfId="0" applyFont="1" applyFill="1" applyBorder="1" applyAlignment="1">
      <alignment vertical="center" wrapText="1"/>
    </xf>
    <xf numFmtId="0" fontId="123" fillId="40" borderId="35" xfId="0" applyFont="1" applyFill="1" applyBorder="1" applyAlignment="1">
      <alignment vertical="center"/>
    </xf>
    <xf numFmtId="0" fontId="123" fillId="40" borderId="16" xfId="0" applyFont="1" applyFill="1" applyBorder="1" applyAlignment="1">
      <alignment vertical="center"/>
    </xf>
    <xf numFmtId="0" fontId="122" fillId="40" borderId="26" xfId="0" applyFont="1" applyFill="1" applyBorder="1" applyAlignment="1">
      <alignment vertical="center"/>
    </xf>
    <xf numFmtId="0" fontId="122" fillId="40" borderId="26" xfId="0" applyFont="1" applyFill="1" applyBorder="1" applyAlignment="1">
      <alignment vertical="center" wrapText="1"/>
    </xf>
    <xf numFmtId="0" fontId="123" fillId="40" borderId="14" xfId="0" applyFont="1" applyFill="1" applyBorder="1" applyAlignment="1">
      <alignment vertical="center" wrapText="1"/>
    </xf>
    <xf numFmtId="0" fontId="123" fillId="0" borderId="14" xfId="0" applyFont="1" applyBorder="1" applyAlignment="1">
      <alignment horizontal="center" vertical="center" wrapText="1"/>
    </xf>
    <xf numFmtId="0" fontId="124" fillId="0" borderId="72" xfId="0" applyFont="1" applyBorder="1" applyAlignment="1">
      <alignment horizontal="center" vertical="center" wrapText="1"/>
    </xf>
    <xf numFmtId="0" fontId="122" fillId="0" borderId="14" xfId="0" applyFont="1" applyBorder="1" applyAlignment="1">
      <alignment horizontal="center" vertical="center" wrapText="1"/>
    </xf>
    <xf numFmtId="0" fontId="122" fillId="0" borderId="72" xfId="0" applyFont="1" applyBorder="1" applyAlignment="1">
      <alignment horizontal="center" vertical="center" wrapText="1"/>
    </xf>
    <xf numFmtId="0" fontId="122" fillId="40" borderId="44" xfId="0" applyFont="1" applyFill="1" applyBorder="1" applyAlignment="1">
      <alignment horizontal="center" vertical="center"/>
    </xf>
    <xf numFmtId="0" fontId="122" fillId="40" borderId="79" xfId="0" applyFont="1" applyFill="1" applyBorder="1" applyAlignment="1">
      <alignment horizontal="center" vertical="center"/>
    </xf>
    <xf numFmtId="0" fontId="122" fillId="41" borderId="14" xfId="0" applyFont="1" applyFill="1" applyBorder="1" applyAlignment="1">
      <alignment vertical="center" wrapText="1"/>
    </xf>
    <xf numFmtId="0" fontId="122" fillId="41" borderId="72" xfId="0" applyFont="1" applyFill="1" applyBorder="1" applyAlignment="1">
      <alignment horizontal="center" vertical="center"/>
    </xf>
    <xf numFmtId="0" fontId="122" fillId="41" borderId="44" xfId="0" applyFont="1" applyFill="1" applyBorder="1" applyAlignment="1">
      <alignment horizontal="center" vertical="center"/>
    </xf>
    <xf numFmtId="0" fontId="122" fillId="41" borderId="14" xfId="0" applyFont="1" applyFill="1" applyBorder="1" applyAlignment="1">
      <alignment horizontal="left" vertical="center" indent="1"/>
    </xf>
    <xf numFmtId="8" fontId="122" fillId="0" borderId="27" xfId="0" applyNumberFormat="1" applyFont="1" applyBorder="1" applyAlignment="1">
      <alignment horizontal="center" vertical="center"/>
    </xf>
    <xf numFmtId="8" fontId="122" fillId="0" borderId="33" xfId="0" applyNumberFormat="1" applyFont="1" applyBorder="1" applyAlignment="1">
      <alignment horizontal="center" vertical="center"/>
    </xf>
    <xf numFmtId="8" fontId="122" fillId="41" borderId="33" xfId="0" applyNumberFormat="1" applyFont="1" applyFill="1" applyBorder="1" applyAlignment="1">
      <alignment horizontal="center" vertical="center"/>
    </xf>
    <xf numFmtId="8" fontId="122" fillId="0" borderId="34" xfId="0" applyNumberFormat="1" applyFont="1" applyBorder="1" applyAlignment="1">
      <alignment horizontal="center" vertical="center"/>
    </xf>
    <xf numFmtId="179" fontId="122" fillId="0" borderId="27" xfId="0" applyNumberFormat="1" applyFont="1" applyBorder="1" applyAlignment="1">
      <alignment horizontal="center" vertical="center"/>
    </xf>
    <xf numFmtId="179" fontId="122" fillId="0" borderId="33" xfId="0" applyNumberFormat="1" applyFont="1" applyBorder="1" applyAlignment="1">
      <alignment horizontal="center" vertical="center"/>
    </xf>
    <xf numFmtId="179" fontId="122" fillId="41" borderId="33" xfId="0" applyNumberFormat="1" applyFont="1" applyFill="1" applyBorder="1" applyAlignment="1">
      <alignment horizontal="center" vertical="center"/>
    </xf>
    <xf numFmtId="179" fontId="122" fillId="0" borderId="34" xfId="0" applyNumberFormat="1" applyFont="1" applyBorder="1" applyAlignment="1">
      <alignment horizontal="center" vertical="center"/>
    </xf>
    <xf numFmtId="179" fontId="122" fillId="0" borderId="28" xfId="0" applyNumberFormat="1" applyFont="1" applyBorder="1" applyAlignment="1">
      <alignment horizontal="center" vertical="center"/>
    </xf>
    <xf numFmtId="179" fontId="122" fillId="0" borderId="30" xfId="0" applyNumberFormat="1" applyFont="1" applyBorder="1" applyAlignment="1">
      <alignment horizontal="center" vertical="center"/>
    </xf>
    <xf numFmtId="179" fontId="122" fillId="41" borderId="30" xfId="0" applyNumberFormat="1" applyFont="1" applyFill="1" applyBorder="1" applyAlignment="1">
      <alignment horizontal="center" vertical="center"/>
    </xf>
    <xf numFmtId="179" fontId="122" fillId="0" borderId="36" xfId="0" applyNumberFormat="1" applyFont="1" applyBorder="1" applyAlignment="1">
      <alignment horizontal="center" vertical="center"/>
    </xf>
    <xf numFmtId="8" fontId="122" fillId="0" borderId="28" xfId="0" applyNumberFormat="1" applyFont="1" applyBorder="1" applyAlignment="1">
      <alignment horizontal="center" vertical="center"/>
    </xf>
    <xf numFmtId="8" fontId="122" fillId="0" borderId="30" xfId="0" applyNumberFormat="1" applyFont="1" applyBorder="1" applyAlignment="1">
      <alignment horizontal="center" vertical="center"/>
    </xf>
    <xf numFmtId="8" fontId="122" fillId="41" borderId="30" xfId="0" applyNumberFormat="1" applyFont="1" applyFill="1" applyBorder="1" applyAlignment="1">
      <alignment horizontal="center" vertical="center"/>
    </xf>
    <xf numFmtId="8" fontId="122" fillId="0" borderId="36" xfId="0" applyNumberFormat="1" applyFont="1" applyBorder="1" applyAlignment="1">
      <alignment horizontal="center" vertical="center"/>
    </xf>
    <xf numFmtId="0" fontId="125" fillId="42" borderId="41" xfId="0" applyFont="1" applyFill="1" applyBorder="1" applyAlignment="1">
      <alignment horizontal="center" vertical="center" wrapText="1"/>
    </xf>
    <xf numFmtId="0" fontId="125" fillId="42" borderId="80" xfId="0" applyFont="1" applyFill="1" applyBorder="1" applyAlignment="1">
      <alignment horizontal="center" vertical="center" wrapText="1"/>
    </xf>
    <xf numFmtId="0" fontId="126" fillId="42" borderId="44" xfId="0" applyFont="1" applyFill="1" applyBorder="1" applyAlignment="1">
      <alignment horizontal="center" vertical="center" wrapText="1"/>
    </xf>
    <xf numFmtId="0" fontId="126" fillId="42" borderId="1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6" fontId="0" fillId="0" borderId="24" xfId="0" applyNumberFormat="1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  <xf numFmtId="0" fontId="15" fillId="0" borderId="0" xfId="0" applyNumberFormat="1" applyFont="1" applyFill="1" applyBorder="1" applyAlignment="1" applyProtection="1">
      <alignment horizontal="left" vertical="center"/>
    </xf>
    <xf numFmtId="6" fontId="0" fillId="0" borderId="0" xfId="0" applyNumberFormat="1" applyFill="1" applyBorder="1" applyAlignment="1">
      <alignment horizontal="center" vertical="center"/>
    </xf>
    <xf numFmtId="0" fontId="15" fillId="0" borderId="11" xfId="0" applyNumberFormat="1" applyFont="1" applyFill="1" applyBorder="1" applyAlignment="1" applyProtection="1">
      <alignment vertical="justify"/>
    </xf>
    <xf numFmtId="6" fontId="0" fillId="0" borderId="33" xfId="0" applyNumberFormat="1" applyFill="1" applyBorder="1" applyAlignment="1">
      <alignment horizontal="center" vertical="center"/>
    </xf>
    <xf numFmtId="6" fontId="0" fillId="0" borderId="34" xfId="0" applyNumberFormat="1" applyFill="1" applyBorder="1" applyAlignment="1">
      <alignment horizontal="center" vertical="center"/>
    </xf>
    <xf numFmtId="6" fontId="0" fillId="0" borderId="23" xfId="0" applyNumberFormat="1" applyFill="1" applyBorder="1" applyAlignment="1">
      <alignment horizontal="center" vertical="center"/>
    </xf>
    <xf numFmtId="6" fontId="0" fillId="0" borderId="24" xfId="0" applyNumberFormat="1" applyFill="1" applyBorder="1" applyAlignment="1">
      <alignment horizontal="center" vertical="center"/>
    </xf>
    <xf numFmtId="6" fontId="0" fillId="0" borderId="22" xfId="0" applyNumberFormat="1" applyFill="1" applyBorder="1" applyAlignment="1">
      <alignment horizontal="center" vertical="center"/>
    </xf>
    <xf numFmtId="6" fontId="0" fillId="0" borderId="59" xfId="0" applyNumberForma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127" fillId="0" borderId="0" xfId="0" applyFont="1" applyAlignment="1">
      <alignment horizontal="right"/>
    </xf>
    <xf numFmtId="0" fontId="79" fillId="0" borderId="1" xfId="132" applyFont="1" applyFill="1" applyBorder="1" applyAlignment="1">
      <alignment horizontal="center" vertical="center" wrapText="1"/>
    </xf>
    <xf numFmtId="3" fontId="128" fillId="0" borderId="1" xfId="103" applyNumberFormat="1" applyFont="1" applyFill="1" applyBorder="1" applyAlignment="1">
      <alignment horizontal="center" vertical="center" wrapText="1"/>
    </xf>
    <xf numFmtId="3" fontId="128" fillId="0" borderId="1" xfId="133" applyNumberFormat="1" applyFont="1" applyFill="1" applyBorder="1" applyAlignment="1">
      <alignment horizontal="center" vertical="center" wrapText="1"/>
    </xf>
    <xf numFmtId="0" fontId="22" fillId="0" borderId="58" xfId="133" applyFont="1" applyFill="1" applyBorder="1" applyAlignment="1">
      <alignment horizontal="center" vertical="center" wrapText="1"/>
    </xf>
    <xf numFmtId="3" fontId="22" fillId="0" borderId="1" xfId="133" applyNumberFormat="1" applyFont="1" applyFill="1" applyBorder="1" applyAlignment="1">
      <alignment horizontal="center" vertical="center" wrapText="1"/>
    </xf>
    <xf numFmtId="3" fontId="22" fillId="0" borderId="59" xfId="132" applyNumberFormat="1" applyFont="1" applyFill="1" applyBorder="1" applyAlignment="1">
      <alignment horizontal="center" vertical="center"/>
    </xf>
    <xf numFmtId="0" fontId="22" fillId="0" borderId="58" xfId="133" applyFont="1" applyFill="1" applyBorder="1" applyAlignment="1">
      <alignment vertical="center" wrapText="1"/>
    </xf>
    <xf numFmtId="49" fontId="22" fillId="0" borderId="1" xfId="132" applyNumberFormat="1" applyFont="1" applyFill="1" applyBorder="1" applyAlignment="1">
      <alignment horizontal="center" vertical="center" wrapText="1"/>
    </xf>
    <xf numFmtId="3" fontId="128" fillId="0" borderId="59" xfId="132" applyNumberFormat="1" applyFont="1" applyFill="1" applyBorder="1" applyAlignment="1">
      <alignment horizontal="center" vertical="center"/>
    </xf>
    <xf numFmtId="0" fontId="80" fillId="0" borderId="58" xfId="133" applyFont="1" applyFill="1" applyBorder="1" applyAlignment="1">
      <alignment vertical="center" wrapText="1"/>
    </xf>
    <xf numFmtId="0" fontId="80" fillId="0" borderId="76" xfId="133" applyFont="1" applyFill="1" applyBorder="1" applyAlignment="1">
      <alignment horizontal="center" vertical="center" wrapText="1"/>
    </xf>
    <xf numFmtId="0" fontId="80" fillId="0" borderId="76" xfId="133" applyFont="1" applyFill="1" applyBorder="1" applyAlignment="1">
      <alignment vertical="center" wrapText="1"/>
    </xf>
    <xf numFmtId="3" fontId="22" fillId="0" borderId="18" xfId="133" applyNumberFormat="1" applyFont="1" applyFill="1" applyBorder="1" applyAlignment="1">
      <alignment horizontal="center" vertical="center" wrapText="1"/>
    </xf>
    <xf numFmtId="0" fontId="22" fillId="0" borderId="24" xfId="132" applyFont="1" applyFill="1" applyBorder="1" applyAlignment="1">
      <alignment vertical="center"/>
    </xf>
    <xf numFmtId="0" fontId="22" fillId="0" borderId="71" xfId="132" applyFont="1" applyFill="1" applyBorder="1" applyAlignment="1">
      <alignment horizontal="center" vertical="center"/>
    </xf>
    <xf numFmtId="0" fontId="22" fillId="0" borderId="71" xfId="132" applyFont="1" applyFill="1" applyBorder="1" applyAlignment="1">
      <alignment vertical="center" wrapText="1"/>
    </xf>
    <xf numFmtId="3" fontId="22" fillId="0" borderId="24" xfId="132" applyNumberFormat="1" applyFont="1" applyFill="1" applyBorder="1" applyAlignment="1">
      <alignment horizontal="center" vertical="center"/>
    </xf>
    <xf numFmtId="0" fontId="22" fillId="0" borderId="18" xfId="132" applyFont="1" applyFill="1" applyBorder="1" applyAlignment="1">
      <alignment horizontal="left" vertical="center"/>
    </xf>
    <xf numFmtId="0" fontId="22" fillId="0" borderId="76" xfId="132" applyFont="1" applyFill="1" applyBorder="1" applyAlignment="1">
      <alignment vertical="center" wrapText="1"/>
    </xf>
    <xf numFmtId="0" fontId="22" fillId="0" borderId="59" xfId="132" applyFont="1" applyFill="1" applyBorder="1" applyAlignment="1">
      <alignment vertical="center"/>
    </xf>
    <xf numFmtId="0" fontId="22" fillId="0" borderId="77" xfId="132" applyFont="1" applyFill="1" applyBorder="1" applyAlignment="1">
      <alignment horizontal="center" vertical="center"/>
    </xf>
    <xf numFmtId="0" fontId="22" fillId="0" borderId="59" xfId="132" applyFont="1" applyFill="1" applyBorder="1" applyAlignment="1">
      <alignment vertical="center" wrapText="1"/>
    </xf>
    <xf numFmtId="0" fontId="22" fillId="0" borderId="1" xfId="132" applyFont="1" applyFill="1" applyBorder="1" applyAlignment="1">
      <alignment vertical="center" wrapText="1"/>
    </xf>
    <xf numFmtId="0" fontId="22" fillId="0" borderId="58" xfId="132" applyFont="1" applyFill="1" applyBorder="1" applyAlignment="1">
      <alignment horizontal="center" vertical="center" wrapText="1"/>
    </xf>
    <xf numFmtId="0" fontId="80" fillId="0" borderId="24" xfId="132" applyFont="1" applyFill="1" applyBorder="1" applyAlignment="1">
      <alignment vertical="center"/>
    </xf>
    <xf numFmtId="0" fontId="80" fillId="0" borderId="71" xfId="132" applyFont="1" applyFill="1" applyBorder="1" applyAlignment="1">
      <alignment horizontal="center" vertical="center"/>
    </xf>
    <xf numFmtId="0" fontId="22" fillId="0" borderId="18" xfId="132" applyFont="1" applyFill="1" applyBorder="1" applyAlignment="1">
      <alignment vertical="center"/>
    </xf>
    <xf numFmtId="0" fontId="80" fillId="0" borderId="76" xfId="132" applyFont="1" applyFill="1" applyBorder="1" applyAlignment="1">
      <alignment horizontal="center" vertical="center"/>
    </xf>
    <xf numFmtId="0" fontId="22" fillId="0" borderId="24" xfId="132" applyFont="1" applyFill="1" applyBorder="1" applyAlignment="1">
      <alignment vertical="center" wrapText="1"/>
    </xf>
    <xf numFmtId="0" fontId="22" fillId="0" borderId="71" xfId="132" applyFont="1" applyFill="1" applyBorder="1" applyAlignment="1">
      <alignment horizontal="center" vertical="center" wrapText="1"/>
    </xf>
    <xf numFmtId="3" fontId="22" fillId="0" borderId="24" xfId="132" applyNumberFormat="1" applyFont="1" applyFill="1" applyBorder="1" applyAlignment="1">
      <alignment horizontal="center" vertical="center" wrapText="1"/>
    </xf>
    <xf numFmtId="0" fontId="22" fillId="0" borderId="18" xfId="132" applyFont="1" applyFill="1" applyBorder="1" applyAlignment="1">
      <alignment vertical="center" wrapText="1"/>
    </xf>
    <xf numFmtId="0" fontId="22" fillId="0" borderId="76" xfId="132" applyFont="1" applyFill="1" applyBorder="1" applyAlignment="1">
      <alignment horizontal="center" vertical="center" wrapText="1"/>
    </xf>
    <xf numFmtId="3" fontId="22" fillId="0" borderId="18" xfId="132" applyNumberFormat="1" applyFont="1" applyFill="1" applyBorder="1" applyAlignment="1">
      <alignment horizontal="center" vertical="center" wrapText="1"/>
    </xf>
    <xf numFmtId="0" fontId="22" fillId="0" borderId="24" xfId="132" applyFont="1" applyFill="1" applyBorder="1" applyAlignment="1">
      <alignment horizontal="center" vertical="center"/>
    </xf>
    <xf numFmtId="0" fontId="22" fillId="0" borderId="1" xfId="132" applyFont="1" applyFill="1" applyBorder="1" applyAlignment="1">
      <alignment horizontal="center" vertical="center"/>
    </xf>
    <xf numFmtId="3" fontId="128" fillId="0" borderId="1" xfId="132" applyNumberFormat="1" applyFont="1" applyFill="1" applyBorder="1" applyAlignment="1">
      <alignment horizontal="center" vertical="center"/>
    </xf>
    <xf numFmtId="0" fontId="22" fillId="0" borderId="43" xfId="132" applyFont="1" applyFill="1" applyBorder="1" applyAlignment="1">
      <alignment horizontal="center" vertical="center"/>
    </xf>
    <xf numFmtId="0" fontId="22" fillId="0" borderId="43" xfId="132" applyFont="1" applyFill="1" applyBorder="1" applyAlignment="1">
      <alignment horizontal="left" vertical="center" wrapText="1"/>
    </xf>
    <xf numFmtId="0" fontId="22" fillId="0" borderId="58" xfId="132" applyFont="1" applyFill="1" applyBorder="1" applyAlignment="1">
      <alignment vertical="center"/>
    </xf>
    <xf numFmtId="0" fontId="22" fillId="0" borderId="17" xfId="132" applyFont="1" applyFill="1" applyBorder="1" applyAlignment="1">
      <alignment vertical="center"/>
    </xf>
    <xf numFmtId="0" fontId="22" fillId="0" borderId="81" xfId="132" applyFont="1" applyFill="1" applyBorder="1" applyAlignment="1">
      <alignment horizontal="center" vertical="center"/>
    </xf>
    <xf numFmtId="0" fontId="22" fillId="0" borderId="81" xfId="132" applyFont="1" applyFill="1" applyBorder="1" applyAlignment="1">
      <alignment horizontal="center" vertical="center" wrapText="1"/>
    </xf>
    <xf numFmtId="0" fontId="22" fillId="0" borderId="81" xfId="132" applyFont="1" applyFill="1" applyBorder="1" applyAlignment="1">
      <alignment vertical="center" wrapText="1"/>
    </xf>
    <xf numFmtId="0" fontId="80" fillId="0" borderId="59" xfId="132" applyFont="1" applyFill="1" applyBorder="1" applyAlignment="1">
      <alignment horizontal="center" vertical="center"/>
    </xf>
    <xf numFmtId="0" fontId="80" fillId="0" borderId="77" xfId="132" applyFont="1" applyFill="1" applyBorder="1" applyAlignment="1">
      <alignment vertical="center" wrapText="1"/>
    </xf>
    <xf numFmtId="0" fontId="80" fillId="0" borderId="58" xfId="132" applyFont="1" applyFill="1" applyBorder="1" applyAlignment="1">
      <alignment vertical="center" wrapText="1"/>
    </xf>
    <xf numFmtId="0" fontId="80" fillId="0" borderId="1" xfId="132" applyFont="1" applyFill="1" applyBorder="1" applyAlignment="1">
      <alignment horizontal="left" vertical="center" wrapText="1"/>
    </xf>
    <xf numFmtId="0" fontId="80" fillId="0" borderId="1" xfId="132" applyFont="1" applyFill="1" applyBorder="1" applyAlignment="1">
      <alignment horizontal="center" vertical="center" wrapText="1"/>
    </xf>
    <xf numFmtId="3" fontId="128" fillId="0" borderId="1" xfId="132" applyNumberFormat="1" applyFont="1" applyFill="1" applyBorder="1" applyAlignment="1">
      <alignment horizontal="center" vertical="center" wrapText="1"/>
    </xf>
    <xf numFmtId="0" fontId="80" fillId="0" borderId="1" xfId="132" applyFont="1" applyFill="1" applyBorder="1" applyAlignment="1">
      <alignment horizontal="left" vertical="center"/>
    </xf>
    <xf numFmtId="0" fontId="22" fillId="0" borderId="77" xfId="132" applyFont="1" applyFill="1" applyBorder="1" applyAlignment="1">
      <alignment horizontal="center" vertical="center" wrapText="1"/>
    </xf>
    <xf numFmtId="0" fontId="22" fillId="0" borderId="77" xfId="132" applyFont="1" applyFill="1" applyBorder="1" applyAlignment="1">
      <alignment vertical="center" wrapText="1"/>
    </xf>
    <xf numFmtId="0" fontId="22" fillId="0" borderId="59" xfId="132" applyFont="1" applyFill="1" applyBorder="1" applyAlignment="1">
      <alignment horizontal="center" vertical="center"/>
    </xf>
    <xf numFmtId="0" fontId="80" fillId="0" borderId="58" xfId="132" applyNumberFormat="1" applyFont="1" applyFill="1" applyBorder="1" applyAlignment="1">
      <alignment vertical="center" wrapText="1"/>
    </xf>
    <xf numFmtId="3" fontId="22" fillId="0" borderId="1" xfId="132" applyNumberFormat="1" applyFont="1" applyFill="1" applyBorder="1" applyAlignment="1">
      <alignment horizontal="center" vertical="center" wrapText="1"/>
    </xf>
    <xf numFmtId="0" fontId="80" fillId="0" borderId="76" xfId="132" applyNumberFormat="1" applyFont="1" applyFill="1" applyBorder="1" applyAlignment="1">
      <alignment vertical="center" wrapText="1"/>
    </xf>
    <xf numFmtId="3" fontId="128" fillId="0" borderId="24" xfId="133" applyNumberFormat="1" applyFont="1" applyFill="1" applyBorder="1" applyAlignment="1">
      <alignment horizontal="center" vertical="center" wrapText="1"/>
    </xf>
    <xf numFmtId="0" fontId="80" fillId="0" borderId="58" xfId="133" applyFont="1" applyFill="1" applyBorder="1" applyAlignment="1">
      <alignment horizontal="center" vertical="center"/>
    </xf>
    <xf numFmtId="3" fontId="22" fillId="0" borderId="43" xfId="133" applyNumberFormat="1" applyFont="1" applyFill="1" applyBorder="1" applyAlignment="1">
      <alignment horizontal="center" vertical="center" wrapText="1"/>
    </xf>
    <xf numFmtId="3" fontId="22" fillId="0" borderId="43" xfId="132" applyNumberFormat="1" applyFont="1" applyFill="1" applyBorder="1" applyAlignment="1">
      <alignment horizontal="center" vertical="center"/>
    </xf>
    <xf numFmtId="0" fontId="22" fillId="0" borderId="1" xfId="103" applyFont="1" applyFill="1" applyBorder="1" applyAlignment="1">
      <alignment vertical="top" wrapText="1"/>
    </xf>
    <xf numFmtId="0" fontId="80" fillId="0" borderId="18" xfId="133" applyFont="1" applyFill="1" applyBorder="1" applyAlignment="1">
      <alignment horizontal="center" vertical="center" wrapText="1"/>
    </xf>
    <xf numFmtId="0" fontId="80" fillId="0" borderId="77" xfId="133" applyFont="1" applyFill="1" applyBorder="1" applyAlignment="1">
      <alignment vertical="center" wrapText="1"/>
    </xf>
    <xf numFmtId="3" fontId="128" fillId="0" borderId="1" xfId="103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2" fontId="2" fillId="0" borderId="60" xfId="0" applyNumberFormat="1" applyFont="1" applyBorder="1" applyAlignment="1">
      <alignment horizontal="center" vertical="center" wrapText="1"/>
    </xf>
    <xf numFmtId="2" fontId="2" fillId="0" borderId="63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77" fontId="2" fillId="0" borderId="1" xfId="0" applyNumberFormat="1" applyFont="1" applyBorder="1" applyAlignment="1" applyProtection="1">
      <alignment horizontal="center" vertical="center" wrapText="1"/>
      <protection hidden="1"/>
    </xf>
    <xf numFmtId="2" fontId="2" fillId="0" borderId="59" xfId="0" applyNumberFormat="1" applyFont="1" applyBorder="1" applyAlignment="1">
      <alignment horizontal="center" vertical="center" wrapText="1"/>
    </xf>
    <xf numFmtId="2" fontId="7" fillId="0" borderId="59" xfId="0" applyNumberFormat="1" applyFont="1" applyBorder="1" applyAlignment="1">
      <alignment horizontal="center" vertical="center" wrapText="1"/>
    </xf>
    <xf numFmtId="0" fontId="2" fillId="0" borderId="5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2" fontId="2" fillId="0" borderId="58" xfId="0" applyNumberFormat="1" applyFont="1" applyFill="1" applyBorder="1" applyAlignment="1">
      <alignment horizontal="left" vertical="center" wrapText="1"/>
    </xf>
    <xf numFmtId="0" fontId="2" fillId="0" borderId="43" xfId="0" applyFont="1" applyFill="1" applyBorder="1" applyAlignment="1">
      <alignment vertical="center"/>
    </xf>
    <xf numFmtId="1" fontId="2" fillId="0" borderId="58" xfId="0" applyNumberFormat="1" applyFont="1" applyFill="1" applyBorder="1" applyAlignment="1">
      <alignment horizontal="center" vertical="center"/>
    </xf>
    <xf numFmtId="1" fontId="2" fillId="0" borderId="74" xfId="0" applyNumberFormat="1" applyFont="1" applyFill="1" applyBorder="1" applyAlignment="1">
      <alignment horizontal="center" vertical="center" wrapText="1"/>
    </xf>
    <xf numFmtId="1" fontId="2" fillId="0" borderId="43" xfId="0" applyNumberFormat="1" applyFont="1" applyFill="1" applyBorder="1" applyAlignment="1" applyProtection="1">
      <alignment horizontal="center" vertical="center"/>
    </xf>
    <xf numFmtId="1" fontId="2" fillId="0" borderId="74" xfId="0" applyNumberFormat="1" applyFont="1" applyFill="1" applyBorder="1" applyAlignment="1" applyProtection="1">
      <alignment horizontal="center" vertical="center"/>
    </xf>
    <xf numFmtId="1" fontId="2" fillId="0" borderId="59" xfId="0" applyNumberFormat="1" applyFont="1" applyFill="1" applyBorder="1" applyAlignment="1" applyProtection="1">
      <alignment horizontal="center" vertical="center"/>
    </xf>
    <xf numFmtId="0" fontId="7" fillId="26" borderId="43" xfId="0" applyFont="1" applyFill="1" applyBorder="1" applyAlignment="1">
      <alignment horizontal="center" vertical="center"/>
    </xf>
    <xf numFmtId="0" fontId="7" fillId="26" borderId="43" xfId="0" applyFont="1" applyFill="1" applyBorder="1" applyAlignment="1">
      <alignment horizontal="center" vertical="center" wrapText="1"/>
    </xf>
    <xf numFmtId="165" fontId="0" fillId="0" borderId="33" xfId="0" applyNumberFormat="1" applyFill="1" applyBorder="1" applyAlignment="1">
      <alignment vertical="center"/>
    </xf>
    <xf numFmtId="165" fontId="0" fillId="0" borderId="1" xfId="0" applyNumberFormat="1" applyFill="1" applyBorder="1" applyAlignment="1">
      <alignment vertical="center"/>
    </xf>
    <xf numFmtId="165" fontId="0" fillId="0" borderId="34" xfId="0" applyNumberFormat="1" applyFill="1" applyBorder="1" applyAlignment="1">
      <alignment vertical="center"/>
    </xf>
    <xf numFmtId="165" fontId="0" fillId="0" borderId="18" xfId="0" applyNumberFormat="1" applyFill="1" applyBorder="1" applyAlignment="1">
      <alignment vertical="center"/>
    </xf>
    <xf numFmtId="0" fontId="2" fillId="0" borderId="65" xfId="131" applyFont="1" applyFill="1" applyBorder="1" applyAlignment="1">
      <alignment horizontal="center" vertical="center"/>
    </xf>
    <xf numFmtId="1" fontId="55" fillId="0" borderId="62" xfId="80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103" applyFont="1" applyProtection="1">
      <protection locked="0"/>
    </xf>
    <xf numFmtId="1" fontId="7" fillId="0" borderId="0" xfId="126" applyNumberFormat="1" applyFont="1" applyFill="1" applyBorder="1" applyAlignment="1" applyProtection="1">
      <alignment vertical="center" wrapText="1"/>
      <protection locked="0"/>
    </xf>
    <xf numFmtId="1" fontId="2" fillId="0" borderId="62" xfId="126" applyNumberFormat="1" applyFont="1" applyFill="1" applyBorder="1" applyAlignment="1" applyProtection="1">
      <protection locked="0"/>
    </xf>
    <xf numFmtId="0" fontId="7" fillId="0" borderId="1" xfId="103" applyFont="1" applyFill="1" applyBorder="1" applyAlignment="1" applyProtection="1">
      <protection locked="0"/>
    </xf>
    <xf numFmtId="0" fontId="2" fillId="0" borderId="1" xfId="103" applyFont="1" applyFill="1" applyBorder="1" applyAlignment="1" applyProtection="1">
      <alignment horizontal="center"/>
      <protection locked="0"/>
    </xf>
    <xf numFmtId="0" fontId="2" fillId="0" borderId="1" xfId="103" applyNumberFormat="1" applyFont="1" applyFill="1" applyBorder="1" applyAlignment="1" applyProtection="1">
      <alignment horizontal="center"/>
      <protection locked="0"/>
    </xf>
    <xf numFmtId="176" fontId="2" fillId="0" borderId="1" xfId="103" applyNumberFormat="1" applyFont="1" applyFill="1" applyBorder="1" applyAlignment="1" applyProtection="1">
      <alignment horizontal="center"/>
      <protection locked="0"/>
    </xf>
    <xf numFmtId="1" fontId="2" fillId="0" borderId="1" xfId="103" applyNumberFormat="1" applyFont="1" applyFill="1" applyBorder="1" applyAlignment="1" applyProtection="1">
      <alignment horizontal="center"/>
      <protection locked="0"/>
    </xf>
    <xf numFmtId="0" fontId="7" fillId="38" borderId="1" xfId="103" applyFont="1" applyFill="1" applyBorder="1" applyAlignment="1" applyProtection="1">
      <protection locked="0"/>
    </xf>
    <xf numFmtId="0" fontId="2" fillId="38" borderId="1" xfId="103" applyFont="1" applyFill="1" applyBorder="1" applyAlignment="1" applyProtection="1">
      <alignment horizontal="center"/>
      <protection locked="0"/>
    </xf>
    <xf numFmtId="0" fontId="2" fillId="38" borderId="1" xfId="103" applyNumberFormat="1" applyFont="1" applyFill="1" applyBorder="1" applyAlignment="1" applyProtection="1">
      <alignment horizontal="center"/>
      <protection locked="0"/>
    </xf>
    <xf numFmtId="0" fontId="2" fillId="0" borderId="74" xfId="0" applyFont="1" applyFill="1" applyBorder="1" applyAlignment="1">
      <alignment vertical="center"/>
    </xf>
    <xf numFmtId="0" fontId="7" fillId="26" borderId="59" xfId="0" applyFont="1" applyFill="1" applyBorder="1" applyAlignment="1" applyProtection="1">
      <alignment horizontal="center" vertical="center" wrapText="1"/>
      <protection locked="0"/>
    </xf>
    <xf numFmtId="1" fontId="129" fillId="0" borderId="60" xfId="0" applyNumberFormat="1" applyFont="1" applyFill="1" applyBorder="1" applyAlignment="1" applyProtection="1">
      <alignment horizontal="center" vertical="center"/>
    </xf>
    <xf numFmtId="1" fontId="129" fillId="0" borderId="74" xfId="0" applyNumberFormat="1" applyFont="1" applyFill="1" applyBorder="1" applyAlignment="1" applyProtection="1">
      <alignment horizontal="center" vertical="center"/>
    </xf>
    <xf numFmtId="1" fontId="2" fillId="0" borderId="61" xfId="0" applyNumberFormat="1" applyFont="1" applyFill="1" applyBorder="1" applyAlignment="1" applyProtection="1">
      <alignment horizontal="center" vertical="center"/>
    </xf>
    <xf numFmtId="1" fontId="129" fillId="0" borderId="61" xfId="0" applyNumberFormat="1" applyFont="1" applyFill="1" applyBorder="1" applyAlignment="1" applyProtection="1">
      <alignment horizontal="center" vertical="center"/>
    </xf>
    <xf numFmtId="1" fontId="129" fillId="0" borderId="74" xfId="143" applyNumberFormat="1" applyFont="1" applyFill="1" applyBorder="1" applyAlignment="1" applyProtection="1">
      <alignment horizontal="center" vertical="center"/>
    </xf>
    <xf numFmtId="1" fontId="129" fillId="0" borderId="58" xfId="0" applyNumberFormat="1" applyFont="1" applyFill="1" applyBorder="1" applyAlignment="1" applyProtection="1">
      <alignment horizontal="center" vertical="center"/>
    </xf>
    <xf numFmtId="1" fontId="129" fillId="0" borderId="59" xfId="0" applyNumberFormat="1" applyFont="1" applyFill="1" applyBorder="1" applyAlignment="1" applyProtection="1">
      <alignment horizontal="center" vertical="center"/>
    </xf>
    <xf numFmtId="2" fontId="2" fillId="0" borderId="74" xfId="0" applyNumberFormat="1" applyFont="1" applyBorder="1" applyAlignment="1">
      <alignment vertical="center"/>
    </xf>
    <xf numFmtId="0" fontId="96" fillId="0" borderId="0" xfId="0" applyFont="1"/>
    <xf numFmtId="0" fontId="8" fillId="0" borderId="62" xfId="0" applyFont="1" applyBorder="1" applyAlignment="1"/>
    <xf numFmtId="1" fontId="96" fillId="0" borderId="62" xfId="124" applyNumberFormat="1" applyFont="1" applyFill="1" applyBorder="1" applyAlignment="1">
      <alignment vertical="center" wrapText="1"/>
    </xf>
    <xf numFmtId="14" fontId="96" fillId="0" borderId="62" xfId="0" applyNumberFormat="1" applyFont="1" applyBorder="1" applyAlignment="1"/>
    <xf numFmtId="2" fontId="8" fillId="0" borderId="60" xfId="0" applyNumberFormat="1" applyFont="1" applyBorder="1" applyAlignment="1">
      <alignment horizontal="center" vertical="center" wrapText="1"/>
    </xf>
    <xf numFmtId="1" fontId="8" fillId="0" borderId="63" xfId="0" applyNumberFormat="1" applyFont="1" applyBorder="1" applyAlignment="1">
      <alignment horizontal="center" vertical="center" wrapText="1"/>
    </xf>
    <xf numFmtId="2" fontId="8" fillId="0" borderId="58" xfId="0" applyNumberFormat="1" applyFont="1" applyBorder="1" applyAlignment="1">
      <alignment horizontal="center" vertical="center" wrapText="1"/>
    </xf>
    <xf numFmtId="2" fontId="89" fillId="0" borderId="66" xfId="0" applyNumberFormat="1" applyFont="1" applyBorder="1" applyAlignment="1">
      <alignment horizontal="center" vertical="center"/>
    </xf>
    <xf numFmtId="1" fontId="89" fillId="0" borderId="63" xfId="0" applyNumberFormat="1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 wrapText="1"/>
    </xf>
    <xf numFmtId="1" fontId="89" fillId="0" borderId="1" xfId="0" applyNumberFormat="1" applyFont="1" applyBorder="1" applyAlignment="1">
      <alignment horizontal="center" vertical="center" wrapText="1"/>
    </xf>
    <xf numFmtId="0" fontId="99" fillId="0" borderId="0" xfId="0" applyFont="1"/>
    <xf numFmtId="0" fontId="108" fillId="0" borderId="0" xfId="0" applyFont="1" applyAlignment="1">
      <alignment horizontal="right"/>
    </xf>
    <xf numFmtId="0" fontId="61" fillId="0" borderId="0" xfId="0" applyFont="1" applyFill="1"/>
    <xf numFmtId="0" fontId="62" fillId="0" borderId="0" xfId="0" applyNumberFormat="1" applyFont="1" applyFill="1" applyAlignment="1">
      <alignment horizontal="right"/>
    </xf>
    <xf numFmtId="2" fontId="65" fillId="0" borderId="0" xfId="0" applyNumberFormat="1" applyFont="1" applyFill="1" applyAlignment="1">
      <alignment horizontal="right"/>
    </xf>
    <xf numFmtId="166" fontId="115" fillId="0" borderId="0" xfId="0" applyNumberFormat="1" applyFont="1"/>
    <xf numFmtId="0" fontId="62" fillId="0" borderId="0" xfId="0" applyFont="1" applyFill="1"/>
    <xf numFmtId="0" fontId="61" fillId="0" borderId="0" xfId="0" applyFont="1"/>
    <xf numFmtId="0" fontId="62" fillId="0" borderId="0" xfId="0" applyFont="1" applyAlignment="1"/>
    <xf numFmtId="1" fontId="62" fillId="0" borderId="0" xfId="0" applyNumberFormat="1" applyFont="1" applyAlignment="1">
      <alignment horizontal="right"/>
    </xf>
    <xf numFmtId="0" fontId="62" fillId="0" borderId="0" xfId="0" applyFont="1" applyAlignment="1">
      <alignment horizontal="right"/>
    </xf>
    <xf numFmtId="0" fontId="62" fillId="0" borderId="0" xfId="0" applyFont="1"/>
    <xf numFmtId="0" fontId="61" fillId="43" borderId="0" xfId="0" applyFont="1" applyFill="1"/>
    <xf numFmtId="1" fontId="66" fillId="0" borderId="0" xfId="0" applyNumberFormat="1" applyFont="1" applyAlignment="1">
      <alignment horizontal="right"/>
    </xf>
    <xf numFmtId="0" fontId="62" fillId="43" borderId="0" xfId="0" applyFont="1" applyFill="1"/>
    <xf numFmtId="0" fontId="61" fillId="44" borderId="0" xfId="0" applyFont="1" applyFill="1"/>
    <xf numFmtId="1" fontId="62" fillId="0" borderId="0" xfId="0" applyNumberFormat="1" applyFont="1" applyFill="1" applyAlignment="1">
      <alignment horizontal="right"/>
    </xf>
    <xf numFmtId="0" fontId="62" fillId="44" borderId="0" xfId="0" applyFont="1" applyFill="1" applyAlignment="1">
      <alignment horizontal="right"/>
    </xf>
    <xf numFmtId="0" fontId="62" fillId="45" borderId="0" xfId="0" applyFont="1" applyFill="1" applyAlignment="1"/>
    <xf numFmtId="1" fontId="62" fillId="45" borderId="0" xfId="0" applyNumberFormat="1" applyFont="1" applyFill="1" applyAlignment="1">
      <alignment horizontal="right"/>
    </xf>
    <xf numFmtId="166" fontId="130" fillId="45" borderId="0" xfId="0" applyNumberFormat="1" applyFont="1" applyFill="1"/>
    <xf numFmtId="0" fontId="62" fillId="46" borderId="0" xfId="0" applyFont="1" applyFill="1" applyAlignment="1"/>
    <xf numFmtId="1" fontId="62" fillId="46" borderId="0" xfId="0" applyNumberFormat="1" applyFont="1" applyFill="1" applyAlignment="1">
      <alignment horizontal="right"/>
    </xf>
    <xf numFmtId="166" fontId="130" fillId="46" borderId="0" xfId="0" applyNumberFormat="1" applyFont="1" applyFill="1"/>
    <xf numFmtId="166" fontId="115" fillId="0" borderId="0" xfId="0" applyNumberFormat="1" applyFont="1" applyFill="1"/>
    <xf numFmtId="0" fontId="62" fillId="0" borderId="0" xfId="0" applyFont="1" applyAlignment="1">
      <alignment horizontal="left"/>
    </xf>
    <xf numFmtId="0" fontId="62" fillId="47" borderId="0" xfId="0" applyFont="1" applyFill="1" applyAlignment="1"/>
    <xf numFmtId="0" fontId="62" fillId="47" borderId="0" xfId="0" applyFont="1" applyFill="1" applyAlignment="1">
      <alignment horizontal="right"/>
    </xf>
    <xf numFmtId="166" fontId="130" fillId="47" borderId="0" xfId="0" applyNumberFormat="1" applyFont="1" applyFill="1"/>
    <xf numFmtId="0" fontId="67" fillId="0" borderId="0" xfId="0" applyFont="1" applyFill="1"/>
    <xf numFmtId="0" fontId="61" fillId="0" borderId="0" xfId="0" applyFont="1" applyFill="1" applyAlignment="1">
      <alignment horizontal="left"/>
    </xf>
    <xf numFmtId="0" fontId="68" fillId="0" borderId="0" xfId="0" applyFont="1"/>
    <xf numFmtId="0" fontId="22" fillId="0" borderId="0" xfId="0" applyFont="1"/>
    <xf numFmtId="0" fontId="62" fillId="0" borderId="0" xfId="0" applyFont="1" applyFill="1" applyAlignment="1">
      <alignment horizontal="left"/>
    </xf>
    <xf numFmtId="0" fontId="62" fillId="0" borderId="0" xfId="0" applyFont="1" applyFill="1" applyAlignment="1">
      <alignment horizontal="center"/>
    </xf>
    <xf numFmtId="0" fontId="68" fillId="0" borderId="0" xfId="0" applyNumberFormat="1" applyFont="1" applyFill="1" applyAlignment="1"/>
    <xf numFmtId="0" fontId="68" fillId="0" borderId="0" xfId="0" applyFont="1" applyFill="1"/>
    <xf numFmtId="0" fontId="62" fillId="0" borderId="0" xfId="0" applyNumberFormat="1" applyFont="1"/>
    <xf numFmtId="0" fontId="62" fillId="0" borderId="0" xfId="0" applyNumberFormat="1" applyFont="1" applyAlignment="1"/>
    <xf numFmtId="0" fontId="62" fillId="0" borderId="0" xfId="0" applyNumberFormat="1" applyFont="1" applyFill="1"/>
    <xf numFmtId="0" fontId="61" fillId="0" borderId="0" xfId="0" applyNumberFormat="1" applyFont="1" applyFill="1" applyAlignment="1"/>
    <xf numFmtId="166" fontId="115" fillId="48" borderId="0" xfId="0" applyNumberFormat="1" applyFont="1" applyFill="1"/>
    <xf numFmtId="0" fontId="61" fillId="44" borderId="0" xfId="0" applyFont="1" applyFill="1" applyBorder="1"/>
    <xf numFmtId="0" fontId="62" fillId="0" borderId="0" xfId="0" applyFont="1" applyFill="1" applyBorder="1" applyAlignment="1">
      <alignment horizontal="right"/>
    </xf>
    <xf numFmtId="2" fontId="65" fillId="44" borderId="0" xfId="0" applyNumberFormat="1" applyFont="1" applyFill="1" applyBorder="1" applyAlignment="1">
      <alignment horizontal="right"/>
    </xf>
    <xf numFmtId="0" fontId="62" fillId="46" borderId="0" xfId="0" applyFont="1" applyFill="1" applyAlignment="1">
      <alignment horizontal="right"/>
    </xf>
    <xf numFmtId="0" fontId="62" fillId="0" borderId="0" xfId="0" applyNumberFormat="1" applyFont="1" applyFill="1" applyAlignment="1"/>
    <xf numFmtId="0" fontId="62" fillId="38" borderId="0" xfId="0" applyFont="1" applyFill="1" applyAlignment="1"/>
    <xf numFmtId="0" fontId="62" fillId="38" borderId="0" xfId="0" applyFont="1" applyFill="1" applyAlignment="1">
      <alignment horizontal="right"/>
    </xf>
    <xf numFmtId="166" fontId="130" fillId="38" borderId="0" xfId="0" applyNumberFormat="1" applyFont="1" applyFill="1"/>
    <xf numFmtId="0" fontId="0" fillId="0" borderId="0" xfId="0" applyFill="1"/>
    <xf numFmtId="0" fontId="62" fillId="44" borderId="0" xfId="0" applyFont="1" applyFill="1"/>
    <xf numFmtId="0" fontId="22" fillId="44" borderId="0" xfId="104" applyFill="1"/>
    <xf numFmtId="166" fontId="62" fillId="44" borderId="0" xfId="0" applyNumberFormat="1" applyFont="1" applyFill="1" applyAlignment="1">
      <alignment horizontal="right"/>
    </xf>
    <xf numFmtId="166" fontId="115" fillId="44" borderId="0" xfId="104" applyNumberFormat="1" applyFont="1" applyFill="1"/>
    <xf numFmtId="0" fontId="62" fillId="44" borderId="0" xfId="104" applyFont="1" applyFill="1"/>
    <xf numFmtId="1" fontId="62" fillId="0" borderId="0" xfId="104" applyNumberFormat="1" applyFont="1" applyAlignment="1">
      <alignment horizontal="center"/>
    </xf>
    <xf numFmtId="0" fontId="62" fillId="0" borderId="0" xfId="0" applyFont="1" applyFill="1" applyBorder="1" applyAlignment="1"/>
    <xf numFmtId="0" fontId="62" fillId="0" borderId="0" xfId="0" applyFont="1" applyFill="1" applyBorder="1"/>
    <xf numFmtId="0" fontId="62" fillId="44" borderId="0" xfId="0" applyFont="1" applyFill="1" applyBorder="1" applyAlignment="1">
      <alignment horizontal="right"/>
    </xf>
    <xf numFmtId="0" fontId="62" fillId="0" borderId="0" xfId="0" applyFont="1" applyBorder="1"/>
    <xf numFmtId="0" fontId="62" fillId="46" borderId="0" xfId="0" applyFont="1" applyFill="1" applyBorder="1" applyAlignment="1"/>
    <xf numFmtId="0" fontId="62" fillId="46" borderId="0" xfId="0" applyFont="1" applyFill="1" applyBorder="1" applyAlignment="1">
      <alignment horizontal="right"/>
    </xf>
    <xf numFmtId="0" fontId="61" fillId="0" borderId="0" xfId="0" applyFont="1" applyFill="1" applyBorder="1"/>
    <xf numFmtId="0" fontId="62" fillId="0" borderId="0" xfId="0" applyFont="1" applyBorder="1" applyAlignment="1"/>
    <xf numFmtId="0" fontId="62" fillId="0" borderId="0" xfId="0" applyFont="1" applyBorder="1" applyAlignment="1">
      <alignment horizontal="right"/>
    </xf>
    <xf numFmtId="0" fontId="61" fillId="0" borderId="0" xfId="0" applyFont="1" applyBorder="1"/>
    <xf numFmtId="0" fontId="62" fillId="0" borderId="0" xfId="0" applyFont="1" applyBorder="1" applyAlignment="1">
      <alignment horizontal="left"/>
    </xf>
    <xf numFmtId="0" fontId="62" fillId="0" borderId="0" xfId="0" applyFont="1" applyFill="1" applyBorder="1" applyAlignment="1">
      <alignment horizontal="left"/>
    </xf>
    <xf numFmtId="0" fontId="62" fillId="0" borderId="0" xfId="0" applyFont="1" applyBorder="1" applyAlignment="1">
      <alignment horizontal="center"/>
    </xf>
    <xf numFmtId="0" fontId="62" fillId="44" borderId="0" xfId="0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0" fontId="61" fillId="0" borderId="0" xfId="0" applyFont="1" applyAlignment="1">
      <alignment horizontal="right"/>
    </xf>
    <xf numFmtId="2" fontId="65" fillId="0" borderId="0" xfId="0" applyNumberFormat="1" applyFont="1" applyFill="1" applyBorder="1" applyAlignment="1">
      <alignment horizontal="right"/>
    </xf>
    <xf numFmtId="0" fontId="61" fillId="49" borderId="0" xfId="0" applyFont="1" applyFill="1"/>
    <xf numFmtId="0" fontId="62" fillId="49" borderId="0" xfId="0" applyFont="1" applyFill="1"/>
    <xf numFmtId="0" fontId="67" fillId="0" borderId="0" xfId="0" applyFont="1" applyFill="1" applyAlignment="1">
      <alignment horizontal="left"/>
    </xf>
    <xf numFmtId="0" fontId="65" fillId="0" borderId="0" xfId="0" applyFont="1" applyFill="1"/>
    <xf numFmtId="0" fontId="70" fillId="0" borderId="0" xfId="0" applyFont="1"/>
    <xf numFmtId="0" fontId="67" fillId="0" borderId="0" xfId="0" applyFont="1"/>
    <xf numFmtId="49" fontId="62" fillId="0" borderId="0" xfId="0" applyNumberFormat="1" applyFont="1" applyBorder="1"/>
    <xf numFmtId="0" fontId="100" fillId="0" borderId="0" xfId="0" applyFont="1" applyFill="1"/>
    <xf numFmtId="0" fontId="100" fillId="0" borderId="0" xfId="0" applyFont="1" applyFill="1" applyAlignment="1">
      <alignment horizontal="left"/>
    </xf>
    <xf numFmtId="0" fontId="66" fillId="0" borderId="0" xfId="0" applyFont="1" applyFill="1" applyBorder="1" applyAlignment="1">
      <alignment horizontal="left"/>
    </xf>
    <xf numFmtId="0" fontId="66" fillId="0" borderId="0" xfId="0" applyFont="1" applyFill="1" applyBorder="1" applyAlignment="1">
      <alignment horizontal="right"/>
    </xf>
    <xf numFmtId="0" fontId="72" fillId="0" borderId="0" xfId="0" applyFont="1" applyBorder="1" applyAlignment="1">
      <alignment horizontal="left"/>
    </xf>
    <xf numFmtId="0" fontId="62" fillId="0" borderId="0" xfId="0" applyFont="1" applyFill="1" applyBorder="1" applyAlignment="1">
      <alignment horizontal="right" vertical="top" wrapText="1"/>
    </xf>
    <xf numFmtId="164" fontId="131" fillId="0" borderId="35" xfId="0" applyNumberFormat="1" applyFont="1" applyBorder="1" applyAlignment="1">
      <alignment horizontal="center" vertical="justify"/>
    </xf>
    <xf numFmtId="165" fontId="0" fillId="39" borderId="33" xfId="0" applyNumberFormat="1" applyFill="1" applyBorder="1" applyAlignment="1">
      <alignment vertical="center"/>
    </xf>
    <xf numFmtId="165" fontId="0" fillId="39" borderId="1" xfId="0" applyNumberFormat="1" applyFill="1" applyBorder="1" applyAlignment="1">
      <alignment vertical="center"/>
    </xf>
    <xf numFmtId="165" fontId="0" fillId="39" borderId="27" xfId="0" applyNumberFormat="1" applyFill="1" applyBorder="1" applyAlignment="1">
      <alignment vertical="center"/>
    </xf>
    <xf numFmtId="165" fontId="0" fillId="39" borderId="24" xfId="0" applyNumberFormat="1" applyFill="1" applyBorder="1" applyAlignment="1">
      <alignment vertical="center"/>
    </xf>
    <xf numFmtId="10" fontId="0" fillId="50" borderId="59" xfId="0" applyNumberForma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center"/>
    </xf>
    <xf numFmtId="10" fontId="62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6" fontId="132" fillId="0" borderId="0" xfId="0" applyNumberFormat="1" applyFont="1" applyAlignment="1">
      <alignment horizontal="center"/>
    </xf>
    <xf numFmtId="180" fontId="62" fillId="0" borderId="0" xfId="115" applyNumberFormat="1" applyFont="1" applyFill="1" applyAlignment="1">
      <alignment horizontal="center"/>
    </xf>
    <xf numFmtId="173" fontId="2" fillId="0" borderId="1" xfId="131" applyNumberFormat="1" applyFont="1" applyBorder="1" applyAlignment="1">
      <alignment horizontal="center" vertical="center" wrapText="1"/>
    </xf>
    <xf numFmtId="173" fontId="2" fillId="0" borderId="1" xfId="131" applyNumberFormat="1" applyFont="1" applyFill="1" applyBorder="1" applyAlignment="1">
      <alignment horizontal="center" vertical="center" wrapText="1"/>
    </xf>
    <xf numFmtId="0" fontId="7" fillId="0" borderId="1" xfId="131" applyFont="1" applyFill="1" applyBorder="1" applyAlignment="1">
      <alignment horizontal="left" vertical="center"/>
    </xf>
    <xf numFmtId="0" fontId="2" fillId="0" borderId="1" xfId="131" applyFont="1" applyBorder="1" applyAlignment="1">
      <alignment horizontal="center" vertical="center"/>
    </xf>
    <xf numFmtId="0" fontId="7" fillId="0" borderId="1" xfId="131" applyFont="1" applyFill="1" applyBorder="1" applyAlignment="1">
      <alignment horizontal="center" vertical="center"/>
    </xf>
    <xf numFmtId="0" fontId="2" fillId="0" borderId="1" xfId="131" applyNumberFormat="1" applyFont="1" applyFill="1" applyBorder="1" applyAlignment="1">
      <alignment horizontal="center" vertical="center"/>
    </xf>
    <xf numFmtId="0" fontId="2" fillId="0" borderId="0" xfId="99" applyFont="1"/>
    <xf numFmtId="0" fontId="22" fillId="0" borderId="0" xfId="99" applyFont="1" applyAlignment="1">
      <alignment horizontal="right"/>
    </xf>
    <xf numFmtId="14" fontId="22" fillId="0" borderId="0" xfId="99" applyNumberFormat="1" applyFont="1" applyAlignment="1">
      <alignment horizontal="center"/>
    </xf>
    <xf numFmtId="0" fontId="9" fillId="38" borderId="1" xfId="99" applyFont="1" applyFill="1" applyBorder="1" applyAlignment="1">
      <alignment horizontal="center" vertical="center"/>
    </xf>
    <xf numFmtId="0" fontId="22" fillId="0" borderId="1" xfId="99" applyFont="1" applyBorder="1" applyAlignment="1">
      <alignment horizontal="center" vertical="center" wrapText="1"/>
    </xf>
    <xf numFmtId="0" fontId="9" fillId="0" borderId="1" xfId="99" applyFont="1" applyBorder="1" applyAlignment="1">
      <alignment horizontal="left" vertical="center" wrapText="1"/>
    </xf>
    <xf numFmtId="0" fontId="22" fillId="0" borderId="43" xfId="99" applyFont="1" applyBorder="1" applyAlignment="1">
      <alignment horizontal="center" vertical="center" wrapText="1"/>
    </xf>
    <xf numFmtId="0" fontId="9" fillId="38" borderId="1" xfId="99" applyFont="1" applyFill="1" applyBorder="1" applyAlignment="1">
      <alignment horizontal="center" vertical="center" wrapText="1"/>
    </xf>
    <xf numFmtId="0" fontId="22" fillId="0" borderId="1" xfId="99" applyFont="1" applyBorder="1" applyAlignment="1">
      <alignment horizontal="left" vertical="center" wrapText="1"/>
    </xf>
    <xf numFmtId="4" fontId="9" fillId="25" borderId="27" xfId="58" applyNumberFormat="1" applyFont="1" applyFill="1" applyBorder="1" applyAlignment="1" applyProtection="1">
      <alignment horizontal="center" vertical="center" wrapText="1"/>
      <protection locked="0"/>
    </xf>
    <xf numFmtId="9" fontId="2" fillId="0" borderId="0" xfId="137" applyFont="1" applyFill="1" applyBorder="1" applyAlignment="1">
      <alignment vertical="center"/>
    </xf>
    <xf numFmtId="14" fontId="2" fillId="0" borderId="0" xfId="131" applyNumberFormat="1" applyFont="1" applyAlignment="1">
      <alignment vertical="center"/>
    </xf>
    <xf numFmtId="0" fontId="7" fillId="46" borderId="58" xfId="131" applyFont="1" applyFill="1" applyBorder="1" applyAlignment="1">
      <alignment horizontal="center" vertical="center" wrapText="1"/>
    </xf>
    <xf numFmtId="1" fontId="7" fillId="46" borderId="1" xfId="127" applyNumberFormat="1" applyFont="1" applyFill="1" applyBorder="1" applyAlignment="1">
      <alignment horizontal="center" vertical="center"/>
    </xf>
    <xf numFmtId="0" fontId="2" fillId="38" borderId="1" xfId="131" applyFont="1" applyFill="1" applyBorder="1" applyAlignment="1">
      <alignment vertical="center"/>
    </xf>
    <xf numFmtId="1" fontId="5" fillId="0" borderId="62" xfId="80" applyNumberFormat="1" applyFont="1" applyFill="1" applyBorder="1" applyAlignment="1" applyProtection="1">
      <alignment vertical="center" wrapText="1"/>
    </xf>
    <xf numFmtId="0" fontId="5" fillId="0" borderId="0" xfId="95" applyFont="1"/>
    <xf numFmtId="1" fontId="5" fillId="0" borderId="0" xfId="131" applyNumberFormat="1" applyFont="1" applyBorder="1" applyAlignment="1">
      <alignment horizontal="center"/>
    </xf>
    <xf numFmtId="14" fontId="5" fillId="0" borderId="0" xfId="95" applyNumberFormat="1" applyFont="1" applyAlignment="1">
      <alignment horizontal="center"/>
    </xf>
    <xf numFmtId="0" fontId="92" fillId="38" borderId="1" xfId="95" applyFont="1" applyFill="1" applyBorder="1" applyAlignment="1">
      <alignment horizontal="center" vertical="center" wrapText="1"/>
    </xf>
    <xf numFmtId="3" fontId="92" fillId="38" borderId="1" xfId="95" applyNumberFormat="1" applyFont="1" applyFill="1" applyBorder="1" applyAlignment="1" applyProtection="1">
      <alignment horizontal="center" vertical="center" wrapText="1"/>
      <protection hidden="1"/>
    </xf>
    <xf numFmtId="0" fontId="5" fillId="0" borderId="61" xfId="95" applyFont="1" applyBorder="1" applyAlignment="1" applyProtection="1">
      <alignment horizontal="center" vertical="center" wrapText="1"/>
      <protection hidden="1"/>
    </xf>
    <xf numFmtId="2" fontId="5" fillId="0" borderId="61" xfId="95" applyNumberFormat="1" applyFont="1" applyBorder="1" applyAlignment="1" applyProtection="1">
      <alignment horizontal="center" vertical="center" wrapText="1"/>
      <protection hidden="1"/>
    </xf>
    <xf numFmtId="1" fontId="5" fillId="0" borderId="61" xfId="95" applyNumberFormat="1" applyFont="1" applyBorder="1" applyAlignment="1" applyProtection="1">
      <alignment horizontal="center" vertical="center" wrapText="1"/>
      <protection hidden="1"/>
    </xf>
    <xf numFmtId="3" fontId="5" fillId="0" borderId="61" xfId="95" applyNumberFormat="1" applyFont="1" applyBorder="1" applyAlignment="1" applyProtection="1">
      <alignment horizontal="center" vertical="center" wrapText="1"/>
      <protection hidden="1"/>
    </xf>
    <xf numFmtId="3" fontId="5" fillId="0" borderId="61" xfId="95" applyNumberFormat="1" applyFont="1" applyFill="1" applyBorder="1" applyAlignment="1" applyProtection="1">
      <alignment horizontal="center" vertical="center"/>
      <protection hidden="1"/>
    </xf>
    <xf numFmtId="177" fontId="5" fillId="0" borderId="61" xfId="95" applyNumberFormat="1" applyFont="1" applyBorder="1" applyAlignment="1" applyProtection="1">
      <alignment horizontal="center" vertical="center"/>
      <protection hidden="1"/>
    </xf>
    <xf numFmtId="0" fontId="5" fillId="0" borderId="61" xfId="95" applyFont="1" applyBorder="1" applyAlignment="1" applyProtection="1">
      <alignment horizontal="center" vertical="center"/>
      <protection hidden="1"/>
    </xf>
    <xf numFmtId="2" fontId="5" fillId="0" borderId="61" xfId="95" applyNumberFormat="1" applyFont="1" applyBorder="1" applyAlignment="1" applyProtection="1">
      <alignment horizontal="center" vertical="center"/>
      <protection hidden="1"/>
    </xf>
    <xf numFmtId="1" fontId="5" fillId="0" borderId="61" xfId="95" applyNumberFormat="1" applyFont="1" applyBorder="1" applyAlignment="1" applyProtection="1">
      <alignment horizontal="center" vertical="center"/>
      <protection hidden="1"/>
    </xf>
    <xf numFmtId="3" fontId="5" fillId="0" borderId="61" xfId="95" applyNumberFormat="1" applyFont="1" applyFill="1" applyBorder="1" applyAlignment="1" applyProtection="1">
      <alignment horizontal="center" vertical="center" wrapText="1"/>
      <protection hidden="1"/>
    </xf>
    <xf numFmtId="177" fontId="5" fillId="0" borderId="63" xfId="95" applyNumberFormat="1" applyFont="1" applyBorder="1" applyAlignment="1" applyProtection="1">
      <alignment horizontal="center" vertical="center"/>
      <protection hidden="1"/>
    </xf>
    <xf numFmtId="0" fontId="5" fillId="0" borderId="63" xfId="95" applyFont="1" applyBorder="1" applyAlignment="1" applyProtection="1">
      <alignment horizontal="center" vertical="center" wrapText="1"/>
      <protection hidden="1"/>
    </xf>
    <xf numFmtId="0" fontId="5" fillId="0" borderId="63" xfId="95" applyFont="1" applyBorder="1" applyAlignment="1" applyProtection="1">
      <alignment horizontal="center" vertical="center"/>
      <protection hidden="1"/>
    </xf>
    <xf numFmtId="2" fontId="5" fillId="0" borderId="63" xfId="95" applyNumberFormat="1" applyFont="1" applyBorder="1" applyAlignment="1" applyProtection="1">
      <alignment horizontal="center" vertical="center"/>
      <protection hidden="1"/>
    </xf>
    <xf numFmtId="1" fontId="5" fillId="0" borderId="63" xfId="95" applyNumberFormat="1" applyFont="1" applyBorder="1" applyAlignment="1" applyProtection="1">
      <alignment horizontal="center" vertical="center"/>
      <protection hidden="1"/>
    </xf>
    <xf numFmtId="3" fontId="5" fillId="0" borderId="63" xfId="95" applyNumberFormat="1" applyFont="1" applyBorder="1" applyAlignment="1" applyProtection="1">
      <alignment horizontal="center" vertical="center" wrapText="1"/>
      <protection hidden="1"/>
    </xf>
    <xf numFmtId="3" fontId="5" fillId="0" borderId="63" xfId="95" applyNumberFormat="1" applyFont="1" applyFill="1" applyBorder="1" applyAlignment="1" applyProtection="1">
      <alignment horizontal="center" vertical="center"/>
      <protection hidden="1"/>
    </xf>
    <xf numFmtId="0" fontId="5" fillId="0" borderId="60" xfId="95" applyFont="1" applyBorder="1" applyAlignment="1" applyProtection="1">
      <alignment horizontal="center" vertical="center" wrapText="1"/>
      <protection hidden="1"/>
    </xf>
    <xf numFmtId="2" fontId="5" fillId="0" borderId="60" xfId="95" applyNumberFormat="1" applyFont="1" applyBorder="1" applyAlignment="1" applyProtection="1">
      <alignment horizontal="center" vertical="center" wrapText="1"/>
      <protection hidden="1"/>
    </xf>
    <xf numFmtId="1" fontId="5" fillId="0" borderId="60" xfId="95" applyNumberFormat="1" applyFont="1" applyBorder="1" applyAlignment="1" applyProtection="1">
      <alignment horizontal="center" vertical="center" wrapText="1"/>
      <protection hidden="1"/>
    </xf>
    <xf numFmtId="3" fontId="5" fillId="0" borderId="60" xfId="95" applyNumberFormat="1" applyFont="1" applyBorder="1" applyAlignment="1" applyProtection="1">
      <alignment horizontal="center" vertical="center" wrapText="1"/>
      <protection hidden="1"/>
    </xf>
    <xf numFmtId="3" fontId="5" fillId="0" borderId="60" xfId="95" applyNumberFormat="1" applyFont="1" applyFill="1" applyBorder="1" applyAlignment="1" applyProtection="1">
      <alignment horizontal="center" vertical="center"/>
      <protection hidden="1"/>
    </xf>
    <xf numFmtId="177" fontId="5" fillId="0" borderId="61" xfId="95" applyNumberFormat="1" applyFont="1" applyFill="1" applyBorder="1" applyAlignment="1" applyProtection="1">
      <alignment horizontal="center" vertical="center"/>
      <protection hidden="1"/>
    </xf>
    <xf numFmtId="0" fontId="5" fillId="0" borderId="61" xfId="95" applyFont="1" applyFill="1" applyBorder="1" applyAlignment="1" applyProtection="1">
      <alignment horizontal="center" vertical="center" wrapText="1"/>
      <protection hidden="1"/>
    </xf>
    <xf numFmtId="0" fontId="5" fillId="0" borderId="61" xfId="95" applyFont="1" applyFill="1" applyBorder="1" applyAlignment="1" applyProtection="1">
      <alignment horizontal="center" vertical="center"/>
      <protection hidden="1"/>
    </xf>
    <xf numFmtId="2" fontId="5" fillId="0" borderId="61" xfId="95" applyNumberFormat="1" applyFont="1" applyFill="1" applyBorder="1" applyAlignment="1" applyProtection="1">
      <alignment horizontal="center" vertical="center"/>
      <protection hidden="1"/>
    </xf>
    <xf numFmtId="1" fontId="5" fillId="0" borderId="61" xfId="95" applyNumberFormat="1" applyFont="1" applyFill="1" applyBorder="1" applyAlignment="1" applyProtection="1">
      <alignment horizontal="center" vertical="center"/>
      <protection hidden="1"/>
    </xf>
    <xf numFmtId="1" fontId="5" fillId="0" borderId="59" xfId="95" applyNumberFormat="1" applyFont="1" applyBorder="1" applyAlignment="1" applyProtection="1">
      <alignment horizontal="center" vertical="center"/>
      <protection hidden="1"/>
    </xf>
    <xf numFmtId="0" fontId="5" fillId="0" borderId="43" xfId="95" applyFont="1" applyBorder="1" applyAlignment="1" applyProtection="1">
      <alignment horizontal="center" vertical="center" wrapText="1"/>
      <protection hidden="1"/>
    </xf>
    <xf numFmtId="0" fontId="5" fillId="0" borderId="59" xfId="95" applyFont="1" applyBorder="1" applyAlignment="1" applyProtection="1">
      <alignment horizontal="center" vertical="center" wrapText="1"/>
      <protection hidden="1"/>
    </xf>
    <xf numFmtId="0" fontId="5" fillId="0" borderId="43" xfId="95" applyFont="1" applyBorder="1" applyAlignment="1" applyProtection="1">
      <alignment vertical="center"/>
      <protection hidden="1"/>
    </xf>
    <xf numFmtId="177" fontId="5" fillId="0" borderId="60" xfId="95" applyNumberFormat="1" applyFont="1" applyBorder="1" applyAlignment="1" applyProtection="1">
      <alignment horizontal="center" vertical="center"/>
      <protection hidden="1"/>
    </xf>
    <xf numFmtId="0" fontId="5" fillId="0" borderId="60" xfId="95" applyFont="1" applyBorder="1" applyAlignment="1" applyProtection="1">
      <alignment horizontal="center" vertical="center"/>
      <protection hidden="1"/>
    </xf>
    <xf numFmtId="2" fontId="5" fillId="0" borderId="60" xfId="95" applyNumberFormat="1" applyFont="1" applyBorder="1" applyAlignment="1" applyProtection="1">
      <alignment horizontal="center" vertical="center"/>
      <protection hidden="1"/>
    </xf>
    <xf numFmtId="1" fontId="5" fillId="0" borderId="60" xfId="95" applyNumberFormat="1" applyFont="1" applyBorder="1" applyAlignment="1" applyProtection="1">
      <alignment horizontal="center" vertical="center"/>
      <protection hidden="1"/>
    </xf>
    <xf numFmtId="0" fontId="5" fillId="0" borderId="74" xfId="95" applyFont="1" applyBorder="1" applyAlignment="1" applyProtection="1">
      <alignment vertical="center"/>
      <protection hidden="1"/>
    </xf>
    <xf numFmtId="0" fontId="5" fillId="0" borderId="66" xfId="95" applyFont="1" applyBorder="1" applyAlignment="1" applyProtection="1">
      <alignment horizontal="center" vertical="center" wrapText="1"/>
      <protection hidden="1"/>
    </xf>
    <xf numFmtId="0" fontId="5" fillId="0" borderId="59" xfId="95" applyFont="1" applyBorder="1" applyAlignment="1" applyProtection="1">
      <alignment vertical="center"/>
      <protection hidden="1"/>
    </xf>
    <xf numFmtId="4" fontId="105" fillId="28" borderId="38" xfId="58" applyNumberFormat="1" applyFont="1" applyFill="1" applyBorder="1" applyAlignment="1" applyProtection="1">
      <alignment horizontal="center" vertical="center" wrapText="1"/>
      <protection locked="0"/>
    </xf>
    <xf numFmtId="0" fontId="92" fillId="28" borderId="38" xfId="58" applyFont="1" applyFill="1" applyBorder="1" applyAlignment="1">
      <alignment horizontal="center" vertical="center" wrapText="1"/>
    </xf>
    <xf numFmtId="0" fontId="105" fillId="28" borderId="38" xfId="58" applyFont="1" applyFill="1" applyBorder="1" applyAlignment="1">
      <alignment horizontal="center" vertical="center" wrapText="1"/>
    </xf>
    <xf numFmtId="3" fontId="105" fillId="28" borderId="38" xfId="138" applyNumberFormat="1" applyFont="1" applyFill="1" applyBorder="1" applyAlignment="1">
      <alignment horizontal="center" vertical="center" wrapText="1"/>
    </xf>
    <xf numFmtId="0" fontId="105" fillId="28" borderId="38" xfId="0" applyFont="1" applyFill="1" applyBorder="1" applyAlignment="1">
      <alignment horizontal="center" vertical="center" wrapText="1"/>
    </xf>
    <xf numFmtId="0" fontId="105" fillId="28" borderId="80" xfId="0" applyFont="1" applyFill="1" applyBorder="1" applyAlignment="1">
      <alignment horizontal="center" vertical="center" wrapText="1"/>
    </xf>
    <xf numFmtId="4" fontId="9" fillId="25" borderId="24" xfId="58" applyNumberFormat="1" applyFont="1" applyFill="1" applyBorder="1" applyAlignment="1" applyProtection="1">
      <alignment horizontal="center" vertical="center" wrapText="1"/>
      <protection locked="0"/>
    </xf>
    <xf numFmtId="4" fontId="22" fillId="25" borderId="24" xfId="58" applyNumberFormat="1" applyFont="1" applyFill="1" applyBorder="1" applyAlignment="1" applyProtection="1">
      <alignment horizontal="center" vertical="center" wrapText="1"/>
      <protection locked="0"/>
    </xf>
    <xf numFmtId="0" fontId="5" fillId="25" borderId="24" xfId="0" applyFont="1" applyFill="1" applyBorder="1" applyAlignment="1">
      <alignment horizontal="center" vertical="center" wrapText="1"/>
    </xf>
    <xf numFmtId="4" fontId="22" fillId="25" borderId="24" xfId="58" applyNumberFormat="1" applyFont="1" applyFill="1" applyBorder="1" applyAlignment="1">
      <alignment horizontal="center" vertical="center" wrapText="1"/>
    </xf>
    <xf numFmtId="3" fontId="22" fillId="39" borderId="43" xfId="58" applyNumberFormat="1" applyFont="1" applyFill="1" applyBorder="1" applyAlignment="1" applyProtection="1">
      <alignment horizontal="center" vertical="center" wrapText="1"/>
      <protection locked="0"/>
    </xf>
    <xf numFmtId="0" fontId="5" fillId="39" borderId="43" xfId="0" applyFont="1" applyFill="1" applyBorder="1" applyAlignment="1">
      <alignment horizontal="center" vertical="center" wrapText="1"/>
    </xf>
    <xf numFmtId="4" fontId="22" fillId="39" borderId="43" xfId="58" applyNumberFormat="1" applyFont="1" applyFill="1" applyBorder="1" applyAlignment="1" applyProtection="1">
      <alignment horizontal="center" vertical="center" wrapText="1"/>
      <protection locked="0"/>
    </xf>
    <xf numFmtId="4" fontId="22" fillId="39" borderId="43" xfId="58" applyNumberFormat="1" applyFont="1" applyFill="1" applyBorder="1" applyAlignment="1">
      <alignment horizontal="center" vertical="center" wrapText="1"/>
    </xf>
    <xf numFmtId="3" fontId="9" fillId="39" borderId="82" xfId="58" applyNumberFormat="1" applyFont="1" applyFill="1" applyBorder="1" applyAlignment="1">
      <alignment horizontal="center" vertical="center" wrapText="1"/>
    </xf>
    <xf numFmtId="0" fontId="9" fillId="39" borderId="83" xfId="0" applyFont="1" applyFill="1" applyBorder="1" applyAlignment="1">
      <alignment horizontal="center" vertical="center" wrapText="1"/>
    </xf>
    <xf numFmtId="3" fontId="22" fillId="39" borderId="46" xfId="58" applyNumberFormat="1" applyFont="1" applyFill="1" applyBorder="1" applyAlignment="1" applyProtection="1">
      <alignment horizontal="center" vertical="center" wrapText="1"/>
      <protection locked="0"/>
    </xf>
    <xf numFmtId="0" fontId="5" fillId="39" borderId="46" xfId="0" applyFont="1" applyFill="1" applyBorder="1" applyAlignment="1">
      <alignment horizontal="center" vertical="center" wrapText="1"/>
    </xf>
    <xf numFmtId="4" fontId="22" fillId="39" borderId="46" xfId="58" applyNumberFormat="1" applyFont="1" applyFill="1" applyBorder="1" applyAlignment="1" applyProtection="1">
      <alignment horizontal="center" vertical="center" wrapText="1"/>
      <protection locked="0"/>
    </xf>
    <xf numFmtId="4" fontId="22" fillId="39" borderId="46" xfId="58" applyNumberFormat="1" applyFont="1" applyFill="1" applyBorder="1" applyAlignment="1">
      <alignment horizontal="center" vertical="center" wrapText="1"/>
    </xf>
    <xf numFmtId="3" fontId="9" fillId="39" borderId="84" xfId="58" applyNumberFormat="1" applyFont="1" applyFill="1" applyBorder="1" applyAlignment="1">
      <alignment horizontal="center" vertical="center" wrapText="1"/>
    </xf>
    <xf numFmtId="0" fontId="9" fillId="39" borderId="15" xfId="0" applyFont="1" applyFill="1" applyBorder="1" applyAlignment="1">
      <alignment horizontal="center" vertical="center" wrapText="1"/>
    </xf>
    <xf numFmtId="4" fontId="5" fillId="39" borderId="24" xfId="58" applyNumberFormat="1" applyFont="1" applyFill="1" applyBorder="1" applyAlignment="1" applyProtection="1">
      <alignment horizontal="center" vertical="center" wrapText="1"/>
      <protection locked="0"/>
    </xf>
    <xf numFmtId="3" fontId="9" fillId="39" borderId="85" xfId="58" applyNumberFormat="1" applyFont="1" applyFill="1" applyBorder="1" applyAlignment="1">
      <alignment horizontal="center" vertical="center" wrapText="1"/>
    </xf>
    <xf numFmtId="3" fontId="9" fillId="39" borderId="86" xfId="58" applyNumberFormat="1" applyFont="1" applyFill="1" applyBorder="1" applyAlignment="1">
      <alignment horizontal="center" vertical="center" wrapText="1"/>
    </xf>
    <xf numFmtId="4" fontId="5" fillId="39" borderId="1" xfId="58" applyNumberFormat="1" applyFont="1" applyFill="1" applyBorder="1" applyAlignment="1" applyProtection="1">
      <alignment horizontal="center" vertical="center" wrapText="1"/>
      <protection locked="0"/>
    </xf>
    <xf numFmtId="3" fontId="9" fillId="39" borderId="87" xfId="58" applyNumberFormat="1" applyFont="1" applyFill="1" applyBorder="1" applyAlignment="1">
      <alignment horizontal="center" vertical="center" wrapText="1"/>
    </xf>
    <xf numFmtId="3" fontId="9" fillId="39" borderId="88" xfId="58" applyNumberFormat="1" applyFont="1" applyFill="1" applyBorder="1" applyAlignment="1">
      <alignment horizontal="center" vertical="center" wrapText="1"/>
    </xf>
    <xf numFmtId="3" fontId="9" fillId="39" borderId="89" xfId="58" applyNumberFormat="1" applyFont="1" applyFill="1" applyBorder="1" applyAlignment="1">
      <alignment horizontal="center" vertical="center" wrapText="1"/>
    </xf>
    <xf numFmtId="4" fontId="5" fillId="39" borderId="18" xfId="58" applyNumberFormat="1" applyFont="1" applyFill="1" applyBorder="1" applyAlignment="1" applyProtection="1">
      <alignment horizontal="center" vertical="center" wrapText="1"/>
      <protection locked="0"/>
    </xf>
    <xf numFmtId="3" fontId="9" fillId="39" borderId="90" xfId="58" applyNumberFormat="1" applyFont="1" applyFill="1" applyBorder="1" applyAlignment="1">
      <alignment horizontal="center" vertical="center" wrapText="1"/>
    </xf>
    <xf numFmtId="3" fontId="9" fillId="39" borderId="91" xfId="58" applyNumberFormat="1" applyFont="1" applyFill="1" applyBorder="1" applyAlignment="1">
      <alignment horizontal="center" vertical="center" wrapText="1"/>
    </xf>
    <xf numFmtId="4" fontId="5" fillId="39" borderId="43" xfId="58" applyNumberFormat="1" applyFont="1" applyFill="1" applyBorder="1" applyAlignment="1" applyProtection="1">
      <alignment horizontal="center" vertical="center" wrapText="1"/>
      <protection locked="0"/>
    </xf>
    <xf numFmtId="4" fontId="22" fillId="0" borderId="43" xfId="0" applyNumberFormat="1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3" fontId="9" fillId="0" borderId="92" xfId="58" applyNumberFormat="1" applyFont="1" applyFill="1" applyBorder="1" applyAlignment="1">
      <alignment horizontal="center" vertical="center" wrapText="1"/>
    </xf>
    <xf numFmtId="3" fontId="9" fillId="0" borderId="24" xfId="58" applyNumberFormat="1" applyFont="1" applyFill="1" applyBorder="1" applyAlignment="1">
      <alignment horizontal="center" vertical="center" wrapText="1"/>
    </xf>
    <xf numFmtId="3" fontId="9" fillId="39" borderId="28" xfId="58" applyNumberFormat="1" applyFont="1" applyFill="1" applyBorder="1" applyAlignment="1">
      <alignment horizontal="center" vertical="center" wrapText="1"/>
    </xf>
    <xf numFmtId="3" fontId="9" fillId="0" borderId="1" xfId="58" applyNumberFormat="1" applyFont="1" applyFill="1" applyBorder="1" applyAlignment="1">
      <alignment horizontal="center" vertical="center" wrapText="1"/>
    </xf>
    <xf numFmtId="3" fontId="9" fillId="39" borderId="30" xfId="58" applyNumberFormat="1" applyFont="1" applyFill="1" applyBorder="1" applyAlignment="1">
      <alignment horizontal="center" vertical="center" wrapText="1"/>
    </xf>
    <xf numFmtId="3" fontId="9" fillId="0" borderId="43" xfId="58" applyNumberFormat="1" applyFont="1" applyFill="1" applyBorder="1" applyAlignment="1">
      <alignment horizontal="center" vertical="center" wrapText="1"/>
    </xf>
    <xf numFmtId="3" fontId="9" fillId="39" borderId="78" xfId="58" applyNumberFormat="1" applyFont="1" applyFill="1" applyBorder="1" applyAlignment="1">
      <alignment horizontal="center" vertical="center" wrapText="1"/>
    </xf>
    <xf numFmtId="0" fontId="22" fillId="0" borderId="93" xfId="0" applyFont="1" applyBorder="1" applyAlignment="1">
      <alignment horizontal="center" vertical="center" wrapText="1"/>
    </xf>
    <xf numFmtId="4" fontId="5" fillId="39" borderId="46" xfId="58" applyNumberFormat="1" applyFont="1" applyFill="1" applyBorder="1" applyAlignment="1" applyProtection="1">
      <alignment horizontal="center" vertical="center" wrapText="1"/>
      <protection locked="0"/>
    </xf>
    <xf numFmtId="0" fontId="22" fillId="0" borderId="46" xfId="0" applyFont="1" applyBorder="1" applyAlignment="1">
      <alignment horizontal="center" vertical="center" wrapText="1"/>
    </xf>
    <xf numFmtId="3" fontId="9" fillId="0" borderId="94" xfId="58" applyNumberFormat="1" applyFont="1" applyFill="1" applyBorder="1" applyAlignment="1">
      <alignment horizontal="center" vertical="center" wrapText="1"/>
    </xf>
    <xf numFmtId="3" fontId="9" fillId="39" borderId="15" xfId="58" applyNumberFormat="1" applyFont="1" applyFill="1" applyBorder="1" applyAlignment="1">
      <alignment horizontal="center" vertical="center" wrapText="1"/>
    </xf>
    <xf numFmtId="4" fontId="9" fillId="25" borderId="59" xfId="58" applyNumberFormat="1" applyFont="1" applyFill="1" applyBorder="1" applyAlignment="1" applyProtection="1">
      <alignment horizontal="center" vertical="center" wrapText="1"/>
      <protection locked="0"/>
    </xf>
    <xf numFmtId="4" fontId="5" fillId="39" borderId="59" xfId="58" applyNumberFormat="1" applyFont="1" applyFill="1" applyBorder="1" applyAlignment="1" applyProtection="1">
      <alignment horizontal="center" vertical="center" wrapText="1"/>
      <protection locked="0"/>
    </xf>
    <xf numFmtId="3" fontId="9" fillId="39" borderId="95" xfId="58" applyNumberFormat="1" applyFont="1" applyFill="1" applyBorder="1" applyAlignment="1">
      <alignment horizontal="center" vertical="center" wrapText="1"/>
    </xf>
    <xf numFmtId="3" fontId="9" fillId="39" borderId="96" xfId="58" applyNumberFormat="1" applyFont="1" applyFill="1" applyBorder="1" applyAlignment="1">
      <alignment horizontal="center" vertical="center" wrapText="1"/>
    </xf>
    <xf numFmtId="4" fontId="9" fillId="25" borderId="1" xfId="58" applyNumberFormat="1" applyFont="1" applyFill="1" applyBorder="1" applyAlignment="1" applyProtection="1">
      <alignment horizontal="center" vertical="center" wrapText="1"/>
      <protection locked="0"/>
    </xf>
    <xf numFmtId="3" fontId="5" fillId="39" borderId="1" xfId="58" applyNumberFormat="1" applyFont="1" applyFill="1" applyBorder="1" applyAlignment="1" applyProtection="1">
      <alignment horizontal="center" vertical="center" wrapText="1"/>
      <protection locked="0"/>
    </xf>
    <xf numFmtId="3" fontId="9" fillId="25" borderId="97" xfId="58" applyNumberFormat="1" applyFont="1" applyFill="1" applyBorder="1" applyAlignment="1">
      <alignment horizontal="center" vertical="center" wrapText="1"/>
    </xf>
    <xf numFmtId="3" fontId="9" fillId="39" borderId="97" xfId="58" applyNumberFormat="1" applyFont="1" applyFill="1" applyBorder="1" applyAlignment="1">
      <alignment horizontal="center" vertical="center" wrapText="1"/>
    </xf>
    <xf numFmtId="3" fontId="9" fillId="39" borderId="1" xfId="58" applyNumberFormat="1" applyFont="1" applyFill="1" applyBorder="1" applyAlignment="1">
      <alignment horizontal="center" vertical="center" wrapText="1"/>
    </xf>
    <xf numFmtId="3" fontId="5" fillId="25" borderId="74" xfId="58" applyNumberFormat="1" applyFont="1" applyFill="1" applyBorder="1" applyAlignment="1" applyProtection="1">
      <alignment horizontal="center" vertical="center" wrapText="1"/>
      <protection locked="0"/>
    </xf>
    <xf numFmtId="3" fontId="9" fillId="39" borderId="43" xfId="58" applyNumberFormat="1" applyFont="1" applyFill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3" fontId="5" fillId="25" borderId="38" xfId="58" applyNumberFormat="1" applyFont="1" applyFill="1" applyBorder="1" applyAlignment="1" applyProtection="1">
      <alignment horizontal="center" vertical="center" wrapText="1"/>
      <protection locked="0"/>
    </xf>
    <xf numFmtId="4" fontId="22" fillId="0" borderId="38" xfId="0" applyNumberFormat="1" applyFont="1" applyBorder="1" applyAlignment="1">
      <alignment horizontal="center" vertical="center" wrapText="1"/>
    </xf>
    <xf numFmtId="3" fontId="9" fillId="39" borderId="38" xfId="58" applyNumberFormat="1" applyFont="1" applyFill="1" applyBorder="1" applyAlignment="1">
      <alignment horizontal="center" vertical="center" wrapText="1"/>
    </xf>
    <xf numFmtId="3" fontId="9" fillId="39" borderId="80" xfId="58" applyNumberFormat="1" applyFont="1" applyFill="1" applyBorder="1" applyAlignment="1">
      <alignment horizontal="center" vertical="center" wrapText="1"/>
    </xf>
    <xf numFmtId="0" fontId="5" fillId="25" borderId="1" xfId="0" applyFont="1" applyFill="1" applyBorder="1" applyAlignment="1">
      <alignment horizontal="center" vertical="center" wrapText="1"/>
    </xf>
    <xf numFmtId="0" fontId="5" fillId="25" borderId="18" xfId="0" applyFont="1" applyFill="1" applyBorder="1" applyAlignment="1">
      <alignment horizontal="center"/>
    </xf>
    <xf numFmtId="0" fontId="80" fillId="0" borderId="43" xfId="133" applyFont="1" applyFill="1" applyBorder="1" applyAlignment="1">
      <alignment horizontal="center" vertical="center" wrapText="1"/>
    </xf>
    <xf numFmtId="0" fontId="80" fillId="0" borderId="59" xfId="133" applyFont="1" applyFill="1" applyBorder="1" applyAlignment="1">
      <alignment horizontal="center" vertical="center" wrapText="1"/>
    </xf>
    <xf numFmtId="0" fontId="22" fillId="0" borderId="82" xfId="133" applyFont="1" applyFill="1" applyBorder="1" applyAlignment="1">
      <alignment horizontal="center" vertical="center" wrapText="1"/>
    </xf>
    <xf numFmtId="0" fontId="80" fillId="0" borderId="1" xfId="132" applyFont="1" applyFill="1" applyBorder="1" applyAlignment="1">
      <alignment horizontal="center" vertical="center"/>
    </xf>
    <xf numFmtId="0" fontId="80" fillId="0" borderId="24" xfId="133" applyFont="1" applyFill="1" applyBorder="1" applyAlignment="1">
      <alignment horizontal="center" vertical="center" wrapText="1"/>
    </xf>
    <xf numFmtId="0" fontId="80" fillId="0" borderId="1" xfId="133" applyFont="1" applyFill="1" applyBorder="1" applyAlignment="1">
      <alignment horizontal="center" vertical="center" wrapText="1"/>
    </xf>
    <xf numFmtId="0" fontId="80" fillId="0" borderId="1" xfId="133" applyFont="1" applyFill="1" applyBorder="1" applyAlignment="1">
      <alignment horizontal="left" vertical="center" wrapText="1"/>
    </xf>
    <xf numFmtId="0" fontId="7" fillId="26" borderId="43" xfId="131" applyFont="1" applyFill="1" applyBorder="1" applyAlignment="1">
      <alignment horizontal="center" vertical="center" wrapText="1"/>
    </xf>
    <xf numFmtId="0" fontId="7" fillId="26" borderId="43" xfId="131" applyFont="1" applyFill="1" applyBorder="1" applyAlignment="1">
      <alignment horizontal="center" vertical="center"/>
    </xf>
    <xf numFmtId="0" fontId="2" fillId="0" borderId="98" xfId="131" applyFont="1" applyFill="1" applyBorder="1" applyAlignment="1">
      <alignment horizontal="center" vertical="center"/>
    </xf>
    <xf numFmtId="0" fontId="7" fillId="26" borderId="43" xfId="103" applyFont="1" applyFill="1" applyBorder="1" applyAlignment="1">
      <alignment horizontal="center" vertical="center"/>
    </xf>
    <xf numFmtId="0" fontId="7" fillId="26" borderId="43" xfId="103" applyFont="1" applyFill="1" applyBorder="1" applyAlignment="1" applyProtection="1">
      <alignment horizontal="center" vertical="center"/>
      <protection locked="0"/>
    </xf>
    <xf numFmtId="0" fontId="7" fillId="26" borderId="82" xfId="103" applyFont="1" applyFill="1" applyBorder="1" applyAlignment="1" applyProtection="1">
      <alignment horizontal="center" vertical="center"/>
      <protection locked="0"/>
    </xf>
    <xf numFmtId="0" fontId="123" fillId="0" borderId="0" xfId="0" applyFont="1" applyFill="1"/>
    <xf numFmtId="0" fontId="133" fillId="0" borderId="62" xfId="0" applyFont="1" applyFill="1" applyBorder="1" applyAlignment="1">
      <alignment vertical="center"/>
    </xf>
    <xf numFmtId="0" fontId="133" fillId="0" borderId="62" xfId="0" applyFont="1" applyFill="1" applyBorder="1" applyAlignment="1">
      <alignment horizontal="center" vertical="center"/>
    </xf>
    <xf numFmtId="3" fontId="22" fillId="0" borderId="59" xfId="132" applyNumberFormat="1" applyFont="1" applyFill="1" applyBorder="1" applyAlignment="1">
      <alignment horizontal="center" vertical="center" wrapText="1"/>
    </xf>
    <xf numFmtId="0" fontId="22" fillId="0" borderId="1" xfId="132" applyNumberFormat="1" applyFont="1" applyFill="1" applyBorder="1" applyAlignment="1">
      <alignment horizontal="center" vertical="center" wrapText="1"/>
    </xf>
    <xf numFmtId="3" fontId="22" fillId="0" borderId="1" xfId="103" applyNumberFormat="1" applyFont="1" applyFill="1" applyBorder="1" applyAlignment="1">
      <alignment horizontal="center" vertical="center" wrapText="1"/>
    </xf>
    <xf numFmtId="3" fontId="22" fillId="0" borderId="18" xfId="103" applyNumberFormat="1" applyFont="1" applyFill="1" applyBorder="1" applyAlignment="1">
      <alignment horizontal="center" vertical="center" wrapText="1"/>
    </xf>
    <xf numFmtId="3" fontId="22" fillId="0" borderId="59" xfId="133" applyNumberFormat="1" applyFont="1" applyFill="1" applyBorder="1" applyAlignment="1">
      <alignment horizontal="center" vertical="center" wrapText="1"/>
    </xf>
    <xf numFmtId="3" fontId="22" fillId="0" borderId="1" xfId="103" applyNumberFormat="1" applyFont="1" applyFill="1" applyBorder="1" applyAlignment="1">
      <alignment horizontal="center" vertical="center"/>
    </xf>
    <xf numFmtId="0" fontId="22" fillId="0" borderId="82" xfId="133" applyFont="1" applyFill="1" applyBorder="1" applyAlignment="1">
      <alignment vertical="center" wrapText="1"/>
    </xf>
    <xf numFmtId="0" fontId="22" fillId="0" borderId="43" xfId="132" applyFont="1" applyFill="1" applyBorder="1" applyAlignment="1">
      <alignment vertical="center" wrapText="1"/>
    </xf>
    <xf numFmtId="0" fontId="22" fillId="0" borderId="82" xfId="132" applyFont="1" applyFill="1" applyBorder="1" applyAlignment="1">
      <alignment horizontal="center" vertical="center" wrapText="1"/>
    </xf>
    <xf numFmtId="0" fontId="22" fillId="0" borderId="74" xfId="132" applyFont="1" applyFill="1" applyBorder="1" applyAlignment="1">
      <alignment vertical="center" wrapText="1"/>
    </xf>
    <xf numFmtId="3" fontId="128" fillId="0" borderId="18" xfId="133" applyNumberFormat="1" applyFont="1" applyFill="1" applyBorder="1" applyAlignment="1">
      <alignment horizontal="center" vertical="center" wrapText="1"/>
    </xf>
    <xf numFmtId="3" fontId="128" fillId="0" borderId="18" xfId="132" applyNumberFormat="1" applyFont="1" applyFill="1" applyBorder="1" applyAlignment="1">
      <alignment horizontal="center" vertical="center"/>
    </xf>
    <xf numFmtId="0" fontId="22" fillId="0" borderId="82" xfId="132" applyFont="1" applyFill="1" applyBorder="1" applyAlignment="1">
      <alignment horizontal="center" vertical="center"/>
    </xf>
    <xf numFmtId="0" fontId="22" fillId="0" borderId="82" xfId="132" applyFont="1" applyFill="1" applyBorder="1" applyAlignment="1">
      <alignment horizontal="left" vertical="center" wrapText="1"/>
    </xf>
    <xf numFmtId="3" fontId="128" fillId="0" borderId="17" xfId="132" applyNumberFormat="1" applyFont="1" applyFill="1" applyBorder="1" applyAlignment="1">
      <alignment horizontal="center" vertical="center" wrapText="1"/>
    </xf>
    <xf numFmtId="0" fontId="7" fillId="26" borderId="59" xfId="131" applyFont="1" applyFill="1" applyBorder="1" applyAlignment="1">
      <alignment horizontal="center" vertical="center" wrapText="1"/>
    </xf>
    <xf numFmtId="0" fontId="7" fillId="38" borderId="1" xfId="131" applyFont="1" applyFill="1" applyBorder="1" applyAlignment="1">
      <alignment horizontal="center" vertical="center" wrapText="1"/>
    </xf>
    <xf numFmtId="0" fontId="7" fillId="26" borderId="1" xfId="131" applyFont="1" applyFill="1" applyBorder="1" applyAlignment="1">
      <alignment horizontal="center" vertical="center"/>
    </xf>
    <xf numFmtId="3" fontId="7" fillId="38" borderId="1" xfId="131" applyNumberFormat="1" applyFont="1" applyFill="1" applyBorder="1" applyAlignment="1">
      <alignment horizontal="center" vertical="center"/>
    </xf>
    <xf numFmtId="1" fontId="7" fillId="38" borderId="1" xfId="127" applyNumberFormat="1" applyFont="1" applyFill="1" applyBorder="1" applyAlignment="1">
      <alignment horizontal="center" vertical="center"/>
    </xf>
    <xf numFmtId="0" fontId="2" fillId="0" borderId="1" xfId="127" applyNumberFormat="1" applyFont="1" applyFill="1" applyBorder="1" applyAlignment="1">
      <alignment horizontal="center" vertical="center"/>
    </xf>
    <xf numFmtId="0" fontId="2" fillId="0" borderId="1" xfId="131" applyFont="1" applyFill="1" applyBorder="1" applyAlignment="1">
      <alignment horizontal="center" vertical="center"/>
    </xf>
    <xf numFmtId="0" fontId="7" fillId="26" borderId="59" xfId="131" applyFont="1" applyFill="1" applyBorder="1" applyAlignment="1">
      <alignment horizontal="center" vertical="center"/>
    </xf>
    <xf numFmtId="0" fontId="7" fillId="38" borderId="1" xfId="131" applyFont="1" applyFill="1" applyBorder="1" applyAlignment="1">
      <alignment horizontal="center" vertical="center"/>
    </xf>
    <xf numFmtId="173" fontId="2" fillId="0" borderId="58" xfId="131" applyNumberFormat="1" applyFont="1" applyFill="1" applyBorder="1" applyAlignment="1">
      <alignment horizontal="center" vertical="center" wrapText="1"/>
    </xf>
    <xf numFmtId="0" fontId="7" fillId="26" borderId="39" xfId="131" applyFont="1" applyFill="1" applyBorder="1" applyAlignment="1">
      <alignment horizontal="center" vertical="center" wrapText="1"/>
    </xf>
    <xf numFmtId="0" fontId="7" fillId="26" borderId="65" xfId="131" applyFont="1" applyFill="1" applyBorder="1" applyAlignment="1">
      <alignment horizontal="center" vertical="center"/>
    </xf>
    <xf numFmtId="1" fontId="2" fillId="0" borderId="62" xfId="80" applyNumberFormat="1" applyFont="1" applyFill="1" applyBorder="1" applyAlignment="1" applyProtection="1">
      <alignment horizontal="right" vertical="center" wrapText="1"/>
    </xf>
    <xf numFmtId="0" fontId="134" fillId="46" borderId="65" xfId="131" applyFont="1" applyFill="1" applyBorder="1" applyAlignment="1">
      <alignment horizontal="center" vertical="center"/>
    </xf>
    <xf numFmtId="0" fontId="7" fillId="51" borderId="1" xfId="131" applyFont="1" applyFill="1" applyBorder="1" applyAlignment="1">
      <alignment horizontal="center" vertical="center"/>
    </xf>
    <xf numFmtId="0" fontId="7" fillId="51" borderId="65" xfId="131" applyFont="1" applyFill="1" applyBorder="1" applyAlignment="1">
      <alignment horizontal="center" vertical="center"/>
    </xf>
    <xf numFmtId="0" fontId="2" fillId="0" borderId="43" xfId="131" applyFont="1" applyFill="1" applyBorder="1" applyAlignment="1">
      <alignment horizontal="center" vertical="center"/>
    </xf>
    <xf numFmtId="173" fontId="2" fillId="0" borderId="43" xfId="131" applyNumberFormat="1" applyFont="1" applyFill="1" applyBorder="1" applyAlignment="1">
      <alignment horizontal="center" vertical="center" wrapText="1"/>
    </xf>
    <xf numFmtId="0" fontId="7" fillId="51" borderId="1" xfId="127" applyNumberFormat="1" applyFont="1" applyFill="1" applyBorder="1" applyAlignment="1">
      <alignment horizontal="center" vertical="center"/>
    </xf>
    <xf numFmtId="173" fontId="2" fillId="0" borderId="1" xfId="131" applyNumberFormat="1" applyFont="1" applyFill="1" applyBorder="1" applyAlignment="1">
      <alignment horizontal="center" vertical="center"/>
    </xf>
    <xf numFmtId="0" fontId="2" fillId="51" borderId="65" xfId="131" applyFont="1" applyFill="1" applyBorder="1" applyAlignment="1">
      <alignment horizontal="center" vertical="center"/>
    </xf>
    <xf numFmtId="0" fontId="2" fillId="51" borderId="1" xfId="131" applyFont="1" applyFill="1" applyBorder="1" applyAlignment="1">
      <alignment horizontal="center" vertical="center"/>
    </xf>
    <xf numFmtId="3" fontId="2" fillId="0" borderId="1" xfId="131" applyNumberFormat="1" applyFont="1" applyFill="1" applyBorder="1" applyAlignment="1">
      <alignment horizontal="center" vertical="center"/>
    </xf>
    <xf numFmtId="0" fontId="12" fillId="0" borderId="0" xfId="103" applyFont="1" applyProtection="1">
      <protection locked="0"/>
    </xf>
    <xf numFmtId="1" fontId="7" fillId="0" borderId="0" xfId="126" applyNumberFormat="1" applyFont="1" applyFill="1" applyBorder="1" applyAlignment="1" applyProtection="1">
      <alignment horizontal="center" vertical="center" wrapText="1"/>
      <protection locked="0"/>
    </xf>
    <xf numFmtId="0" fontId="7" fillId="26" borderId="58" xfId="131" applyFont="1" applyFill="1" applyBorder="1" applyAlignment="1" applyProtection="1">
      <alignment horizontal="center" vertical="center" wrapText="1"/>
      <protection locked="0"/>
    </xf>
    <xf numFmtId="0" fontId="7" fillId="38" borderId="66" xfId="103" applyFont="1" applyFill="1" applyBorder="1" applyAlignment="1" applyProtection="1">
      <protection locked="0"/>
    </xf>
    <xf numFmtId="0" fontId="2" fillId="38" borderId="66" xfId="103" applyFont="1" applyFill="1" applyBorder="1" applyAlignment="1" applyProtection="1">
      <alignment horizontal="center"/>
      <protection locked="0"/>
    </xf>
    <xf numFmtId="0" fontId="2" fillId="38" borderId="66" xfId="103" applyNumberFormat="1" applyFont="1" applyFill="1" applyBorder="1" applyAlignment="1" applyProtection="1">
      <alignment horizontal="center"/>
      <protection locked="0"/>
    </xf>
    <xf numFmtId="0" fontId="2" fillId="38" borderId="99" xfId="103" applyNumberFormat="1" applyFont="1" applyFill="1" applyBorder="1" applyAlignment="1" applyProtection="1">
      <alignment horizontal="center"/>
      <protection locked="0"/>
    </xf>
    <xf numFmtId="0" fontId="7" fillId="38" borderId="99" xfId="103" applyNumberFormat="1" applyFont="1" applyFill="1" applyBorder="1" applyAlignment="1" applyProtection="1">
      <alignment horizontal="center"/>
      <protection locked="0"/>
    </xf>
    <xf numFmtId="0" fontId="7" fillId="0" borderId="61" xfId="103" applyFont="1" applyFill="1" applyBorder="1" applyAlignment="1" applyProtection="1">
      <protection locked="0"/>
    </xf>
    <xf numFmtId="0" fontId="2" fillId="0" borderId="61" xfId="103" applyFont="1" applyFill="1" applyBorder="1" applyAlignment="1" applyProtection="1">
      <alignment horizontal="center"/>
      <protection locked="0"/>
    </xf>
    <xf numFmtId="0" fontId="2" fillId="0" borderId="61" xfId="103" applyNumberFormat="1" applyFont="1" applyFill="1" applyBorder="1" applyAlignment="1" applyProtection="1">
      <alignment horizontal="center"/>
      <protection locked="0"/>
    </xf>
    <xf numFmtId="0" fontId="7" fillId="0" borderId="61" xfId="103" applyNumberFormat="1" applyFont="1" applyFill="1" applyBorder="1" applyAlignment="1" applyProtection="1">
      <alignment horizontal="center"/>
      <protection locked="0"/>
    </xf>
    <xf numFmtId="0" fontId="7" fillId="38" borderId="61" xfId="103" applyFont="1" applyFill="1" applyBorder="1" applyAlignment="1" applyProtection="1">
      <protection locked="0"/>
    </xf>
    <xf numFmtId="0" fontId="2" fillId="38" borderId="61" xfId="103" applyFont="1" applyFill="1" applyBorder="1" applyAlignment="1" applyProtection="1">
      <alignment horizontal="center"/>
      <protection locked="0"/>
    </xf>
    <xf numFmtId="0" fontId="2" fillId="38" borderId="61" xfId="103" applyNumberFormat="1" applyFont="1" applyFill="1" applyBorder="1" applyAlignment="1" applyProtection="1">
      <alignment horizontal="center"/>
      <protection locked="0"/>
    </xf>
    <xf numFmtId="0" fontId="7" fillId="38" borderId="61" xfId="103" applyNumberFormat="1" applyFont="1" applyFill="1" applyBorder="1" applyAlignment="1" applyProtection="1">
      <alignment horizontal="center"/>
      <protection locked="0"/>
    </xf>
    <xf numFmtId="0" fontId="2" fillId="38" borderId="67" xfId="103" applyFont="1" applyFill="1" applyBorder="1" applyAlignment="1" applyProtection="1">
      <alignment horizontal="center"/>
      <protection locked="0"/>
    </xf>
    <xf numFmtId="0" fontId="2" fillId="0" borderId="67" xfId="103" applyFont="1" applyFill="1" applyBorder="1" applyAlignment="1" applyProtection="1">
      <alignment horizontal="center"/>
      <protection locked="0"/>
    </xf>
    <xf numFmtId="0" fontId="7" fillId="0" borderId="100" xfId="103" applyFont="1" applyFill="1" applyBorder="1" applyAlignment="1" applyProtection="1">
      <protection locked="0"/>
    </xf>
    <xf numFmtId="1" fontId="2" fillId="0" borderId="61" xfId="103" applyNumberFormat="1" applyFont="1" applyFill="1" applyBorder="1" applyAlignment="1" applyProtection="1">
      <alignment horizontal="center"/>
      <protection locked="0"/>
    </xf>
    <xf numFmtId="1" fontId="7" fillId="0" borderId="61" xfId="103" applyNumberFormat="1" applyFont="1" applyFill="1" applyBorder="1" applyAlignment="1" applyProtection="1">
      <alignment horizontal="center"/>
      <protection locked="0"/>
    </xf>
    <xf numFmtId="0" fontId="7" fillId="0" borderId="61" xfId="103" applyFont="1" applyFill="1" applyBorder="1" applyAlignment="1" applyProtection="1">
      <alignment horizontal="center"/>
      <protection locked="0"/>
    </xf>
    <xf numFmtId="0" fontId="7" fillId="0" borderId="1" xfId="103" applyNumberFormat="1" applyFont="1" applyFill="1" applyBorder="1" applyAlignment="1" applyProtection="1">
      <alignment horizontal="center"/>
      <protection locked="0"/>
    </xf>
    <xf numFmtId="0" fontId="7" fillId="0" borderId="60" xfId="103" applyFont="1" applyFill="1" applyBorder="1" applyAlignment="1" applyProtection="1">
      <protection locked="0"/>
    </xf>
    <xf numFmtId="0" fontId="2" fillId="0" borderId="60" xfId="103" applyFont="1" applyFill="1" applyBorder="1" applyAlignment="1" applyProtection="1">
      <alignment horizontal="center"/>
      <protection locked="0"/>
    </xf>
    <xf numFmtId="0" fontId="2" fillId="0" borderId="60" xfId="103" applyNumberFormat="1" applyFont="1" applyFill="1" applyBorder="1" applyAlignment="1" applyProtection="1">
      <alignment horizontal="center"/>
      <protection locked="0"/>
    </xf>
    <xf numFmtId="0" fontId="7" fillId="0" borderId="60" xfId="103" applyNumberFormat="1" applyFont="1" applyFill="1" applyBorder="1" applyAlignment="1" applyProtection="1">
      <alignment horizontal="center"/>
      <protection locked="0"/>
    </xf>
    <xf numFmtId="176" fontId="2" fillId="0" borderId="60" xfId="103" applyNumberFormat="1" applyFont="1" applyFill="1" applyBorder="1" applyAlignment="1" applyProtection="1">
      <alignment horizontal="center"/>
      <protection locked="0"/>
    </xf>
    <xf numFmtId="0" fontId="7" fillId="0" borderId="63" xfId="103" applyFont="1" applyFill="1" applyBorder="1" applyAlignment="1" applyProtection="1">
      <protection locked="0"/>
    </xf>
    <xf numFmtId="0" fontId="2" fillId="0" borderId="63" xfId="103" applyFont="1" applyFill="1" applyBorder="1" applyAlignment="1" applyProtection="1">
      <alignment horizontal="center"/>
      <protection locked="0"/>
    </xf>
    <xf numFmtId="0" fontId="2" fillId="0" borderId="63" xfId="103" applyNumberFormat="1" applyFont="1" applyFill="1" applyBorder="1" applyAlignment="1" applyProtection="1">
      <alignment horizontal="center"/>
      <protection locked="0"/>
    </xf>
    <xf numFmtId="0" fontId="7" fillId="0" borderId="63" xfId="103" applyNumberFormat="1" applyFont="1" applyFill="1" applyBorder="1" applyAlignment="1" applyProtection="1">
      <alignment horizontal="center"/>
      <protection locked="0"/>
    </xf>
    <xf numFmtId="176" fontId="2" fillId="0" borderId="63" xfId="103" applyNumberFormat="1" applyFont="1" applyFill="1" applyBorder="1" applyAlignment="1" applyProtection="1">
      <alignment horizontal="center"/>
      <protection locked="0"/>
    </xf>
    <xf numFmtId="0" fontId="7" fillId="0" borderId="69" xfId="103" applyFont="1" applyFill="1" applyBorder="1" applyAlignment="1" applyProtection="1">
      <protection locked="0"/>
    </xf>
    <xf numFmtId="0" fontId="2" fillId="38" borderId="67" xfId="103" applyNumberFormat="1" applyFont="1" applyFill="1" applyBorder="1" applyAlignment="1" applyProtection="1">
      <alignment horizontal="center"/>
      <protection locked="0"/>
    </xf>
    <xf numFmtId="0" fontId="7" fillId="38" borderId="67" xfId="103" applyNumberFormat="1" applyFont="1" applyFill="1" applyBorder="1" applyAlignment="1" applyProtection="1">
      <alignment horizontal="center"/>
      <protection locked="0"/>
    </xf>
    <xf numFmtId="0" fontId="7" fillId="0" borderId="82" xfId="103" applyFont="1" applyFill="1" applyBorder="1" applyAlignment="1" applyProtection="1">
      <protection locked="0"/>
    </xf>
    <xf numFmtId="0" fontId="7" fillId="0" borderId="59" xfId="103" applyFont="1" applyFill="1" applyBorder="1" applyAlignment="1" applyProtection="1">
      <protection locked="0"/>
    </xf>
    <xf numFmtId="0" fontId="2" fillId="0" borderId="59" xfId="103" applyFont="1" applyFill="1" applyBorder="1" applyAlignment="1" applyProtection="1">
      <alignment horizontal="center"/>
      <protection locked="0"/>
    </xf>
    <xf numFmtId="0" fontId="2" fillId="0" borderId="59" xfId="103" applyNumberFormat="1" applyFont="1" applyFill="1" applyBorder="1" applyAlignment="1" applyProtection="1">
      <alignment horizontal="center"/>
      <protection locked="0"/>
    </xf>
    <xf numFmtId="0" fontId="2" fillId="0" borderId="77" xfId="103" applyNumberFormat="1" applyFont="1" applyFill="1" applyBorder="1" applyAlignment="1" applyProtection="1">
      <alignment horizontal="center"/>
      <protection locked="0"/>
    </xf>
    <xf numFmtId="0" fontId="7" fillId="0" borderId="69" xfId="103" applyNumberFormat="1" applyFont="1" applyFill="1" applyBorder="1" applyAlignment="1" applyProtection="1">
      <alignment horizontal="center"/>
      <protection locked="0"/>
    </xf>
    <xf numFmtId="0" fontId="7" fillId="38" borderId="58" xfId="103" applyNumberFormat="1" applyFont="1" applyFill="1" applyBorder="1" applyAlignment="1" applyProtection="1">
      <alignment horizontal="center"/>
      <protection locked="0"/>
    </xf>
    <xf numFmtId="0" fontId="7" fillId="0" borderId="58" xfId="103" applyNumberFormat="1" applyFont="1" applyFill="1" applyBorder="1" applyAlignment="1" applyProtection="1">
      <alignment horizontal="center"/>
      <protection locked="0"/>
    </xf>
    <xf numFmtId="0" fontId="2" fillId="0" borderId="43" xfId="103" applyFont="1" applyFill="1" applyBorder="1" applyAlignment="1" applyProtection="1">
      <alignment horizontal="center"/>
      <protection locked="0"/>
    </xf>
    <xf numFmtId="0" fontId="2" fillId="0" borderId="43" xfId="103" applyNumberFormat="1" applyFont="1" applyFill="1" applyBorder="1" applyAlignment="1" applyProtection="1">
      <alignment horizontal="center"/>
      <protection locked="0"/>
    </xf>
    <xf numFmtId="1" fontId="2" fillId="0" borderId="43" xfId="103" applyNumberFormat="1" applyFont="1" applyFill="1" applyBorder="1" applyAlignment="1" applyProtection="1">
      <alignment horizontal="center"/>
      <protection locked="0"/>
    </xf>
    <xf numFmtId="1" fontId="2" fillId="0" borderId="59" xfId="103" applyNumberFormat="1" applyFont="1" applyFill="1" applyBorder="1" applyAlignment="1" applyProtection="1">
      <alignment horizontal="center"/>
      <protection locked="0"/>
    </xf>
    <xf numFmtId="0" fontId="2" fillId="38" borderId="74" xfId="103" applyFont="1" applyFill="1" applyBorder="1" applyAlignment="1" applyProtection="1">
      <alignment horizontal="center"/>
      <protection locked="0"/>
    </xf>
    <xf numFmtId="0" fontId="7" fillId="38" borderId="66" xfId="103" applyNumberFormat="1" applyFont="1" applyFill="1" applyBorder="1" applyAlignment="1" applyProtection="1">
      <alignment horizontal="center"/>
      <protection locked="0"/>
    </xf>
    <xf numFmtId="0" fontId="7" fillId="0" borderId="66" xfId="103" applyFont="1" applyFill="1" applyBorder="1" applyAlignment="1" applyProtection="1">
      <protection locked="0"/>
    </xf>
    <xf numFmtId="0" fontId="2" fillId="0" borderId="66" xfId="103" applyFont="1" applyFill="1" applyBorder="1" applyAlignment="1" applyProtection="1">
      <alignment horizontal="center"/>
      <protection locked="0"/>
    </xf>
    <xf numFmtId="0" fontId="2" fillId="0" borderId="66" xfId="103" applyNumberFormat="1" applyFont="1" applyFill="1" applyBorder="1" applyAlignment="1" applyProtection="1">
      <alignment horizontal="center"/>
      <protection locked="0"/>
    </xf>
    <xf numFmtId="0" fontId="2" fillId="0" borderId="99" xfId="103" applyNumberFormat="1" applyFont="1" applyFill="1" applyBorder="1" applyAlignment="1" applyProtection="1">
      <alignment horizontal="center"/>
      <protection locked="0"/>
    </xf>
    <xf numFmtId="0" fontId="7" fillId="0" borderId="99" xfId="103" applyNumberFormat="1" applyFont="1" applyFill="1" applyBorder="1" applyAlignment="1" applyProtection="1">
      <alignment horizontal="center"/>
      <protection locked="0"/>
    </xf>
    <xf numFmtId="1" fontId="2" fillId="0" borderId="63" xfId="103" applyNumberFormat="1" applyFont="1" applyFill="1" applyBorder="1" applyAlignment="1" applyProtection="1">
      <alignment horizontal="center"/>
      <protection locked="0"/>
    </xf>
    <xf numFmtId="0" fontId="12" fillId="0" borderId="0" xfId="103" applyFont="1"/>
    <xf numFmtId="14" fontId="2" fillId="0" borderId="62" xfId="103" applyNumberFormat="1" applyFont="1" applyBorder="1" applyAlignment="1" applyProtection="1">
      <protection locked="0"/>
    </xf>
    <xf numFmtId="0" fontId="2" fillId="0" borderId="59" xfId="103" applyNumberFormat="1" applyFont="1" applyBorder="1" applyAlignment="1">
      <alignment horizontal="center"/>
    </xf>
    <xf numFmtId="0" fontId="7" fillId="0" borderId="59" xfId="103" applyNumberFormat="1" applyFont="1" applyFill="1" applyBorder="1" applyAlignment="1">
      <alignment horizontal="center"/>
    </xf>
    <xf numFmtId="0" fontId="2" fillId="0" borderId="77" xfId="103" applyNumberFormat="1" applyFont="1" applyFill="1" applyBorder="1" applyAlignment="1">
      <alignment horizontal="center"/>
    </xf>
    <xf numFmtId="1" fontId="2" fillId="0" borderId="59" xfId="103" applyNumberFormat="1" applyFont="1" applyFill="1" applyBorder="1" applyAlignment="1">
      <alignment horizontal="center"/>
    </xf>
    <xf numFmtId="0" fontId="7" fillId="26" borderId="1" xfId="103" applyNumberFormat="1" applyFont="1" applyFill="1" applyBorder="1" applyAlignment="1">
      <alignment horizontal="center"/>
    </xf>
    <xf numFmtId="0" fontId="2" fillId="26" borderId="58" xfId="103" applyNumberFormat="1" applyFont="1" applyFill="1" applyBorder="1" applyAlignment="1">
      <alignment horizontal="center"/>
    </xf>
    <xf numFmtId="0" fontId="2" fillId="0" borderId="60" xfId="103" applyNumberFormat="1" applyFont="1" applyBorder="1" applyAlignment="1">
      <alignment horizontal="center"/>
    </xf>
    <xf numFmtId="0" fontId="7" fillId="0" borderId="60" xfId="103" applyNumberFormat="1" applyFont="1" applyFill="1" applyBorder="1" applyAlignment="1">
      <alignment horizontal="center"/>
    </xf>
    <xf numFmtId="0" fontId="2" fillId="0" borderId="101" xfId="103" applyNumberFormat="1" applyFont="1" applyFill="1" applyBorder="1" applyAlignment="1">
      <alignment horizontal="center"/>
    </xf>
    <xf numFmtId="1" fontId="2" fillId="0" borderId="60" xfId="103" applyNumberFormat="1" applyFont="1" applyFill="1" applyBorder="1" applyAlignment="1">
      <alignment horizontal="center"/>
    </xf>
    <xf numFmtId="0" fontId="7" fillId="26" borderId="61" xfId="103" applyNumberFormat="1" applyFont="1" applyFill="1" applyBorder="1" applyAlignment="1">
      <alignment horizontal="center"/>
    </xf>
    <xf numFmtId="0" fontId="2" fillId="26" borderId="100" xfId="103" applyNumberFormat="1" applyFont="1" applyFill="1" applyBorder="1" applyAlignment="1">
      <alignment horizontal="center"/>
    </xf>
    <xf numFmtId="0" fontId="2" fillId="0" borderId="61" xfId="103" applyNumberFormat="1" applyFont="1" applyBorder="1" applyAlignment="1">
      <alignment horizontal="center"/>
    </xf>
    <xf numFmtId="0" fontId="7" fillId="0" borderId="61" xfId="103" applyNumberFormat="1" applyFont="1" applyFill="1" applyBorder="1" applyAlignment="1">
      <alignment horizontal="center"/>
    </xf>
    <xf numFmtId="0" fontId="2" fillId="0" borderId="100" xfId="103" applyNumberFormat="1" applyFont="1" applyFill="1" applyBorder="1" applyAlignment="1">
      <alignment horizontal="center"/>
    </xf>
    <xf numFmtId="1" fontId="2" fillId="0" borderId="61" xfId="103" applyNumberFormat="1" applyFont="1" applyFill="1" applyBorder="1" applyAlignment="1">
      <alignment horizontal="center"/>
    </xf>
    <xf numFmtId="0" fontId="7" fillId="26" borderId="63" xfId="103" applyNumberFormat="1" applyFont="1" applyFill="1" applyBorder="1" applyAlignment="1">
      <alignment horizontal="center"/>
    </xf>
    <xf numFmtId="0" fontId="2" fillId="26" borderId="69" xfId="103" applyNumberFormat="1" applyFont="1" applyFill="1" applyBorder="1" applyAlignment="1">
      <alignment horizontal="center"/>
    </xf>
    <xf numFmtId="0" fontId="2" fillId="0" borderId="1" xfId="103" applyNumberFormat="1" applyFont="1" applyBorder="1" applyAlignment="1">
      <alignment horizontal="center"/>
    </xf>
    <xf numFmtId="0" fontId="7" fillId="0" borderId="1" xfId="103" applyNumberFormat="1" applyFont="1" applyFill="1" applyBorder="1" applyAlignment="1">
      <alignment horizontal="center"/>
    </xf>
    <xf numFmtId="0" fontId="2" fillId="0" borderId="58" xfId="103" applyNumberFormat="1" applyFont="1" applyFill="1" applyBorder="1" applyAlignment="1">
      <alignment horizontal="center"/>
    </xf>
    <xf numFmtId="1" fontId="2" fillId="0" borderId="1" xfId="103" applyNumberFormat="1" applyFont="1" applyFill="1" applyBorder="1" applyAlignment="1">
      <alignment horizontal="center"/>
    </xf>
    <xf numFmtId="0" fontId="2" fillId="26" borderId="60" xfId="103" applyNumberFormat="1" applyFont="1" applyFill="1" applyBorder="1" applyAlignment="1">
      <alignment horizontal="center"/>
    </xf>
    <xf numFmtId="0" fontId="7" fillId="26" borderId="60" xfId="103" applyNumberFormat="1" applyFont="1" applyFill="1" applyBorder="1" applyAlignment="1">
      <alignment horizontal="center"/>
    </xf>
    <xf numFmtId="0" fontId="2" fillId="26" borderId="101" xfId="103" applyNumberFormat="1" applyFont="1" applyFill="1" applyBorder="1" applyAlignment="1">
      <alignment horizontal="center"/>
    </xf>
    <xf numFmtId="0" fontId="2" fillId="26" borderId="66" xfId="103" applyNumberFormat="1" applyFont="1" applyFill="1" applyBorder="1" applyAlignment="1">
      <alignment horizontal="center"/>
    </xf>
    <xf numFmtId="0" fontId="7" fillId="26" borderId="66" xfId="103" applyNumberFormat="1" applyFont="1" applyFill="1" applyBorder="1" applyAlignment="1">
      <alignment horizontal="center"/>
    </xf>
    <xf numFmtId="0" fontId="2" fillId="26" borderId="99" xfId="103" applyNumberFormat="1" applyFont="1" applyFill="1" applyBorder="1" applyAlignment="1">
      <alignment horizontal="center"/>
    </xf>
    <xf numFmtId="1" fontId="2" fillId="26" borderId="66" xfId="103" applyNumberFormat="1" applyFont="1" applyFill="1" applyBorder="1" applyAlignment="1">
      <alignment horizontal="center"/>
    </xf>
    <xf numFmtId="0" fontId="2" fillId="0" borderId="63" xfId="103" applyNumberFormat="1" applyFont="1" applyBorder="1" applyAlignment="1">
      <alignment horizontal="center"/>
    </xf>
    <xf numFmtId="0" fontId="2" fillId="0" borderId="63" xfId="103" applyNumberFormat="1" applyFont="1" applyFill="1" applyBorder="1" applyAlignment="1">
      <alignment horizontal="center"/>
    </xf>
    <xf numFmtId="0" fontId="7" fillId="0" borderId="63" xfId="103" applyNumberFormat="1" applyFont="1" applyFill="1" applyBorder="1" applyAlignment="1">
      <alignment horizontal="center"/>
    </xf>
    <xf numFmtId="0" fontId="2" fillId="0" borderId="69" xfId="103" applyNumberFormat="1" applyFont="1" applyFill="1" applyBorder="1" applyAlignment="1">
      <alignment horizontal="center"/>
    </xf>
    <xf numFmtId="1" fontId="2" fillId="0" borderId="63" xfId="103" applyNumberFormat="1" applyFont="1" applyFill="1" applyBorder="1" applyAlignment="1">
      <alignment horizontal="center"/>
    </xf>
    <xf numFmtId="0" fontId="7" fillId="0" borderId="61" xfId="103" applyNumberFormat="1" applyFont="1" applyBorder="1" applyAlignment="1">
      <alignment horizontal="center"/>
    </xf>
    <xf numFmtId="0" fontId="2" fillId="0" borderId="100" xfId="103" applyNumberFormat="1" applyFont="1" applyBorder="1" applyAlignment="1">
      <alignment horizontal="center"/>
    </xf>
    <xf numFmtId="0" fontId="2" fillId="0" borderId="67" xfId="103" applyNumberFormat="1" applyFont="1" applyBorder="1" applyAlignment="1">
      <alignment horizontal="center"/>
    </xf>
    <xf numFmtId="0" fontId="7" fillId="0" borderId="67" xfId="103" applyNumberFormat="1" applyFont="1" applyBorder="1" applyAlignment="1">
      <alignment horizontal="center"/>
    </xf>
    <xf numFmtId="0" fontId="2" fillId="0" borderId="102" xfId="103" applyNumberFormat="1" applyFont="1" applyBorder="1" applyAlignment="1">
      <alignment horizontal="center"/>
    </xf>
    <xf numFmtId="1" fontId="7" fillId="0" borderId="59" xfId="103" applyNumberFormat="1" applyFont="1" applyFill="1" applyBorder="1" applyAlignment="1">
      <alignment horizontal="center"/>
    </xf>
    <xf numFmtId="1" fontId="7" fillId="26" borderId="1" xfId="103" applyNumberFormat="1" applyFont="1" applyFill="1" applyBorder="1" applyAlignment="1">
      <alignment horizontal="center"/>
    </xf>
    <xf numFmtId="1" fontId="7" fillId="0" borderId="60" xfId="103" applyNumberFormat="1" applyFont="1" applyFill="1" applyBorder="1" applyAlignment="1">
      <alignment horizontal="center"/>
    </xf>
    <xf numFmtId="1" fontId="7" fillId="26" borderId="63" xfId="103" applyNumberFormat="1" applyFont="1" applyFill="1" applyBorder="1" applyAlignment="1">
      <alignment horizontal="center"/>
    </xf>
    <xf numFmtId="1" fontId="7" fillId="26" borderId="61" xfId="103" applyNumberFormat="1" applyFont="1" applyFill="1" applyBorder="1" applyAlignment="1">
      <alignment horizontal="center"/>
    </xf>
    <xf numFmtId="1" fontId="7" fillId="0" borderId="61" xfId="103" applyNumberFormat="1" applyFont="1" applyFill="1" applyBorder="1" applyAlignment="1">
      <alignment horizontal="center"/>
    </xf>
    <xf numFmtId="0" fontId="7" fillId="26" borderId="59" xfId="103" applyNumberFormat="1" applyFont="1" applyFill="1" applyBorder="1" applyAlignment="1">
      <alignment horizontal="center"/>
    </xf>
    <xf numFmtId="0" fontId="7" fillId="0" borderId="1" xfId="103" applyFont="1" applyBorder="1" applyAlignment="1"/>
    <xf numFmtId="0" fontId="2" fillId="0" borderId="1" xfId="103" applyFont="1" applyBorder="1" applyAlignment="1">
      <alignment horizontal="center" wrapText="1"/>
    </xf>
    <xf numFmtId="0" fontId="2" fillId="0" borderId="1" xfId="103" applyFont="1" applyBorder="1" applyAlignment="1">
      <alignment horizontal="center"/>
    </xf>
    <xf numFmtId="0" fontId="79" fillId="0" borderId="58" xfId="132" applyFont="1" applyFill="1" applyBorder="1" applyAlignment="1">
      <alignment horizontal="center" vertical="center" wrapText="1"/>
    </xf>
    <xf numFmtId="14" fontId="2" fillId="0" borderId="0" xfId="131" applyNumberFormat="1" applyFont="1" applyAlignment="1">
      <alignment horizontal="left" vertical="center"/>
    </xf>
    <xf numFmtId="0" fontId="7" fillId="46" borderId="1" xfId="131" applyFont="1" applyFill="1" applyBorder="1" applyAlignment="1">
      <alignment horizontal="center" vertical="center" wrapText="1"/>
    </xf>
    <xf numFmtId="0" fontId="7" fillId="46" borderId="65" xfId="131" applyFont="1" applyFill="1" applyBorder="1" applyAlignment="1">
      <alignment horizontal="center" vertical="center"/>
    </xf>
    <xf numFmtId="0" fontId="7" fillId="0" borderId="43" xfId="80" applyFont="1" applyFill="1" applyBorder="1" applyAlignment="1" applyProtection="1">
      <alignment vertical="center"/>
    </xf>
    <xf numFmtId="0" fontId="2" fillId="0" borderId="1" xfId="80" applyFont="1" applyFill="1" applyBorder="1" applyAlignment="1" applyProtection="1">
      <alignment horizontal="center" vertical="center"/>
    </xf>
    <xf numFmtId="173" fontId="2" fillId="0" borderId="1" xfId="80" applyNumberFormat="1" applyFont="1" applyFill="1" applyBorder="1" applyAlignment="1" applyProtection="1">
      <alignment horizontal="center" vertical="center" wrapText="1"/>
    </xf>
    <xf numFmtId="0" fontId="0" fillId="0" borderId="35" xfId="0" applyBorder="1" applyAlignment="1">
      <alignment vertical="center"/>
    </xf>
    <xf numFmtId="0" fontId="0" fillId="0" borderId="16" xfId="0" applyBorder="1" applyAlignment="1">
      <alignment vertical="center"/>
    </xf>
    <xf numFmtId="6" fontId="0" fillId="0" borderId="34" xfId="0" applyNumberFormat="1" applyBorder="1" applyAlignment="1">
      <alignment horizontal="center" vertical="justify"/>
    </xf>
    <xf numFmtId="0" fontId="0" fillId="0" borderId="36" xfId="0" applyBorder="1" applyAlignment="1">
      <alignment horizontal="center" vertical="justify"/>
    </xf>
    <xf numFmtId="6" fontId="0" fillId="0" borderId="40" xfId="0" applyNumberFormat="1" applyBorder="1" applyAlignment="1">
      <alignment horizontal="center" vertical="justify"/>
    </xf>
    <xf numFmtId="0" fontId="0" fillId="0" borderId="76" xfId="0" applyBorder="1" applyAlignment="1">
      <alignment horizontal="center" vertical="justify"/>
    </xf>
    <xf numFmtId="0" fontId="0" fillId="0" borderId="3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9" fontId="111" fillId="0" borderId="41" xfId="0" applyNumberFormat="1" applyFont="1" applyBorder="1" applyAlignment="1">
      <alignment horizontal="center" vertical="justify"/>
    </xf>
    <xf numFmtId="0" fontId="0" fillId="0" borderId="32" xfId="0" applyBorder="1" applyAlignment="1">
      <alignment horizontal="center" vertical="justify"/>
    </xf>
    <xf numFmtId="0" fontId="135" fillId="0" borderId="35" xfId="0" applyFont="1" applyBorder="1" applyAlignment="1">
      <alignment horizontal="center" vertical="center"/>
    </xf>
    <xf numFmtId="0" fontId="135" fillId="0" borderId="26" xfId="0" applyFont="1" applyBorder="1" applyAlignment="1">
      <alignment horizontal="center" vertical="center"/>
    </xf>
    <xf numFmtId="0" fontId="135" fillId="0" borderId="16" xfId="0" applyFont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110" fillId="0" borderId="35" xfId="0" applyFont="1" applyBorder="1" applyAlignment="1">
      <alignment vertical="center"/>
    </xf>
    <xf numFmtId="0" fontId="110" fillId="0" borderId="35" xfId="0" applyFont="1" applyBorder="1" applyAlignment="1">
      <alignment horizontal="center" vertical="center" wrapText="1"/>
    </xf>
    <xf numFmtId="166" fontId="110" fillId="0" borderId="79" xfId="0" applyNumberFormat="1" applyFont="1" applyBorder="1" applyAlignment="1">
      <alignment horizontal="center" vertical="center"/>
    </xf>
    <xf numFmtId="0" fontId="110" fillId="0" borderId="0" xfId="0" applyFont="1" applyBorder="1" applyAlignment="1">
      <alignment horizontal="center"/>
    </xf>
    <xf numFmtId="0" fontId="0" fillId="0" borderId="3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9" fontId="111" fillId="0" borderId="44" xfId="0" applyNumberFormat="1" applyFont="1" applyBorder="1" applyAlignment="1">
      <alignment horizontal="center" vertical="justify"/>
    </xf>
    <xf numFmtId="0" fontId="0" fillId="0" borderId="15" xfId="0" applyBorder="1" applyAlignment="1">
      <alignment horizontal="center" vertical="justify"/>
    </xf>
    <xf numFmtId="6" fontId="0" fillId="0" borderId="45" xfId="0" applyNumberFormat="1" applyBorder="1" applyAlignment="1">
      <alignment horizontal="center" vertical="justify"/>
    </xf>
    <xf numFmtId="0" fontId="0" fillId="0" borderId="103" xfId="0" applyBorder="1" applyAlignment="1">
      <alignment horizontal="center" vertical="justify"/>
    </xf>
    <xf numFmtId="6" fontId="0" fillId="0" borderId="25" xfId="0" applyNumberFormat="1" applyBorder="1" applyAlignment="1">
      <alignment horizontal="center" vertical="justify"/>
    </xf>
    <xf numFmtId="0" fontId="0" fillId="0" borderId="81" xfId="0" applyBorder="1" applyAlignment="1">
      <alignment horizontal="center" vertical="justify"/>
    </xf>
    <xf numFmtId="6" fontId="0" fillId="0" borderId="12" xfId="0" applyNumberFormat="1" applyBorder="1" applyAlignment="1">
      <alignment horizontal="center" vertical="justify"/>
    </xf>
    <xf numFmtId="0" fontId="0" fillId="0" borderId="89" xfId="0" applyBorder="1" applyAlignment="1">
      <alignment horizontal="center" vertical="justify"/>
    </xf>
    <xf numFmtId="167" fontId="0" fillId="0" borderId="12" xfId="0" applyNumberFormat="1" applyBorder="1" applyAlignment="1">
      <alignment horizontal="center" vertical="justify"/>
    </xf>
    <xf numFmtId="10" fontId="111" fillId="0" borderId="41" xfId="0" applyNumberFormat="1" applyFont="1" applyBorder="1" applyAlignment="1">
      <alignment horizontal="center" vertical="justify"/>
    </xf>
    <xf numFmtId="10" fontId="111" fillId="0" borderId="32" xfId="0" applyNumberFormat="1" applyFont="1" applyBorder="1" applyAlignment="1">
      <alignment horizontal="center" vertical="justify"/>
    </xf>
    <xf numFmtId="6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6" fontId="0" fillId="0" borderId="39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6" fontId="110" fillId="0" borderId="79" xfId="0" applyNumberFormat="1" applyFont="1" applyBorder="1" applyAlignment="1">
      <alignment horizontal="center" vertical="justify"/>
    </xf>
    <xf numFmtId="0" fontId="110" fillId="0" borderId="0" xfId="0" applyFont="1" applyBorder="1" applyAlignment="1">
      <alignment vertical="justify"/>
    </xf>
    <xf numFmtId="0" fontId="110" fillId="0" borderId="105" xfId="0" applyFont="1" applyBorder="1" applyAlignment="1">
      <alignment vertical="justify"/>
    </xf>
    <xf numFmtId="0" fontId="111" fillId="0" borderId="32" xfId="0" applyFont="1" applyBorder="1" applyAlignment="1">
      <alignment horizontal="center" vertical="justify"/>
    </xf>
    <xf numFmtId="10" fontId="111" fillId="0" borderId="104" xfId="0" applyNumberFormat="1" applyFont="1" applyBorder="1" applyAlignment="1">
      <alignment horizontal="center" vertical="justify"/>
    </xf>
    <xf numFmtId="6" fontId="0" fillId="0" borderId="1" xfId="0" applyNumberFormat="1" applyBorder="1" applyAlignment="1">
      <alignment horizontal="center" vertical="center"/>
    </xf>
    <xf numFmtId="6" fontId="0" fillId="0" borderId="40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6" fontId="0" fillId="0" borderId="18" xfId="0" applyNumberFormat="1" applyBorder="1" applyAlignment="1">
      <alignment horizontal="center" vertical="center"/>
    </xf>
    <xf numFmtId="6" fontId="0" fillId="0" borderId="41" xfId="0" applyNumberFormat="1" applyBorder="1" applyAlignment="1">
      <alignment horizontal="center" vertical="justify"/>
    </xf>
    <xf numFmtId="0" fontId="0" fillId="0" borderId="104" xfId="0" applyBorder="1" applyAlignment="1">
      <alignment horizontal="center" vertical="justify"/>
    </xf>
    <xf numFmtId="6" fontId="0" fillId="0" borderId="23" xfId="0" applyNumberFormat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2" fontId="22" fillId="39" borderId="38" xfId="0" applyNumberFormat="1" applyFont="1" applyFill="1" applyBorder="1" applyAlignment="1">
      <alignment horizontal="center" vertical="center" wrapText="1"/>
    </xf>
    <xf numFmtId="2" fontId="22" fillId="39" borderId="74" xfId="0" applyNumberFormat="1" applyFont="1" applyFill="1" applyBorder="1" applyAlignment="1">
      <alignment horizontal="center" vertical="center" wrapText="1"/>
    </xf>
    <xf numFmtId="2" fontId="22" fillId="39" borderId="17" xfId="0" applyNumberFormat="1" applyFont="1" applyFill="1" applyBorder="1" applyAlignment="1">
      <alignment horizontal="center" vertical="center" wrapText="1"/>
    </xf>
    <xf numFmtId="0" fontId="22" fillId="39" borderId="38" xfId="0" applyFont="1" applyFill="1" applyBorder="1" applyAlignment="1">
      <alignment horizontal="center" vertical="center" wrapText="1"/>
    </xf>
    <xf numFmtId="0" fontId="22" fillId="39" borderId="74" xfId="0" applyFont="1" applyFill="1" applyBorder="1" applyAlignment="1">
      <alignment horizontal="center" vertical="center" wrapText="1"/>
    </xf>
    <xf numFmtId="0" fontId="22" fillId="39" borderId="17" xfId="0" applyFont="1" applyFill="1" applyBorder="1" applyAlignment="1">
      <alignment horizontal="center" vertical="center" wrapText="1"/>
    </xf>
    <xf numFmtId="3" fontId="9" fillId="39" borderId="1" xfId="58" applyNumberFormat="1" applyFont="1" applyFill="1" applyBorder="1" applyAlignment="1">
      <alignment horizontal="center" vertical="center" wrapText="1"/>
    </xf>
    <xf numFmtId="3" fontId="9" fillId="39" borderId="30" xfId="58" applyNumberFormat="1" applyFont="1" applyFill="1" applyBorder="1" applyAlignment="1">
      <alignment horizontal="center" vertical="center" wrapText="1"/>
    </xf>
    <xf numFmtId="4" fontId="22" fillId="39" borderId="1" xfId="58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>
      <alignment horizontal="center" vertical="center" wrapText="1"/>
    </xf>
    <xf numFmtId="0" fontId="0" fillId="0" borderId="44" xfId="0" applyBorder="1" applyAlignment="1"/>
    <xf numFmtId="0" fontId="0" fillId="0" borderId="72" xfId="0" applyBorder="1" applyAlignment="1"/>
    <xf numFmtId="0" fontId="136" fillId="0" borderId="79" xfId="0" applyFont="1" applyBorder="1" applyAlignment="1">
      <alignment wrapText="1"/>
    </xf>
    <xf numFmtId="0" fontId="136" fillId="0" borderId="0" xfId="0" applyFont="1" applyBorder="1" applyAlignment="1">
      <alignment wrapText="1"/>
    </xf>
    <xf numFmtId="0" fontId="136" fillId="0" borderId="106" xfId="0" applyFont="1" applyBorder="1" applyAlignment="1">
      <alignment wrapText="1"/>
    </xf>
    <xf numFmtId="0" fontId="136" fillId="0" borderId="62" xfId="0" applyFont="1" applyBorder="1" applyAlignment="1">
      <alignment wrapText="1"/>
    </xf>
    <xf numFmtId="164" fontId="0" fillId="0" borderId="26" xfId="0" applyNumberFormat="1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4" fontId="9" fillId="39" borderId="45" xfId="58" applyNumberFormat="1" applyFont="1" applyFill="1" applyBorder="1" applyAlignment="1" applyProtection="1">
      <alignment horizontal="center" vertical="center" wrapText="1"/>
      <protection locked="0"/>
    </xf>
    <xf numFmtId="0" fontId="22" fillId="0" borderId="46" xfId="0" applyFont="1" applyBorder="1" applyAlignment="1">
      <alignment horizontal="center" vertical="center" wrapText="1"/>
    </xf>
    <xf numFmtId="4" fontId="9" fillId="25" borderId="79" xfId="58" applyNumberFormat="1" applyFont="1" applyFill="1" applyBorder="1" applyAlignment="1" applyProtection="1">
      <alignment horizontal="center" vertical="center" wrapText="1"/>
      <protection locked="0"/>
    </xf>
    <xf numFmtId="0" fontId="22" fillId="0" borderId="79" xfId="0" applyFont="1" applyBorder="1" applyAlignment="1">
      <alignment horizontal="center" vertical="center" wrapText="1"/>
    </xf>
    <xf numFmtId="0" fontId="22" fillId="0" borderId="108" xfId="0" applyFont="1" applyBorder="1" applyAlignment="1">
      <alignment horizontal="center" vertical="center" wrapText="1"/>
    </xf>
    <xf numFmtId="3" fontId="22" fillId="39" borderId="59" xfId="58" applyNumberFormat="1" applyFont="1" applyFill="1" applyBorder="1" applyAlignment="1" applyProtection="1">
      <alignment horizontal="center" vertical="center" wrapText="1"/>
      <protection locked="0"/>
    </xf>
    <xf numFmtId="3" fontId="22" fillId="39" borderId="1" xfId="58" applyNumberFormat="1" applyFont="1" applyFill="1" applyBorder="1" applyAlignment="1" applyProtection="1">
      <alignment horizontal="center" vertical="center" wrapText="1"/>
      <protection locked="0"/>
    </xf>
    <xf numFmtId="2" fontId="22" fillId="0" borderId="24" xfId="0" applyNumberFormat="1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4" fontId="9" fillId="39" borderId="33" xfId="58" applyNumberFormat="1" applyFont="1" applyFill="1" applyBorder="1" applyAlignment="1" applyProtection="1">
      <alignment horizontal="center" vertical="center" wrapText="1"/>
      <protection locked="0"/>
    </xf>
    <xf numFmtId="4" fontId="9" fillId="39" borderId="1" xfId="58" applyNumberFormat="1" applyFont="1" applyFill="1" applyBorder="1" applyAlignment="1" applyProtection="1">
      <alignment horizontal="center" vertical="center" wrapText="1"/>
      <protection locked="0"/>
    </xf>
    <xf numFmtId="4" fontId="5" fillId="39" borderId="1" xfId="58" applyNumberFormat="1" applyFont="1" applyFill="1" applyBorder="1" applyAlignment="1" applyProtection="1">
      <alignment horizontal="center" vertical="center" wrapText="1"/>
      <protection locked="0"/>
    </xf>
    <xf numFmtId="4" fontId="5" fillId="39" borderId="43" xfId="58" applyNumberFormat="1" applyFont="1" applyFill="1" applyBorder="1" applyAlignment="1" applyProtection="1">
      <alignment horizontal="center" vertical="center" wrapText="1"/>
      <protection locked="0"/>
    </xf>
    <xf numFmtId="4" fontId="9" fillId="39" borderId="42" xfId="58" applyNumberFormat="1" applyFont="1" applyFill="1" applyBorder="1" applyAlignment="1" applyProtection="1">
      <alignment horizontal="center" vertical="center" wrapText="1"/>
      <protection locked="0"/>
    </xf>
    <xf numFmtId="4" fontId="9" fillId="39" borderId="43" xfId="58" applyNumberFormat="1" applyFont="1" applyFill="1" applyBorder="1" applyAlignment="1" applyProtection="1">
      <alignment horizontal="center" vertical="center" wrapText="1"/>
      <protection locked="0"/>
    </xf>
    <xf numFmtId="4" fontId="9" fillId="39" borderId="27" xfId="58" applyNumberFormat="1" applyFont="1" applyFill="1" applyBorder="1" applyAlignment="1" applyProtection="1">
      <alignment horizontal="center" vertical="center" wrapText="1"/>
      <protection locked="0"/>
    </xf>
    <xf numFmtId="0" fontId="22" fillId="0" borderId="24" xfId="0" applyFont="1" applyBorder="1" applyAlignment="1">
      <alignment horizontal="center" vertical="center" wrapText="1"/>
    </xf>
    <xf numFmtId="4" fontId="22" fillId="25" borderId="74" xfId="58" applyNumberFormat="1" applyFont="1" applyFill="1" applyBorder="1" applyAlignment="1">
      <alignment horizontal="center" vertical="center" wrapText="1"/>
    </xf>
    <xf numFmtId="0" fontId="22" fillId="0" borderId="74" xfId="0" applyFont="1" applyBorder="1" applyAlignment="1">
      <alignment horizontal="center" vertical="center" wrapText="1"/>
    </xf>
    <xf numFmtId="3" fontId="22" fillId="39" borderId="109" xfId="58" applyNumberFormat="1" applyFont="1" applyFill="1" applyBorder="1" applyAlignment="1" applyProtection="1">
      <alignment horizontal="center" vertical="center" wrapText="1"/>
      <protection locked="0"/>
    </xf>
    <xf numFmtId="3" fontId="22" fillId="25" borderId="110" xfId="58" applyNumberFormat="1" applyFont="1" applyFill="1" applyBorder="1" applyAlignment="1" applyProtection="1">
      <alignment horizontal="center" vertical="center" wrapText="1"/>
      <protection locked="0"/>
    </xf>
    <xf numFmtId="3" fontId="22" fillId="25" borderId="111" xfId="58" applyNumberFormat="1" applyFont="1" applyFill="1" applyBorder="1" applyAlignment="1" applyProtection="1">
      <alignment horizontal="center" vertical="center" wrapText="1"/>
      <protection locked="0"/>
    </xf>
    <xf numFmtId="4" fontId="22" fillId="39" borderId="59" xfId="58" applyNumberFormat="1" applyFont="1" applyFill="1" applyBorder="1" applyAlignment="1" applyProtection="1">
      <alignment horizontal="center" vertical="center" wrapText="1"/>
      <protection locked="0"/>
    </xf>
    <xf numFmtId="4" fontId="22" fillId="25" borderId="24" xfId="58" applyNumberFormat="1" applyFont="1" applyFill="1" applyBorder="1" applyAlignment="1">
      <alignment horizontal="center" vertical="center" wrapText="1"/>
    </xf>
    <xf numFmtId="4" fontId="9" fillId="39" borderId="11" xfId="58" applyNumberFormat="1" applyFont="1" applyFill="1" applyBorder="1" applyAlignment="1" applyProtection="1">
      <alignment horizontal="center" vertical="center" wrapText="1"/>
      <protection locked="0"/>
    </xf>
    <xf numFmtId="4" fontId="9" fillId="39" borderId="23" xfId="58" applyNumberFormat="1" applyFont="1" applyFill="1" applyBorder="1" applyAlignment="1" applyProtection="1">
      <alignment horizontal="center" vertical="center" wrapText="1"/>
      <protection locked="0"/>
    </xf>
    <xf numFmtId="4" fontId="9" fillId="39" borderId="12" xfId="58" applyNumberFormat="1" applyFont="1" applyFill="1" applyBorder="1" applyAlignment="1" applyProtection="1">
      <alignment horizontal="center" vertical="center" wrapText="1"/>
      <protection locked="0"/>
    </xf>
    <xf numFmtId="4" fontId="9" fillId="39" borderId="39" xfId="58" applyNumberFormat="1" applyFont="1" applyFill="1" applyBorder="1" applyAlignment="1" applyProtection="1">
      <alignment horizontal="center" vertical="center" wrapText="1"/>
      <protection locked="0"/>
    </xf>
    <xf numFmtId="4" fontId="22" fillId="39" borderId="38" xfId="58" applyNumberFormat="1" applyFont="1" applyFill="1" applyBorder="1" applyAlignment="1" applyProtection="1">
      <alignment horizontal="center" vertical="center" wrapText="1"/>
      <protection locked="0"/>
    </xf>
    <xf numFmtId="4" fontId="22" fillId="39" borderId="74" xfId="58" applyNumberFormat="1" applyFont="1" applyFill="1" applyBorder="1" applyAlignment="1" applyProtection="1">
      <alignment horizontal="center" vertical="center" wrapText="1"/>
      <protection locked="0"/>
    </xf>
    <xf numFmtId="4" fontId="22" fillId="39" borderId="17" xfId="58" applyNumberFormat="1" applyFont="1" applyFill="1" applyBorder="1" applyAlignment="1" applyProtection="1">
      <alignment horizontal="center" vertical="center" wrapText="1"/>
      <protection locked="0"/>
    </xf>
    <xf numFmtId="4" fontId="9" fillId="39" borderId="13" xfId="58" applyNumberFormat="1" applyFont="1" applyFill="1" applyBorder="1" applyAlignment="1" applyProtection="1">
      <alignment horizontal="center" vertical="center" wrapText="1"/>
      <protection locked="0"/>
    </xf>
    <xf numFmtId="4" fontId="9" fillId="39" borderId="40" xfId="58" applyNumberFormat="1" applyFont="1" applyFill="1" applyBorder="1" applyAlignment="1" applyProtection="1">
      <alignment horizontal="center" vertical="center" wrapText="1"/>
      <protection locked="0"/>
    </xf>
    <xf numFmtId="3" fontId="22" fillId="39" borderId="43" xfId="58" applyNumberFormat="1" applyFont="1" applyFill="1" applyBorder="1" applyAlignment="1" applyProtection="1">
      <alignment horizontal="center" vertical="center" wrapText="1"/>
      <protection locked="0"/>
    </xf>
    <xf numFmtId="4" fontId="22" fillId="0" borderId="43" xfId="0" applyNumberFormat="1" applyFont="1" applyBorder="1" applyAlignment="1">
      <alignment horizontal="center" vertical="center" wrapText="1"/>
    </xf>
    <xf numFmtId="4" fontId="22" fillId="0" borderId="74" xfId="0" applyNumberFormat="1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89" fillId="25" borderId="0" xfId="0" applyFont="1" applyFill="1" applyBorder="1" applyAlignment="1">
      <alignment horizontal="center" vertical="center" wrapText="1"/>
    </xf>
    <xf numFmtId="0" fontId="90" fillId="39" borderId="0" xfId="0" applyFont="1" applyFill="1" applyBorder="1" applyAlignment="1"/>
    <xf numFmtId="4" fontId="105" fillId="28" borderId="70" xfId="58" applyNumberFormat="1" applyFont="1" applyFill="1" applyBorder="1" applyAlignment="1" applyProtection="1">
      <alignment horizontal="center" vertical="center" wrapText="1"/>
      <protection locked="0"/>
    </xf>
    <xf numFmtId="0" fontId="106" fillId="0" borderId="38" xfId="0" applyFont="1" applyBorder="1" applyAlignment="1">
      <alignment horizontal="center" vertical="center" wrapText="1"/>
    </xf>
    <xf numFmtId="3" fontId="9" fillId="25" borderId="71" xfId="58" applyNumberFormat="1" applyFont="1" applyFill="1" applyBorder="1" applyAlignment="1">
      <alignment horizontal="center" vertical="center" wrapText="1"/>
    </xf>
    <xf numFmtId="3" fontId="9" fillId="39" borderId="86" xfId="58" applyNumberFormat="1" applyFont="1" applyFill="1" applyBorder="1" applyAlignment="1">
      <alignment horizontal="center" vertical="center" wrapText="1"/>
    </xf>
    <xf numFmtId="0" fontId="22" fillId="39" borderId="43" xfId="0" applyFont="1" applyFill="1" applyBorder="1" applyAlignment="1">
      <alignment horizontal="center" vertical="center" wrapText="1"/>
    </xf>
    <xf numFmtId="4" fontId="9" fillId="39" borderId="44" xfId="58" applyNumberFormat="1" applyFont="1" applyFill="1" applyBorder="1" applyAlignment="1" applyProtection="1">
      <alignment horizontal="center" vertical="center" wrapText="1"/>
      <protection locked="0"/>
    </xf>
    <xf numFmtId="0" fontId="22" fillId="0" borderId="93" xfId="0" applyFont="1" applyBorder="1" applyAlignment="1">
      <alignment horizontal="center" vertical="center" wrapText="1"/>
    </xf>
    <xf numFmtId="4" fontId="9" fillId="25" borderId="24" xfId="58" applyNumberFormat="1" applyFont="1" applyFill="1" applyBorder="1" applyAlignment="1" applyProtection="1">
      <alignment horizontal="center" vertical="center" wrapText="1"/>
      <protection locked="0"/>
    </xf>
    <xf numFmtId="4" fontId="9" fillId="39" borderId="34" xfId="58" applyNumberFormat="1" applyFont="1" applyFill="1" applyBorder="1" applyAlignment="1" applyProtection="1">
      <alignment horizontal="center" vertical="center" wrapText="1"/>
      <protection locked="0"/>
    </xf>
    <xf numFmtId="4" fontId="9" fillId="25" borderId="18" xfId="58" applyNumberFormat="1" applyFont="1" applyFill="1" applyBorder="1" applyAlignment="1" applyProtection="1">
      <alignment horizontal="center" vertical="center" wrapText="1"/>
      <protection locked="0"/>
    </xf>
    <xf numFmtId="4" fontId="22" fillId="39" borderId="24" xfId="58" applyNumberFormat="1" applyFont="1" applyFill="1" applyBorder="1" applyAlignment="1" applyProtection="1">
      <alignment horizontal="center" vertical="center" wrapText="1"/>
      <protection locked="0"/>
    </xf>
    <xf numFmtId="4" fontId="22" fillId="39" borderId="18" xfId="58" applyNumberFormat="1" applyFont="1" applyFill="1" applyBorder="1" applyAlignment="1" applyProtection="1">
      <alignment horizontal="center" vertical="center" wrapText="1"/>
      <protection locked="0"/>
    </xf>
    <xf numFmtId="4" fontId="22" fillId="25" borderId="71" xfId="58" applyNumberFormat="1" applyFont="1" applyFill="1" applyBorder="1" applyAlignment="1">
      <alignment horizontal="center" vertical="center" wrapText="1"/>
    </xf>
    <xf numFmtId="0" fontId="22" fillId="0" borderId="58" xfId="0" applyFont="1" applyBorder="1" applyAlignment="1">
      <alignment horizontal="center" vertical="center" wrapText="1"/>
    </xf>
    <xf numFmtId="0" fontId="22" fillId="0" borderId="76" xfId="0" applyFont="1" applyBorder="1" applyAlignment="1">
      <alignment horizontal="center" vertical="center" wrapText="1"/>
    </xf>
    <xf numFmtId="4" fontId="22" fillId="39" borderId="43" xfId="58" applyNumberFormat="1" applyFont="1" applyFill="1" applyBorder="1" applyAlignment="1" applyProtection="1">
      <alignment horizontal="center" vertical="center" wrapText="1"/>
      <protection locked="0"/>
    </xf>
    <xf numFmtId="0" fontId="22" fillId="0" borderId="17" xfId="0" applyFont="1" applyBorder="1" applyAlignment="1">
      <alignment horizontal="center" vertical="center" wrapText="1"/>
    </xf>
    <xf numFmtId="0" fontId="9" fillId="25" borderId="18" xfId="0" applyFont="1" applyFill="1" applyBorder="1" applyAlignment="1">
      <alignment horizontal="center" vertical="center" wrapText="1"/>
    </xf>
    <xf numFmtId="0" fontId="9" fillId="25" borderId="36" xfId="0" applyFont="1" applyFill="1" applyBorder="1" applyAlignment="1">
      <alignment horizontal="center" vertical="center" wrapText="1"/>
    </xf>
    <xf numFmtId="3" fontId="9" fillId="25" borderId="24" xfId="58" applyNumberFormat="1" applyFont="1" applyFill="1" applyBorder="1" applyAlignment="1">
      <alignment horizontal="center" vertical="center" wrapText="1"/>
    </xf>
    <xf numFmtId="3" fontId="9" fillId="39" borderId="28" xfId="58" applyNumberFormat="1" applyFont="1" applyFill="1" applyBorder="1" applyAlignment="1">
      <alignment horizontal="center" vertical="center" wrapText="1"/>
    </xf>
    <xf numFmtId="0" fontId="2" fillId="0" borderId="1" xfId="131" applyFont="1" applyFill="1" applyBorder="1" applyAlignment="1">
      <alignment horizontal="center" vertical="center"/>
    </xf>
    <xf numFmtId="0" fontId="2" fillId="0" borderId="1" xfId="127" applyNumberFormat="1" applyFont="1" applyFill="1" applyBorder="1" applyAlignment="1">
      <alignment horizontal="center" vertical="center"/>
    </xf>
    <xf numFmtId="0" fontId="2" fillId="0" borderId="58" xfId="131" applyFont="1" applyBorder="1" applyAlignment="1">
      <alignment horizontal="left" vertical="center"/>
    </xf>
    <xf numFmtId="0" fontId="2" fillId="0" borderId="64" xfId="131" applyFont="1" applyBorder="1" applyAlignment="1">
      <alignment horizontal="left" vertical="center"/>
    </xf>
    <xf numFmtId="0" fontId="2" fillId="0" borderId="39" xfId="131" applyFont="1" applyBorder="1" applyAlignment="1">
      <alignment horizontal="left" vertical="center"/>
    </xf>
    <xf numFmtId="0" fontId="2" fillId="0" borderId="58" xfId="131" applyFont="1" applyBorder="1" applyAlignment="1">
      <alignment horizontal="center" vertical="top"/>
    </xf>
    <xf numFmtId="0" fontId="2" fillId="0" borderId="39" xfId="131" applyFont="1" applyBorder="1" applyAlignment="1">
      <alignment horizontal="center" vertical="top"/>
    </xf>
    <xf numFmtId="0" fontId="2" fillId="0" borderId="58" xfId="131" applyFont="1" applyBorder="1" applyAlignment="1">
      <alignment horizontal="left"/>
    </xf>
    <xf numFmtId="0" fontId="2" fillId="0" borderId="64" xfId="131" applyFont="1" applyBorder="1" applyAlignment="1">
      <alignment horizontal="left"/>
    </xf>
    <xf numFmtId="0" fontId="2" fillId="0" borderId="39" xfId="131" applyFont="1" applyBorder="1" applyAlignment="1">
      <alignment horizontal="left"/>
    </xf>
    <xf numFmtId="0" fontId="2" fillId="0" borderId="1" xfId="131" applyFont="1" applyBorder="1" applyAlignment="1">
      <alignment horizontal="left" vertical="center"/>
    </xf>
    <xf numFmtId="9" fontId="2" fillId="0" borderId="1" xfId="131" applyNumberFormat="1" applyFont="1" applyBorder="1" applyAlignment="1">
      <alignment horizontal="center" vertical="center" wrapText="1"/>
    </xf>
    <xf numFmtId="0" fontId="7" fillId="0" borderId="1" xfId="131" applyFont="1" applyBorder="1" applyAlignment="1">
      <alignment horizontal="center" vertical="center" wrapText="1"/>
    </xf>
    <xf numFmtId="0" fontId="2" fillId="0" borderId="1" xfId="131" applyFont="1" applyBorder="1" applyAlignment="1">
      <alignment horizontal="left" vertical="center" wrapText="1"/>
    </xf>
    <xf numFmtId="0" fontId="7" fillId="26" borderId="1" xfId="131" applyFont="1" applyFill="1" applyBorder="1" applyAlignment="1">
      <alignment horizontal="center" vertical="center" wrapText="1"/>
    </xf>
    <xf numFmtId="44" fontId="2" fillId="0" borderId="1" xfId="83" applyFont="1" applyBorder="1" applyAlignment="1">
      <alignment horizontal="center" vertical="center"/>
    </xf>
    <xf numFmtId="0" fontId="7" fillId="26" borderId="1" xfId="131" applyFont="1" applyFill="1" applyBorder="1" applyAlignment="1">
      <alignment horizontal="center" vertical="center"/>
    </xf>
    <xf numFmtId="0" fontId="7" fillId="26" borderId="58" xfId="131" applyFont="1" applyFill="1" applyBorder="1" applyAlignment="1">
      <alignment horizontal="center" vertical="center" wrapText="1"/>
    </xf>
    <xf numFmtId="0" fontId="7" fillId="26" borderId="39" xfId="131" applyFont="1" applyFill="1" applyBorder="1" applyAlignment="1">
      <alignment horizontal="center" vertical="center" wrapText="1"/>
    </xf>
    <xf numFmtId="0" fontId="7" fillId="26" borderId="58" xfId="131" applyFont="1" applyFill="1" applyBorder="1" applyAlignment="1">
      <alignment horizontal="center" vertical="center"/>
    </xf>
    <xf numFmtId="0" fontId="7" fillId="26" borderId="39" xfId="131" applyFont="1" applyFill="1" applyBorder="1" applyAlignment="1">
      <alignment horizontal="center" vertical="center"/>
    </xf>
    <xf numFmtId="0" fontId="0" fillId="0" borderId="33" xfId="0" applyBorder="1" applyAlignment="1"/>
    <xf numFmtId="0" fontId="0" fillId="0" borderId="58" xfId="0" applyBorder="1" applyAlignment="1"/>
    <xf numFmtId="0" fontId="0" fillId="0" borderId="34" xfId="0" applyBorder="1" applyAlignment="1"/>
    <xf numFmtId="0" fontId="0" fillId="0" borderId="76" xfId="0" applyBorder="1" applyAlignment="1"/>
    <xf numFmtId="0" fontId="0" fillId="0" borderId="12" xfId="0" applyBorder="1" applyAlignment="1"/>
    <xf numFmtId="0" fontId="0" fillId="0" borderId="64" xfId="0" applyBorder="1" applyAlignment="1"/>
    <xf numFmtId="0" fontId="0" fillId="0" borderId="7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06" xfId="0" applyBorder="1" applyAlignment="1">
      <alignment wrapText="1"/>
    </xf>
    <xf numFmtId="0" fontId="0" fillId="0" borderId="62" xfId="0" applyBorder="1" applyAlignment="1">
      <alignment wrapText="1"/>
    </xf>
    <xf numFmtId="0" fontId="2" fillId="0" borderId="58" xfId="103" applyFont="1" applyBorder="1" applyAlignment="1">
      <alignment horizontal="left" vertical="center"/>
    </xf>
    <xf numFmtId="0" fontId="2" fillId="0" borderId="64" xfId="103" applyFont="1" applyBorder="1" applyAlignment="1">
      <alignment horizontal="left" vertical="center"/>
    </xf>
    <xf numFmtId="0" fontId="2" fillId="0" borderId="39" xfId="103" applyFont="1" applyBorder="1" applyAlignment="1">
      <alignment horizontal="left" vertical="center"/>
    </xf>
    <xf numFmtId="0" fontId="7" fillId="26" borderId="64" xfId="131" applyFont="1" applyFill="1" applyBorder="1" applyAlignment="1">
      <alignment horizontal="center" vertical="center" wrapText="1"/>
    </xf>
    <xf numFmtId="0" fontId="2" fillId="0" borderId="1" xfId="131" applyFont="1" applyBorder="1" applyAlignment="1">
      <alignment horizontal="center" vertical="center" wrapText="1"/>
    </xf>
    <xf numFmtId="0" fontId="7" fillId="26" borderId="82" xfId="131" applyFont="1" applyFill="1" applyBorder="1" applyAlignment="1">
      <alignment horizontal="center" vertical="center"/>
    </xf>
    <xf numFmtId="0" fontId="7" fillId="26" borderId="98" xfId="131" applyFont="1" applyFill="1" applyBorder="1" applyAlignment="1">
      <alignment horizontal="center" vertical="center"/>
    </xf>
    <xf numFmtId="0" fontId="7" fillId="26" borderId="65" xfId="131" applyFont="1" applyFill="1" applyBorder="1" applyAlignment="1">
      <alignment horizontal="center" vertical="center"/>
    </xf>
    <xf numFmtId="0" fontId="7" fillId="26" borderId="77" xfId="131" applyFont="1" applyFill="1" applyBorder="1" applyAlignment="1">
      <alignment horizontal="center" vertical="center"/>
    </xf>
    <xf numFmtId="0" fontId="7" fillId="26" borderId="62" xfId="131" applyFont="1" applyFill="1" applyBorder="1" applyAlignment="1">
      <alignment horizontal="center" vertical="center"/>
    </xf>
    <xf numFmtId="0" fontId="7" fillId="26" borderId="22" xfId="131" applyFont="1" applyFill="1" applyBorder="1" applyAlignment="1">
      <alignment horizontal="center" vertical="center"/>
    </xf>
    <xf numFmtId="0" fontId="7" fillId="46" borderId="58" xfId="131" applyFont="1" applyFill="1" applyBorder="1" applyAlignment="1">
      <alignment horizontal="center" vertical="center"/>
    </xf>
    <xf numFmtId="0" fontId="7" fillId="46" borderId="64" xfId="131" applyFont="1" applyFill="1" applyBorder="1" applyAlignment="1">
      <alignment horizontal="center" vertical="center"/>
    </xf>
    <xf numFmtId="0" fontId="7" fillId="38" borderId="58" xfId="131" applyFont="1" applyFill="1" applyBorder="1" applyAlignment="1">
      <alignment horizontal="center" vertical="center"/>
    </xf>
    <xf numFmtId="0" fontId="7" fillId="38" borderId="64" xfId="131" applyFont="1" applyFill="1" applyBorder="1" applyAlignment="1">
      <alignment horizontal="center" vertical="center"/>
    </xf>
    <xf numFmtId="0" fontId="2" fillId="0" borderId="58" xfId="80" applyFont="1" applyFill="1" applyBorder="1" applyAlignment="1" applyProtection="1">
      <alignment horizontal="center" vertical="center"/>
    </xf>
    <xf numFmtId="0" fontId="2" fillId="0" borderId="64" xfId="80" applyFont="1" applyFill="1" applyBorder="1" applyAlignment="1" applyProtection="1">
      <alignment horizontal="center" vertical="center"/>
    </xf>
    <xf numFmtId="0" fontId="2" fillId="0" borderId="39" xfId="80" applyFont="1" applyFill="1" applyBorder="1" applyAlignment="1" applyProtection="1">
      <alignment horizontal="center" vertical="center"/>
    </xf>
    <xf numFmtId="0" fontId="2" fillId="0" borderId="58" xfId="131" applyFont="1" applyFill="1" applyBorder="1" applyAlignment="1">
      <alignment horizontal="center" vertical="center"/>
    </xf>
    <xf numFmtId="0" fontId="2" fillId="0" borderId="64" xfId="131" applyFont="1" applyFill="1" applyBorder="1" applyAlignment="1">
      <alignment horizontal="center" vertical="center"/>
    </xf>
    <xf numFmtId="0" fontId="2" fillId="0" borderId="39" xfId="131" applyFont="1" applyFill="1" applyBorder="1" applyAlignment="1">
      <alignment horizontal="center" vertical="center"/>
    </xf>
    <xf numFmtId="0" fontId="7" fillId="38" borderId="1" xfId="131" applyFont="1" applyFill="1" applyBorder="1" applyAlignment="1">
      <alignment horizontal="center" vertical="center"/>
    </xf>
    <xf numFmtId="0" fontId="7" fillId="26" borderId="43" xfId="131" applyFont="1" applyFill="1" applyBorder="1" applyAlignment="1">
      <alignment horizontal="center" vertical="center" wrapText="1"/>
    </xf>
    <xf numFmtId="0" fontId="7" fillId="26" borderId="74" xfId="131" applyFont="1" applyFill="1" applyBorder="1" applyAlignment="1">
      <alignment horizontal="center" vertical="center" wrapText="1"/>
    </xf>
    <xf numFmtId="0" fontId="7" fillId="26" borderId="59" xfId="131" applyFont="1" applyFill="1" applyBorder="1" applyAlignment="1">
      <alignment horizontal="center" vertical="center" wrapText="1"/>
    </xf>
    <xf numFmtId="0" fontId="7" fillId="26" borderId="64" xfId="131" applyFont="1" applyFill="1" applyBorder="1" applyAlignment="1">
      <alignment horizontal="center" vertical="center"/>
    </xf>
    <xf numFmtId="0" fontId="7" fillId="38" borderId="58" xfId="103" applyFont="1" applyFill="1" applyBorder="1" applyAlignment="1">
      <alignment horizontal="center" vertical="center"/>
    </xf>
    <xf numFmtId="0" fontId="7" fillId="38" borderId="64" xfId="103" applyFont="1" applyFill="1" applyBorder="1" applyAlignment="1">
      <alignment horizontal="center" vertical="center"/>
    </xf>
    <xf numFmtId="0" fontId="7" fillId="38" borderId="39" xfId="103" applyFont="1" applyFill="1" applyBorder="1" applyAlignment="1">
      <alignment horizontal="center" vertical="center"/>
    </xf>
    <xf numFmtId="0" fontId="7" fillId="38" borderId="39" xfId="131" applyFont="1" applyFill="1" applyBorder="1" applyAlignment="1">
      <alignment horizontal="center" vertical="center"/>
    </xf>
    <xf numFmtId="0" fontId="7" fillId="26" borderId="74" xfId="131" applyFont="1" applyFill="1" applyBorder="1" applyAlignment="1">
      <alignment horizontal="center" vertical="center"/>
    </xf>
    <xf numFmtId="0" fontId="7" fillId="26" borderId="59" xfId="131" applyFont="1" applyFill="1" applyBorder="1" applyAlignment="1">
      <alignment horizontal="center" vertical="center"/>
    </xf>
    <xf numFmtId="0" fontId="7" fillId="38" borderId="1" xfId="131" applyFont="1" applyFill="1" applyBorder="1" applyAlignment="1">
      <alignment horizontal="center" vertical="center" wrapText="1"/>
    </xf>
    <xf numFmtId="3" fontId="7" fillId="38" borderId="1" xfId="131" applyNumberFormat="1" applyFont="1" applyFill="1" applyBorder="1" applyAlignment="1">
      <alignment horizontal="center" vertical="center"/>
    </xf>
    <xf numFmtId="1" fontId="7" fillId="38" borderId="1" xfId="127" applyNumberFormat="1" applyFont="1" applyFill="1" applyBorder="1" applyAlignment="1">
      <alignment horizontal="center" vertical="center"/>
    </xf>
    <xf numFmtId="0" fontId="2" fillId="26" borderId="1" xfId="131" applyFont="1" applyFill="1" applyBorder="1" applyAlignment="1">
      <alignment horizontal="center" vertical="center" wrapText="1"/>
    </xf>
    <xf numFmtId="0" fontId="7" fillId="38" borderId="43" xfId="131" applyFont="1" applyFill="1" applyBorder="1" applyAlignment="1">
      <alignment horizontal="center" vertical="center" wrapText="1"/>
    </xf>
    <xf numFmtId="0" fontId="7" fillId="38" borderId="59" xfId="131" applyFont="1" applyFill="1" applyBorder="1" applyAlignment="1">
      <alignment horizontal="center" vertical="center"/>
    </xf>
    <xf numFmtId="1" fontId="2" fillId="0" borderId="0" xfId="127" applyNumberFormat="1" applyFont="1" applyFill="1" applyBorder="1" applyAlignment="1">
      <alignment horizontal="right" vertical="center"/>
    </xf>
    <xf numFmtId="14" fontId="2" fillId="0" borderId="0" xfId="131" applyNumberFormat="1" applyFont="1" applyBorder="1" applyAlignment="1">
      <alignment horizontal="center" vertical="center"/>
    </xf>
    <xf numFmtId="0" fontId="7" fillId="26" borderId="43" xfId="131" applyFont="1" applyFill="1" applyBorder="1" applyAlignment="1">
      <alignment horizontal="center" vertical="center"/>
    </xf>
    <xf numFmtId="0" fontId="7" fillId="0" borderId="1" xfId="131" applyFont="1" applyFill="1" applyBorder="1" applyAlignment="1">
      <alignment vertical="center"/>
    </xf>
    <xf numFmtId="0" fontId="7" fillId="26" borderId="1" xfId="103" applyFont="1" applyFill="1" applyBorder="1" applyAlignment="1">
      <alignment horizontal="center" vertical="center"/>
    </xf>
    <xf numFmtId="0" fontId="7" fillId="26" borderId="43" xfId="103" applyFont="1" applyFill="1" applyBorder="1" applyAlignment="1">
      <alignment horizontal="center" vertical="center"/>
    </xf>
    <xf numFmtId="0" fontId="7" fillId="26" borderId="59" xfId="103" applyFont="1" applyFill="1" applyBorder="1" applyAlignment="1">
      <alignment horizontal="center" vertical="center"/>
    </xf>
    <xf numFmtId="0" fontId="7" fillId="26" borderId="43" xfId="103" applyFont="1" applyFill="1" applyBorder="1" applyAlignment="1">
      <alignment horizontal="center" vertical="center" wrapText="1"/>
    </xf>
    <xf numFmtId="0" fontId="7" fillId="26" borderId="59" xfId="103" applyFont="1" applyFill="1" applyBorder="1" applyAlignment="1">
      <alignment horizontal="center" vertical="center" wrapText="1"/>
    </xf>
    <xf numFmtId="0" fontId="137" fillId="0" borderId="0" xfId="0" applyFont="1" applyAlignment="1">
      <alignment horizontal="center"/>
    </xf>
    <xf numFmtId="0" fontId="118" fillId="0" borderId="62" xfId="0" applyFont="1" applyBorder="1" applyAlignment="1">
      <alignment horizontal="left"/>
    </xf>
    <xf numFmtId="0" fontId="0" fillId="0" borderId="62" xfId="0" applyBorder="1" applyAlignment="1">
      <alignment horizontal="left"/>
    </xf>
    <xf numFmtId="0" fontId="7" fillId="26" borderId="74" xfId="103" applyFont="1" applyFill="1" applyBorder="1" applyAlignment="1">
      <alignment horizontal="center" vertical="center"/>
    </xf>
    <xf numFmtId="0" fontId="7" fillId="26" borderId="74" xfId="103" applyFont="1" applyFill="1" applyBorder="1" applyAlignment="1">
      <alignment horizontal="center" vertical="center" wrapText="1"/>
    </xf>
    <xf numFmtId="0" fontId="2" fillId="38" borderId="100" xfId="103" applyNumberFormat="1" applyFont="1" applyFill="1" applyBorder="1" applyAlignment="1" applyProtection="1">
      <alignment horizontal="center"/>
      <protection locked="0"/>
    </xf>
    <xf numFmtId="0" fontId="2" fillId="38" borderId="113" xfId="103" applyNumberFormat="1" applyFont="1" applyFill="1" applyBorder="1" applyAlignment="1" applyProtection="1">
      <alignment horizontal="center"/>
      <protection locked="0"/>
    </xf>
    <xf numFmtId="0" fontId="113" fillId="0" borderId="113" xfId="0" applyFont="1" applyBorder="1"/>
    <xf numFmtId="0" fontId="2" fillId="0" borderId="58" xfId="103" applyNumberFormat="1" applyFont="1" applyFill="1" applyBorder="1" applyAlignment="1" applyProtection="1">
      <alignment horizontal="center"/>
      <protection locked="0"/>
    </xf>
    <xf numFmtId="0" fontId="2" fillId="0" borderId="39" xfId="103" applyNumberFormat="1" applyFont="1" applyFill="1" applyBorder="1" applyAlignment="1" applyProtection="1">
      <alignment horizontal="center"/>
      <protection locked="0"/>
    </xf>
    <xf numFmtId="0" fontId="113" fillId="0" borderId="39" xfId="0" applyFont="1" applyBorder="1"/>
    <xf numFmtId="0" fontId="2" fillId="0" borderId="69" xfId="103" applyFont="1" applyFill="1" applyBorder="1" applyAlignment="1" applyProtection="1">
      <alignment horizontal="center"/>
      <protection locked="0"/>
    </xf>
    <xf numFmtId="0" fontId="2" fillId="0" borderId="114" xfId="103" applyFont="1" applyFill="1" applyBorder="1" applyAlignment="1" applyProtection="1">
      <alignment horizontal="center"/>
      <protection locked="0"/>
    </xf>
    <xf numFmtId="0" fontId="7" fillId="0" borderId="69" xfId="103" applyNumberFormat="1" applyFont="1" applyFill="1" applyBorder="1" applyAlignment="1" applyProtection="1">
      <alignment horizontal="center"/>
      <protection locked="0"/>
    </xf>
    <xf numFmtId="0" fontId="7" fillId="0" borderId="114" xfId="103" applyNumberFormat="1" applyFont="1" applyFill="1" applyBorder="1" applyAlignment="1" applyProtection="1">
      <alignment horizontal="center"/>
      <protection locked="0"/>
    </xf>
    <xf numFmtId="0" fontId="2" fillId="0" borderId="69" xfId="103" applyNumberFormat="1" applyFont="1" applyFill="1" applyBorder="1" applyAlignment="1" applyProtection="1">
      <alignment horizontal="center"/>
      <protection locked="0"/>
    </xf>
    <xf numFmtId="0" fontId="2" fillId="0" borderId="114" xfId="103" applyNumberFormat="1" applyFont="1" applyFill="1" applyBorder="1" applyAlignment="1" applyProtection="1">
      <alignment horizontal="center"/>
      <protection locked="0"/>
    </xf>
    <xf numFmtId="0" fontId="113" fillId="0" borderId="114" xfId="0" applyFont="1" applyBorder="1"/>
    <xf numFmtId="0" fontId="2" fillId="38" borderId="100" xfId="103" applyFont="1" applyFill="1" applyBorder="1" applyAlignment="1" applyProtection="1">
      <alignment horizontal="center"/>
      <protection locked="0"/>
    </xf>
    <xf numFmtId="0" fontId="2" fillId="38" borderId="113" xfId="103" applyFont="1" applyFill="1" applyBorder="1" applyAlignment="1" applyProtection="1">
      <alignment horizontal="center"/>
      <protection locked="0"/>
    </xf>
    <xf numFmtId="0" fontId="7" fillId="38" borderId="100" xfId="103" applyNumberFormat="1" applyFont="1" applyFill="1" applyBorder="1" applyAlignment="1" applyProtection="1">
      <alignment horizontal="center"/>
      <protection locked="0"/>
    </xf>
    <xf numFmtId="0" fontId="7" fillId="38" borderId="113" xfId="103" applyNumberFormat="1" applyFont="1" applyFill="1" applyBorder="1" applyAlignment="1" applyProtection="1">
      <alignment horizontal="center"/>
      <protection locked="0"/>
    </xf>
    <xf numFmtId="0" fontId="7" fillId="38" borderId="101" xfId="103" applyFont="1" applyFill="1" applyBorder="1" applyAlignment="1" applyProtection="1">
      <alignment horizontal="center" vertical="center"/>
      <protection locked="0"/>
    </xf>
    <xf numFmtId="0" fontId="7" fillId="38" borderId="112" xfId="103" applyFont="1" applyFill="1" applyBorder="1" applyAlignment="1" applyProtection="1">
      <alignment horizontal="center" vertical="center"/>
      <protection locked="0"/>
    </xf>
    <xf numFmtId="0" fontId="2" fillId="0" borderId="100" xfId="103" applyFont="1" applyFill="1" applyBorder="1" applyAlignment="1" applyProtection="1">
      <alignment horizontal="center"/>
      <protection locked="0"/>
    </xf>
    <xf numFmtId="0" fontId="2" fillId="0" borderId="113" xfId="103" applyFont="1" applyFill="1" applyBorder="1" applyAlignment="1" applyProtection="1">
      <alignment horizontal="center"/>
      <protection locked="0"/>
    </xf>
    <xf numFmtId="0" fontId="7" fillId="0" borderId="100" xfId="103" applyNumberFormat="1" applyFont="1" applyFill="1" applyBorder="1" applyAlignment="1" applyProtection="1">
      <alignment horizontal="center"/>
      <protection locked="0"/>
    </xf>
    <xf numFmtId="0" fontId="7" fillId="0" borderId="113" xfId="103" applyNumberFormat="1" applyFont="1" applyFill="1" applyBorder="1" applyAlignment="1" applyProtection="1">
      <alignment horizontal="center"/>
      <protection locked="0"/>
    </xf>
    <xf numFmtId="0" fontId="2" fillId="0" borderId="100" xfId="103" applyNumberFormat="1" applyFont="1" applyFill="1" applyBorder="1" applyAlignment="1" applyProtection="1">
      <alignment horizontal="center"/>
      <protection locked="0"/>
    </xf>
    <xf numFmtId="0" fontId="2" fillId="0" borderId="113" xfId="103" applyNumberFormat="1" applyFont="1" applyFill="1" applyBorder="1" applyAlignment="1" applyProtection="1">
      <alignment horizontal="center"/>
      <protection locked="0"/>
    </xf>
    <xf numFmtId="0" fontId="2" fillId="0" borderId="58" xfId="103" applyFont="1" applyFill="1" applyBorder="1" applyAlignment="1" applyProtection="1">
      <alignment horizontal="center"/>
      <protection locked="0"/>
    </xf>
    <xf numFmtId="0" fontId="2" fillId="0" borderId="39" xfId="103" applyFont="1" applyFill="1" applyBorder="1" applyAlignment="1" applyProtection="1">
      <alignment horizontal="center"/>
      <protection locked="0"/>
    </xf>
    <xf numFmtId="0" fontId="7" fillId="0" borderId="58" xfId="103" applyNumberFormat="1" applyFont="1" applyFill="1" applyBorder="1" applyAlignment="1" applyProtection="1">
      <alignment horizontal="center"/>
      <protection locked="0"/>
    </xf>
    <xf numFmtId="0" fontId="7" fillId="0" borderId="39" xfId="103" applyNumberFormat="1" applyFont="1" applyFill="1" applyBorder="1" applyAlignment="1" applyProtection="1">
      <alignment horizontal="center"/>
      <protection locked="0"/>
    </xf>
    <xf numFmtId="0" fontId="2" fillId="0" borderId="1" xfId="103" applyNumberFormat="1" applyFont="1" applyFill="1" applyBorder="1" applyAlignment="1" applyProtection="1">
      <alignment horizontal="center"/>
      <protection locked="0"/>
    </xf>
    <xf numFmtId="0" fontId="2" fillId="38" borderId="58" xfId="103" applyFont="1" applyFill="1" applyBorder="1" applyAlignment="1" applyProtection="1">
      <alignment horizontal="center"/>
      <protection locked="0"/>
    </xf>
    <xf numFmtId="0" fontId="2" fillId="38" borderId="39" xfId="103" applyFont="1" applyFill="1" applyBorder="1" applyAlignment="1" applyProtection="1">
      <alignment horizontal="center"/>
      <protection locked="0"/>
    </xf>
    <xf numFmtId="0" fontId="7" fillId="38" borderId="58" xfId="103" applyNumberFormat="1" applyFont="1" applyFill="1" applyBorder="1" applyAlignment="1" applyProtection="1">
      <alignment horizontal="center"/>
      <protection locked="0"/>
    </xf>
    <xf numFmtId="0" fontId="7" fillId="38" borderId="39" xfId="103" applyNumberFormat="1" applyFont="1" applyFill="1" applyBorder="1" applyAlignment="1" applyProtection="1">
      <alignment horizontal="center"/>
      <protection locked="0"/>
    </xf>
    <xf numFmtId="0" fontId="2" fillId="38" borderId="58" xfId="103" applyNumberFormat="1" applyFont="1" applyFill="1" applyBorder="1" applyAlignment="1" applyProtection="1">
      <alignment horizontal="center"/>
      <protection locked="0"/>
    </xf>
    <xf numFmtId="0" fontId="2" fillId="38" borderId="39" xfId="103" applyNumberFormat="1" applyFont="1" applyFill="1" applyBorder="1" applyAlignment="1" applyProtection="1">
      <alignment horizontal="center"/>
      <protection locked="0"/>
    </xf>
    <xf numFmtId="0" fontId="2" fillId="38" borderId="77" xfId="103" applyNumberFormat="1" applyFont="1" applyFill="1" applyBorder="1" applyAlignment="1" applyProtection="1">
      <alignment horizontal="center"/>
      <protection locked="0"/>
    </xf>
    <xf numFmtId="0" fontId="2" fillId="38" borderId="22" xfId="103" applyNumberFormat="1" applyFont="1" applyFill="1" applyBorder="1" applyAlignment="1" applyProtection="1">
      <alignment horizontal="center"/>
      <protection locked="0"/>
    </xf>
    <xf numFmtId="0" fontId="7" fillId="38" borderId="58" xfId="103" applyFont="1" applyFill="1" applyBorder="1" applyAlignment="1" applyProtection="1">
      <alignment horizontal="center" vertical="center"/>
      <protection locked="0"/>
    </xf>
    <xf numFmtId="0" fontId="7" fillId="38" borderId="64" xfId="103" applyFont="1" applyFill="1" applyBorder="1" applyAlignment="1" applyProtection="1">
      <alignment horizontal="center" vertical="center"/>
      <protection locked="0"/>
    </xf>
    <xf numFmtId="0" fontId="7" fillId="38" borderId="39" xfId="103" applyFont="1" applyFill="1" applyBorder="1" applyAlignment="1" applyProtection="1">
      <alignment horizontal="center" vertical="center"/>
      <protection locked="0"/>
    </xf>
    <xf numFmtId="0" fontId="138" fillId="0" borderId="39" xfId="0" applyFont="1" applyBorder="1"/>
    <xf numFmtId="0" fontId="138" fillId="0" borderId="114" xfId="0" applyFont="1" applyBorder="1"/>
    <xf numFmtId="0" fontId="2" fillId="38" borderId="101" xfId="103" applyFont="1" applyFill="1" applyBorder="1" applyAlignment="1" applyProtection="1">
      <alignment horizontal="center"/>
      <protection locked="0"/>
    </xf>
    <xf numFmtId="0" fontId="2" fillId="38" borderId="115" xfId="103" applyFont="1" applyFill="1" applyBorder="1" applyAlignment="1" applyProtection="1">
      <alignment horizontal="center"/>
      <protection locked="0"/>
    </xf>
    <xf numFmtId="0" fontId="7" fillId="38" borderId="101" xfId="103" applyNumberFormat="1" applyFont="1" applyFill="1" applyBorder="1" applyAlignment="1" applyProtection="1">
      <alignment horizontal="center"/>
      <protection locked="0"/>
    </xf>
    <xf numFmtId="0" fontId="138" fillId="0" borderId="115" xfId="0" applyFont="1" applyBorder="1"/>
    <xf numFmtId="0" fontId="2" fillId="38" borderId="101" xfId="103" applyNumberFormat="1" applyFont="1" applyFill="1" applyBorder="1" applyAlignment="1" applyProtection="1">
      <alignment horizontal="center"/>
      <protection locked="0"/>
    </xf>
    <xf numFmtId="0" fontId="113" fillId="0" borderId="115" xfId="0" applyFont="1" applyBorder="1"/>
    <xf numFmtId="0" fontId="138" fillId="0" borderId="113" xfId="0" applyFont="1" applyBorder="1"/>
    <xf numFmtId="0" fontId="2" fillId="0" borderId="101" xfId="103" applyFont="1" applyFill="1" applyBorder="1" applyAlignment="1" applyProtection="1">
      <alignment horizontal="center"/>
      <protection locked="0"/>
    </xf>
    <xf numFmtId="0" fontId="2" fillId="0" borderId="115" xfId="103" applyFont="1" applyFill="1" applyBorder="1" applyAlignment="1" applyProtection="1">
      <alignment horizontal="center"/>
      <protection locked="0"/>
    </xf>
    <xf numFmtId="0" fontId="7" fillId="0" borderId="101" xfId="103" applyNumberFormat="1" applyFont="1" applyFill="1" applyBorder="1" applyAlignment="1" applyProtection="1">
      <alignment horizontal="center"/>
      <protection locked="0"/>
    </xf>
    <xf numFmtId="0" fontId="2" fillId="0" borderId="101" xfId="103" applyNumberFormat="1" applyFont="1" applyFill="1" applyBorder="1" applyAlignment="1" applyProtection="1">
      <alignment horizontal="center"/>
      <protection locked="0"/>
    </xf>
    <xf numFmtId="0" fontId="2" fillId="38" borderId="69" xfId="103" applyFont="1" applyFill="1" applyBorder="1" applyAlignment="1" applyProtection="1">
      <alignment horizontal="center"/>
      <protection locked="0"/>
    </xf>
    <xf numFmtId="0" fontId="2" fillId="38" borderId="114" xfId="103" applyFont="1" applyFill="1" applyBorder="1" applyAlignment="1" applyProtection="1">
      <alignment horizontal="center"/>
      <protection locked="0"/>
    </xf>
    <xf numFmtId="0" fontId="7" fillId="38" borderId="69" xfId="103" applyNumberFormat="1" applyFont="1" applyFill="1" applyBorder="1" applyAlignment="1" applyProtection="1">
      <alignment horizontal="center"/>
      <protection locked="0"/>
    </xf>
    <xf numFmtId="0" fontId="2" fillId="38" borderId="69" xfId="103" applyNumberFormat="1" applyFont="1" applyFill="1" applyBorder="1" applyAlignment="1" applyProtection="1">
      <alignment horizontal="center"/>
      <protection locked="0"/>
    </xf>
    <xf numFmtId="1" fontId="2" fillId="0" borderId="100" xfId="103" applyNumberFormat="1" applyFont="1" applyFill="1" applyBorder="1" applyAlignment="1" applyProtection="1">
      <alignment horizontal="center"/>
      <protection locked="0"/>
    </xf>
    <xf numFmtId="1" fontId="2" fillId="0" borderId="113" xfId="103" applyNumberFormat="1" applyFont="1" applyFill="1" applyBorder="1" applyAlignment="1" applyProtection="1">
      <alignment horizontal="center"/>
      <protection locked="0"/>
    </xf>
    <xf numFmtId="0" fontId="7" fillId="0" borderId="100" xfId="103" applyNumberFormat="1" applyFont="1" applyBorder="1" applyAlignment="1" applyProtection="1">
      <alignment horizontal="center"/>
      <protection locked="0"/>
    </xf>
    <xf numFmtId="0" fontId="2" fillId="0" borderId="100" xfId="103" applyNumberFormat="1" applyFont="1" applyBorder="1" applyAlignment="1" applyProtection="1">
      <alignment horizontal="center"/>
      <protection locked="0"/>
    </xf>
    <xf numFmtId="0" fontId="7" fillId="26" borderId="101" xfId="103" applyFont="1" applyFill="1" applyBorder="1" applyAlignment="1" applyProtection="1">
      <alignment horizontal="center" vertical="center"/>
      <protection locked="0"/>
    </xf>
    <xf numFmtId="0" fontId="7" fillId="26" borderId="112" xfId="103" applyFont="1" applyFill="1" applyBorder="1" applyAlignment="1" applyProtection="1">
      <alignment horizontal="center" vertical="center"/>
      <protection locked="0"/>
    </xf>
    <xf numFmtId="14" fontId="2" fillId="0" borderId="62" xfId="103" applyNumberFormat="1" applyFont="1" applyBorder="1" applyAlignment="1" applyProtection="1">
      <alignment horizontal="center"/>
      <protection locked="0"/>
    </xf>
    <xf numFmtId="0" fontId="7" fillId="26" borderId="43" xfId="103" applyFont="1" applyFill="1" applyBorder="1" applyAlignment="1" applyProtection="1">
      <alignment horizontal="center" vertical="center"/>
      <protection locked="0"/>
    </xf>
    <xf numFmtId="0" fontId="7" fillId="26" borderId="59" xfId="103" applyFont="1" applyFill="1" applyBorder="1" applyAlignment="1" applyProtection="1">
      <alignment horizontal="center" vertical="center"/>
      <protection locked="0"/>
    </xf>
    <xf numFmtId="0" fontId="7" fillId="26" borderId="43" xfId="103" applyFont="1" applyFill="1" applyBorder="1" applyAlignment="1" applyProtection="1">
      <alignment horizontal="center" vertical="center" wrapText="1"/>
      <protection locked="0"/>
    </xf>
    <xf numFmtId="0" fontId="7" fillId="26" borderId="59" xfId="103" applyFont="1" applyFill="1" applyBorder="1" applyAlignment="1" applyProtection="1">
      <alignment horizontal="center" vertical="center" wrapText="1"/>
      <protection locked="0"/>
    </xf>
    <xf numFmtId="0" fontId="7" fillId="26" borderId="82" xfId="103" applyFont="1" applyFill="1" applyBorder="1" applyAlignment="1" applyProtection="1">
      <alignment horizontal="center" vertical="center"/>
      <protection locked="0"/>
    </xf>
    <xf numFmtId="0" fontId="7" fillId="26" borderId="65" xfId="103" applyFont="1" applyFill="1" applyBorder="1" applyAlignment="1" applyProtection="1">
      <alignment horizontal="center" vertical="center"/>
      <protection locked="0"/>
    </xf>
    <xf numFmtId="0" fontId="7" fillId="26" borderId="77" xfId="103" applyFont="1" applyFill="1" applyBorder="1" applyAlignment="1" applyProtection="1">
      <alignment horizontal="center" vertical="center"/>
      <protection locked="0"/>
    </xf>
    <xf numFmtId="0" fontId="7" fillId="26" borderId="22" xfId="103" applyFont="1" applyFill="1" applyBorder="1" applyAlignment="1" applyProtection="1">
      <alignment horizontal="center" vertical="center"/>
      <protection locked="0"/>
    </xf>
    <xf numFmtId="0" fontId="7" fillId="26" borderId="58" xfId="103" applyFont="1" applyFill="1" applyBorder="1" applyAlignment="1" applyProtection="1">
      <alignment horizontal="center" vertical="center"/>
      <protection locked="0"/>
    </xf>
    <xf numFmtId="0" fontId="7" fillId="26" borderId="64" xfId="103" applyFont="1" applyFill="1" applyBorder="1" applyAlignment="1" applyProtection="1">
      <alignment horizontal="center" vertical="center"/>
      <protection locked="0"/>
    </xf>
    <xf numFmtId="0" fontId="7" fillId="26" borderId="39" xfId="103" applyFont="1" applyFill="1" applyBorder="1" applyAlignment="1" applyProtection="1">
      <alignment horizontal="center" vertical="center"/>
      <protection locked="0"/>
    </xf>
    <xf numFmtId="0" fontId="7" fillId="26" borderId="58" xfId="131" applyFont="1" applyFill="1" applyBorder="1" applyAlignment="1" applyProtection="1">
      <alignment horizontal="center" vertical="center"/>
      <protection locked="0"/>
    </xf>
    <xf numFmtId="0" fontId="7" fillId="26" borderId="39" xfId="131" applyFont="1" applyFill="1" applyBorder="1" applyAlignment="1" applyProtection="1">
      <alignment horizontal="center" vertical="center"/>
      <protection locked="0"/>
    </xf>
    <xf numFmtId="0" fontId="7" fillId="26" borderId="58" xfId="131" applyFont="1" applyFill="1" applyBorder="1" applyAlignment="1" applyProtection="1">
      <alignment horizontal="center" vertical="center" wrapText="1"/>
      <protection locked="0"/>
    </xf>
    <xf numFmtId="0" fontId="7" fillId="26" borderId="39" xfId="131" applyFont="1" applyFill="1" applyBorder="1" applyAlignment="1" applyProtection="1">
      <alignment horizontal="center" vertical="center" wrapText="1"/>
      <protection locked="0"/>
    </xf>
    <xf numFmtId="0" fontId="7" fillId="26" borderId="101" xfId="103" applyFont="1" applyFill="1" applyBorder="1" applyAlignment="1">
      <alignment horizontal="center"/>
    </xf>
    <xf numFmtId="0" fontId="7" fillId="26" borderId="112" xfId="103" applyFont="1" applyFill="1" applyBorder="1" applyAlignment="1">
      <alignment horizontal="center"/>
    </xf>
    <xf numFmtId="0" fontId="7" fillId="26" borderId="1" xfId="103" applyFont="1" applyFill="1" applyBorder="1" applyAlignment="1">
      <alignment horizontal="center"/>
    </xf>
    <xf numFmtId="0" fontId="2" fillId="0" borderId="1" xfId="103" applyFont="1" applyBorder="1" applyAlignment="1">
      <alignment horizontal="center"/>
    </xf>
    <xf numFmtId="0" fontId="7" fillId="26" borderId="58" xfId="103" applyFont="1" applyFill="1" applyBorder="1" applyAlignment="1">
      <alignment horizontal="center"/>
    </xf>
    <xf numFmtId="0" fontId="7" fillId="26" borderId="64" xfId="103" applyFont="1" applyFill="1" applyBorder="1" applyAlignment="1">
      <alignment horizontal="center"/>
    </xf>
    <xf numFmtId="0" fontId="7" fillId="26" borderId="39" xfId="103" applyFont="1" applyFill="1" applyBorder="1" applyAlignment="1">
      <alignment horizontal="center"/>
    </xf>
    <xf numFmtId="0" fontId="7" fillId="26" borderId="115" xfId="103" applyFont="1" applyFill="1" applyBorder="1" applyAlignment="1">
      <alignment horizontal="center"/>
    </xf>
    <xf numFmtId="1" fontId="2" fillId="0" borderId="63" xfId="0" applyNumberFormat="1" applyFont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 wrapText="1"/>
    </xf>
    <xf numFmtId="1" fontId="2" fillId="0" borderId="60" xfId="0" applyNumberFormat="1" applyFont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0" fontId="7" fillId="0" borderId="59" xfId="0" applyFont="1" applyFill="1" applyBorder="1" applyAlignment="1">
      <alignment horizontal="center" vertical="center" wrapText="1"/>
    </xf>
    <xf numFmtId="0" fontId="2" fillId="0" borderId="5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3" fontId="2" fillId="0" borderId="69" xfId="0" applyNumberFormat="1" applyFont="1" applyBorder="1" applyAlignment="1" applyProtection="1">
      <alignment horizontal="center" vertical="center" wrapText="1"/>
      <protection hidden="1"/>
    </xf>
    <xf numFmtId="3" fontId="2" fillId="0" borderId="119" xfId="0" applyNumberFormat="1" applyFont="1" applyBorder="1" applyAlignment="1" applyProtection="1">
      <alignment horizontal="center" vertical="center" wrapText="1"/>
      <protection hidden="1"/>
    </xf>
    <xf numFmtId="3" fontId="2" fillId="0" borderId="114" xfId="0" applyNumberFormat="1" applyFont="1" applyBorder="1" applyAlignment="1" applyProtection="1">
      <alignment horizontal="center" vertical="center" wrapText="1"/>
      <protection hidden="1"/>
    </xf>
    <xf numFmtId="3" fontId="2" fillId="0" borderId="101" xfId="0" applyNumberFormat="1" applyFont="1" applyBorder="1" applyAlignment="1" applyProtection="1">
      <alignment horizontal="center" vertical="center" wrapText="1"/>
      <protection hidden="1"/>
    </xf>
    <xf numFmtId="3" fontId="2" fillId="0" borderId="112" xfId="0" applyNumberFormat="1" applyFont="1" applyBorder="1" applyAlignment="1" applyProtection="1">
      <alignment horizontal="center" vertical="center" wrapText="1"/>
      <protection hidden="1"/>
    </xf>
    <xf numFmtId="3" fontId="2" fillId="0" borderId="115" xfId="0" applyNumberFormat="1" applyFont="1" applyBorder="1" applyAlignment="1" applyProtection="1">
      <alignment horizontal="center" vertical="center" wrapText="1"/>
      <protection hidden="1"/>
    </xf>
    <xf numFmtId="2" fontId="7" fillId="0" borderId="1" xfId="0" applyNumberFormat="1" applyFont="1" applyBorder="1" applyAlignment="1">
      <alignment horizontal="center" vertical="center" wrapText="1"/>
    </xf>
    <xf numFmtId="2" fontId="2" fillId="0" borderId="60" xfId="0" applyNumberFormat="1" applyFont="1" applyBorder="1" applyAlignment="1">
      <alignment horizontal="center" vertical="center" wrapText="1"/>
    </xf>
    <xf numFmtId="2" fontId="2" fillId="0" borderId="63" xfId="0" applyNumberFormat="1" applyFont="1" applyBorder="1" applyAlignment="1">
      <alignment horizontal="center" vertical="center" wrapText="1"/>
    </xf>
    <xf numFmtId="177" fontId="2" fillId="0" borderId="60" xfId="0" applyNumberFormat="1" applyFont="1" applyBorder="1" applyAlignment="1" applyProtection="1">
      <alignment horizontal="center" vertical="center" wrapText="1"/>
      <protection hidden="1"/>
    </xf>
    <xf numFmtId="177" fontId="2" fillId="0" borderId="63" xfId="0" applyNumberFormat="1" applyFont="1" applyBorder="1" applyAlignment="1" applyProtection="1">
      <alignment horizontal="center" vertical="center" wrapText="1"/>
      <protection hidden="1"/>
    </xf>
    <xf numFmtId="1" fontId="2" fillId="0" borderId="43" xfId="0" applyNumberFormat="1" applyFont="1" applyBorder="1" applyAlignment="1" applyProtection="1">
      <alignment horizontal="center" vertical="center" wrapText="1"/>
      <protection hidden="1"/>
    </xf>
    <xf numFmtId="0" fontId="7" fillId="26" borderId="1" xfId="0" applyFont="1" applyFill="1" applyBorder="1" applyAlignment="1">
      <alignment horizontal="center" vertical="center" wrapText="1"/>
    </xf>
    <xf numFmtId="1" fontId="90" fillId="0" borderId="1" xfId="0" applyNumberFormat="1" applyFont="1" applyBorder="1" applyAlignment="1">
      <alignment horizontal="center" vertical="center" wrapText="1"/>
    </xf>
    <xf numFmtId="1" fontId="96" fillId="0" borderId="1" xfId="0" applyNumberFormat="1" applyFont="1" applyBorder="1" applyAlignment="1">
      <alignment horizontal="center" vertical="center" wrapText="1"/>
    </xf>
    <xf numFmtId="14" fontId="96" fillId="0" borderId="62" xfId="0" applyNumberFormat="1" applyFont="1" applyBorder="1" applyAlignment="1">
      <alignment horizontal="center"/>
    </xf>
    <xf numFmtId="0" fontId="8" fillId="26" borderId="1" xfId="0" applyFont="1" applyFill="1" applyBorder="1" applyAlignment="1">
      <alignment horizontal="center" vertical="center" wrapText="1"/>
    </xf>
    <xf numFmtId="0" fontId="96" fillId="38" borderId="1" xfId="0" applyFont="1" applyFill="1" applyBorder="1" applyAlignment="1">
      <alignment horizontal="center" vertical="center" wrapText="1"/>
    </xf>
    <xf numFmtId="0" fontId="139" fillId="38" borderId="1" xfId="0" applyFont="1" applyFill="1" applyBorder="1" applyAlignment="1">
      <alignment horizontal="center"/>
    </xf>
    <xf numFmtId="0" fontId="8" fillId="38" borderId="1" xfId="0" applyFont="1" applyFill="1" applyBorder="1" applyAlignment="1">
      <alignment horizontal="center" vertical="center" wrapText="1"/>
    </xf>
    <xf numFmtId="0" fontId="8" fillId="0" borderId="5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7" fillId="0" borderId="64" xfId="128" applyFont="1" applyBorder="1" applyAlignment="1" applyProtection="1">
      <alignment horizontal="center" vertical="top"/>
      <protection hidden="1"/>
    </xf>
    <xf numFmtId="0" fontId="15" fillId="38" borderId="1" xfId="0" applyFont="1" applyFill="1" applyBorder="1" applyAlignment="1">
      <alignment horizontal="center" vertical="center" wrapText="1"/>
    </xf>
    <xf numFmtId="0" fontId="89" fillId="0" borderId="59" xfId="0" applyFont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0" fontId="90" fillId="0" borderId="68" xfId="0" applyFont="1" applyBorder="1" applyAlignment="1">
      <alignment horizontal="left" vertical="center" wrapText="1"/>
    </xf>
    <xf numFmtId="0" fontId="90" fillId="0" borderId="0" xfId="0" applyFont="1" applyBorder="1" applyAlignment="1">
      <alignment horizontal="left" vertical="center" wrapText="1"/>
    </xf>
    <xf numFmtId="0" fontId="90" fillId="0" borderId="116" xfId="0" applyFont="1" applyBorder="1" applyAlignment="1">
      <alignment horizontal="left" vertical="center" wrapText="1"/>
    </xf>
    <xf numFmtId="0" fontId="90" fillId="0" borderId="77" xfId="0" applyFont="1" applyBorder="1" applyAlignment="1">
      <alignment horizontal="left" vertical="center" wrapText="1"/>
    </xf>
    <xf numFmtId="0" fontId="90" fillId="0" borderId="62" xfId="0" applyFont="1" applyBorder="1" applyAlignment="1">
      <alignment horizontal="left" vertical="center" wrapText="1"/>
    </xf>
    <xf numFmtId="0" fontId="90" fillId="0" borderId="22" xfId="0" applyFont="1" applyBorder="1" applyAlignment="1">
      <alignment horizontal="left" vertical="center" wrapText="1"/>
    </xf>
    <xf numFmtId="0" fontId="99" fillId="38" borderId="1" xfId="0" applyFont="1" applyFill="1" applyBorder="1" applyAlignment="1">
      <alignment horizontal="center"/>
    </xf>
    <xf numFmtId="2" fontId="8" fillId="0" borderId="58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left" vertical="center" wrapText="1"/>
    </xf>
    <xf numFmtId="0" fontId="98" fillId="38" borderId="1" xfId="0" applyFont="1" applyFill="1" applyBorder="1" applyAlignment="1">
      <alignment horizontal="center" vertical="center" wrapText="1"/>
    </xf>
    <xf numFmtId="1" fontId="15" fillId="0" borderId="77" xfId="0" applyNumberFormat="1" applyFont="1" applyBorder="1" applyAlignment="1">
      <alignment horizontal="center" vertical="center" wrapText="1"/>
    </xf>
    <xf numFmtId="1" fontId="15" fillId="0" borderId="62" xfId="0" applyNumberFormat="1" applyFont="1" applyBorder="1" applyAlignment="1">
      <alignment horizontal="center" vertical="center" wrapText="1"/>
    </xf>
    <xf numFmtId="1" fontId="15" fillId="0" borderId="117" xfId="0" applyNumberFormat="1" applyFont="1" applyBorder="1" applyAlignment="1">
      <alignment horizontal="center" vertical="center" wrapText="1"/>
    </xf>
    <xf numFmtId="1" fontId="15" fillId="0" borderId="118" xfId="0" applyNumberFormat="1" applyFont="1" applyBorder="1" applyAlignment="1">
      <alignment horizontal="center" vertical="center" wrapText="1"/>
    </xf>
    <xf numFmtId="1" fontId="15" fillId="0" borderId="22" xfId="0" applyNumberFormat="1" applyFont="1" applyBorder="1" applyAlignment="1">
      <alignment horizontal="center" vertical="center" wrapText="1"/>
    </xf>
    <xf numFmtId="0" fontId="90" fillId="0" borderId="1" xfId="0" applyFont="1" applyBorder="1" applyAlignment="1">
      <alignment horizontal="left" vertical="center" wrapText="1"/>
    </xf>
    <xf numFmtId="0" fontId="98" fillId="0" borderId="1" xfId="0" applyFont="1" applyBorder="1" applyAlignment="1">
      <alignment horizontal="center" vertical="center" wrapText="1"/>
    </xf>
    <xf numFmtId="1" fontId="98" fillId="0" borderId="43" xfId="0" applyNumberFormat="1" applyFont="1" applyFill="1" applyBorder="1" applyAlignment="1">
      <alignment horizontal="center" vertical="center"/>
    </xf>
    <xf numFmtId="1" fontId="98" fillId="0" borderId="74" xfId="0" applyNumberFormat="1" applyFont="1" applyFill="1" applyBorder="1" applyAlignment="1">
      <alignment horizontal="center" vertical="center"/>
    </xf>
    <xf numFmtId="1" fontId="98" fillId="0" borderId="59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43" xfId="0" applyNumberFormat="1" applyFont="1" applyBorder="1" applyAlignment="1">
      <alignment horizontal="center" vertical="center" wrapText="1"/>
    </xf>
    <xf numFmtId="2" fontId="2" fillId="0" borderId="59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2" fontId="7" fillId="0" borderId="43" xfId="0" applyNumberFormat="1" applyFont="1" applyBorder="1" applyAlignment="1">
      <alignment horizontal="center" vertical="center" wrapText="1"/>
    </xf>
    <xf numFmtId="2" fontId="7" fillId="0" borderId="74" xfId="0" applyNumberFormat="1" applyFont="1" applyBorder="1" applyAlignment="1">
      <alignment horizontal="center" vertical="center" wrapText="1"/>
    </xf>
    <xf numFmtId="2" fontId="7" fillId="0" borderId="59" xfId="0" applyNumberFormat="1" applyFont="1" applyBorder="1" applyAlignment="1">
      <alignment horizontal="center" vertical="center" wrapText="1"/>
    </xf>
    <xf numFmtId="0" fontId="7" fillId="0" borderId="82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7" fillId="0" borderId="68" xfId="0" applyFont="1" applyBorder="1" applyAlignment="1">
      <alignment horizontal="center" vertical="center" wrapText="1"/>
    </xf>
    <xf numFmtId="0" fontId="7" fillId="0" borderId="116" xfId="0" applyFont="1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177" fontId="2" fillId="0" borderId="43" xfId="0" applyNumberFormat="1" applyFont="1" applyBorder="1" applyAlignment="1" applyProtection="1">
      <alignment horizontal="center" vertical="center" wrapText="1"/>
      <protection hidden="1"/>
    </xf>
    <xf numFmtId="177" fontId="2" fillId="0" borderId="74" xfId="0" applyNumberFormat="1" applyFont="1" applyBorder="1" applyAlignment="1" applyProtection="1">
      <alignment horizontal="center" vertical="center" wrapText="1"/>
      <protection hidden="1"/>
    </xf>
    <xf numFmtId="177" fontId="2" fillId="0" borderId="59" xfId="0" applyNumberFormat="1" applyFont="1" applyBorder="1" applyAlignment="1" applyProtection="1">
      <alignment horizontal="center" vertical="center" wrapText="1"/>
      <protection hidden="1"/>
    </xf>
    <xf numFmtId="177" fontId="2" fillId="0" borderId="1" xfId="0" applyNumberFormat="1" applyFont="1" applyBorder="1" applyAlignment="1" applyProtection="1">
      <alignment horizontal="center" vertical="center" wrapText="1"/>
      <protection hidden="1"/>
    </xf>
    <xf numFmtId="0" fontId="92" fillId="0" borderId="43" xfId="95" applyFont="1" applyBorder="1" applyAlignment="1" applyProtection="1">
      <alignment horizontal="center" vertical="center" wrapText="1"/>
      <protection hidden="1"/>
    </xf>
    <xf numFmtId="0" fontId="92" fillId="0" borderId="74" xfId="95" applyFont="1" applyBorder="1" applyAlignment="1" applyProtection="1">
      <alignment horizontal="center" vertical="center" wrapText="1"/>
      <protection hidden="1"/>
    </xf>
    <xf numFmtId="0" fontId="92" fillId="0" borderId="59" xfId="95" applyFont="1" applyBorder="1" applyAlignment="1" applyProtection="1">
      <alignment horizontal="center" vertical="center" wrapText="1"/>
      <protection hidden="1"/>
    </xf>
    <xf numFmtId="0" fontId="92" fillId="26" borderId="43" xfId="95" applyFont="1" applyFill="1" applyBorder="1" applyAlignment="1" applyProtection="1">
      <alignment horizontal="center" vertical="center" wrapText="1"/>
      <protection hidden="1"/>
    </xf>
    <xf numFmtId="0" fontId="92" fillId="26" borderId="59" xfId="95" applyFont="1" applyFill="1" applyBorder="1" applyAlignment="1" applyProtection="1">
      <alignment horizontal="center" vertical="center" wrapText="1"/>
      <protection hidden="1"/>
    </xf>
    <xf numFmtId="0" fontId="5" fillId="0" borderId="43" xfId="95" applyFont="1" applyBorder="1" applyAlignment="1" applyProtection="1">
      <alignment horizontal="center" vertical="center" wrapText="1"/>
      <protection hidden="1"/>
    </xf>
    <xf numFmtId="0" fontId="5" fillId="0" borderId="74" xfId="95" applyFont="1" applyBorder="1" applyAlignment="1" applyProtection="1">
      <alignment horizontal="center" vertical="center" wrapText="1"/>
      <protection hidden="1"/>
    </xf>
    <xf numFmtId="0" fontId="5" fillId="0" borderId="59" xfId="95" applyFont="1" applyBorder="1" applyAlignment="1" applyProtection="1">
      <alignment horizontal="center" vertical="center" wrapText="1"/>
      <protection hidden="1"/>
    </xf>
    <xf numFmtId="1" fontId="5" fillId="0" borderId="62" xfId="125" applyNumberFormat="1" applyFont="1" applyFill="1" applyBorder="1" applyAlignment="1">
      <alignment horizontal="right" vertical="center" wrapText="1"/>
    </xf>
    <xf numFmtId="0" fontId="92" fillId="26" borderId="1" xfId="95" applyFont="1" applyFill="1" applyBorder="1" applyAlignment="1" applyProtection="1">
      <alignment horizontal="center" vertical="center" wrapText="1"/>
      <protection hidden="1"/>
    </xf>
    <xf numFmtId="170" fontId="45" fillId="0" borderId="131" xfId="0" applyNumberFormat="1" applyFont="1" applyBorder="1" applyAlignment="1">
      <alignment horizontal="right" vertical="center"/>
    </xf>
    <xf numFmtId="170" fontId="45" fillId="0" borderId="143" xfId="0" applyNumberFormat="1" applyFont="1" applyBorder="1" applyAlignment="1">
      <alignment horizontal="right" vertical="center"/>
    </xf>
    <xf numFmtId="3" fontId="45" fillId="27" borderId="100" xfId="0" applyNumberFormat="1" applyFont="1" applyFill="1" applyBorder="1" applyAlignment="1">
      <alignment horizontal="right" vertical="center"/>
    </xf>
    <xf numFmtId="3" fontId="45" fillId="27" borderId="125" xfId="0" applyNumberFormat="1" applyFont="1" applyFill="1" applyBorder="1" applyAlignment="1">
      <alignment horizontal="right" vertical="center"/>
    </xf>
    <xf numFmtId="170" fontId="45" fillId="0" borderId="131" xfId="0" applyNumberFormat="1" applyFont="1" applyFill="1" applyBorder="1" applyAlignment="1">
      <alignment horizontal="right" vertical="center"/>
    </xf>
    <xf numFmtId="170" fontId="45" fillId="0" borderId="143" xfId="0" applyNumberFormat="1" applyFont="1" applyFill="1" applyBorder="1" applyAlignment="1">
      <alignment horizontal="right" vertical="center"/>
    </xf>
    <xf numFmtId="0" fontId="42" fillId="0" borderId="134" xfId="0" applyFont="1" applyBorder="1" applyAlignment="1">
      <alignment horizontal="center" vertical="center"/>
    </xf>
    <xf numFmtId="0" fontId="42" fillId="0" borderId="131" xfId="0" applyFont="1" applyBorder="1" applyAlignment="1">
      <alignment horizontal="center" vertical="center"/>
    </xf>
    <xf numFmtId="0" fontId="42" fillId="0" borderId="129" xfId="0" applyFont="1" applyBorder="1" applyAlignment="1">
      <alignment horizontal="center" vertical="center"/>
    </xf>
    <xf numFmtId="0" fontId="42" fillId="0" borderId="156" xfId="0" applyFont="1" applyBorder="1" applyAlignment="1">
      <alignment horizontal="center" vertical="center"/>
    </xf>
    <xf numFmtId="0" fontId="42" fillId="0" borderId="157" xfId="0" applyFont="1" applyBorder="1" applyAlignment="1">
      <alignment horizontal="center" vertical="center"/>
    </xf>
    <xf numFmtId="0" fontId="42" fillId="0" borderId="158" xfId="0" applyFont="1" applyBorder="1" applyAlignment="1">
      <alignment horizontal="center" vertical="center"/>
    </xf>
    <xf numFmtId="0" fontId="40" fillId="0" borderId="51" xfId="0" applyFont="1" applyBorder="1" applyAlignment="1">
      <alignment horizontal="left" vertical="center" wrapText="1"/>
    </xf>
    <xf numFmtId="0" fontId="40" fillId="0" borderId="123" xfId="0" applyFont="1" applyBorder="1" applyAlignment="1">
      <alignment horizontal="left" vertical="center" wrapText="1"/>
    </xf>
    <xf numFmtId="0" fontId="49" fillId="0" borderId="123" xfId="0" applyFont="1" applyBorder="1" applyAlignment="1">
      <alignment horizontal="left" vertical="center" wrapText="1"/>
    </xf>
    <xf numFmtId="0" fontId="49" fillId="0" borderId="120" xfId="0" applyFont="1" applyBorder="1" applyAlignment="1">
      <alignment horizontal="left" vertical="center" wrapText="1"/>
    </xf>
    <xf numFmtId="3" fontId="45" fillId="0" borderId="131" xfId="0" applyNumberFormat="1" applyFont="1" applyFill="1" applyBorder="1" applyAlignment="1">
      <alignment horizontal="right" vertical="center"/>
    </xf>
    <xf numFmtId="3" fontId="45" fillId="0" borderId="143" xfId="0" applyNumberFormat="1" applyFont="1" applyFill="1" applyBorder="1" applyAlignment="1">
      <alignment horizontal="right" vertical="center"/>
    </xf>
    <xf numFmtId="3" fontId="45" fillId="0" borderId="100" xfId="0" applyNumberFormat="1" applyFont="1" applyFill="1" applyBorder="1" applyAlignment="1">
      <alignment horizontal="right" vertical="center"/>
    </xf>
    <xf numFmtId="3" fontId="45" fillId="0" borderId="125" xfId="0" applyNumberFormat="1" applyFont="1" applyFill="1" applyBorder="1" applyAlignment="1">
      <alignment horizontal="right" vertical="center"/>
    </xf>
    <xf numFmtId="3" fontId="45" fillId="0" borderId="129" xfId="0" applyNumberFormat="1" applyFont="1" applyFill="1" applyBorder="1" applyAlignment="1">
      <alignment horizontal="right" vertical="center"/>
    </xf>
    <xf numFmtId="3" fontId="45" fillId="0" borderId="140" xfId="0" applyNumberFormat="1" applyFont="1" applyFill="1" applyBorder="1" applyAlignment="1">
      <alignment horizontal="right" vertical="center"/>
    </xf>
    <xf numFmtId="3" fontId="45" fillId="0" borderId="137" xfId="0" applyNumberFormat="1" applyFont="1" applyFill="1" applyBorder="1" applyAlignment="1">
      <alignment horizontal="right" vertical="center"/>
    </xf>
    <xf numFmtId="3" fontId="45" fillId="0" borderId="122" xfId="0" applyNumberFormat="1" applyFont="1" applyFill="1" applyBorder="1" applyAlignment="1">
      <alignment horizontal="right" vertical="center"/>
    </xf>
    <xf numFmtId="0" fontId="42" fillId="0" borderId="154" xfId="0" applyFont="1" applyFill="1" applyBorder="1" applyAlignment="1">
      <alignment horizontal="center" vertical="center" wrapText="1"/>
    </xf>
    <xf numFmtId="0" fontId="42" fillId="0" borderId="155" xfId="0" applyFont="1" applyFill="1" applyBorder="1" applyAlignment="1">
      <alignment horizontal="center" vertical="center" wrapText="1"/>
    </xf>
    <xf numFmtId="0" fontId="42" fillId="0" borderId="154" xfId="0" applyFont="1" applyBorder="1" applyAlignment="1">
      <alignment horizontal="center" vertical="center" wrapText="1"/>
    </xf>
    <xf numFmtId="0" fontId="42" fillId="0" borderId="155" xfId="0" applyFont="1" applyBorder="1" applyAlignment="1">
      <alignment horizontal="center" vertical="center" wrapText="1"/>
    </xf>
    <xf numFmtId="0" fontId="42" fillId="0" borderId="147" xfId="0" applyFont="1" applyBorder="1" applyAlignment="1">
      <alignment horizontal="center" vertical="center"/>
    </xf>
    <xf numFmtId="0" fontId="45" fillId="0" borderId="53" xfId="0" applyFont="1" applyBorder="1" applyAlignment="1">
      <alignment horizontal="left" vertical="center" wrapText="1"/>
    </xf>
    <xf numFmtId="0" fontId="45" fillId="0" borderId="123" xfId="0" applyFont="1" applyBorder="1" applyAlignment="1">
      <alignment horizontal="left" vertical="center" wrapText="1"/>
    </xf>
    <xf numFmtId="0" fontId="42" fillId="0" borderId="123" xfId="0" applyFont="1" applyBorder="1" applyAlignment="1">
      <alignment horizontal="left" vertical="center" wrapText="1"/>
    </xf>
    <xf numFmtId="0" fontId="42" fillId="0" borderId="120" xfId="0" applyFont="1" applyBorder="1" applyAlignment="1">
      <alignment horizontal="left" vertical="center" wrapText="1"/>
    </xf>
    <xf numFmtId="170" fontId="45" fillId="0" borderId="134" xfId="0" applyNumberFormat="1" applyFont="1" applyBorder="1" applyAlignment="1">
      <alignment horizontal="right" vertical="center"/>
    </xf>
    <xf numFmtId="170" fontId="45" fillId="0" borderId="138" xfId="0" applyNumberFormat="1" applyFont="1" applyBorder="1" applyAlignment="1">
      <alignment horizontal="right" vertical="center"/>
    </xf>
    <xf numFmtId="3" fontId="45" fillId="27" borderId="139" xfId="0" applyNumberFormat="1" applyFont="1" applyFill="1" applyBorder="1" applyAlignment="1">
      <alignment horizontal="right" vertical="center"/>
    </xf>
    <xf numFmtId="3" fontId="45" fillId="27" borderId="52" xfId="0" applyNumberFormat="1" applyFont="1" applyFill="1" applyBorder="1" applyAlignment="1">
      <alignment horizontal="right" vertical="center"/>
    </xf>
    <xf numFmtId="0" fontId="45" fillId="0" borderId="132" xfId="0" applyFont="1" applyBorder="1" applyAlignment="1">
      <alignment horizontal="center" vertical="center" wrapText="1"/>
    </xf>
    <xf numFmtId="170" fontId="45" fillId="0" borderId="146" xfId="0" applyNumberFormat="1" applyFont="1" applyBorder="1" applyAlignment="1">
      <alignment horizontal="right" vertical="center"/>
    </xf>
    <xf numFmtId="170" fontId="45" fillId="0" borderId="113" xfId="0" applyNumberFormat="1" applyFont="1" applyBorder="1" applyAlignment="1">
      <alignment horizontal="right" vertical="center"/>
    </xf>
    <xf numFmtId="0" fontId="42" fillId="0" borderId="15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152" xfId="0" applyFont="1" applyBorder="1" applyAlignment="1">
      <alignment horizontal="center" vertical="center"/>
    </xf>
    <xf numFmtId="0" fontId="40" fillId="0" borderId="47" xfId="0" applyFont="1" applyBorder="1" applyAlignment="1">
      <alignment horizontal="left" vertical="center" wrapText="1"/>
    </xf>
    <xf numFmtId="0" fontId="40" fillId="0" borderId="153" xfId="0" applyFont="1" applyBorder="1" applyAlignment="1">
      <alignment horizontal="left" vertical="center" wrapText="1"/>
    </xf>
    <xf numFmtId="0" fontId="40" fillId="0" borderId="49" xfId="0" applyFont="1" applyBorder="1" applyAlignment="1">
      <alignment horizontal="left" vertical="center" wrapText="1"/>
    </xf>
    <xf numFmtId="0" fontId="45" fillId="0" borderId="123" xfId="0" applyFont="1" applyFill="1" applyBorder="1" applyAlignment="1">
      <alignment horizontal="center" vertical="center" wrapText="1"/>
    </xf>
    <xf numFmtId="0" fontId="45" fillId="0" borderId="125" xfId="0" applyFont="1" applyFill="1" applyBorder="1" applyAlignment="1">
      <alignment horizontal="center" vertical="center" wrapText="1"/>
    </xf>
    <xf numFmtId="0" fontId="42" fillId="0" borderId="123" xfId="0" applyFont="1" applyBorder="1" applyAlignment="1">
      <alignment horizontal="center" vertical="center"/>
    </xf>
    <xf numFmtId="0" fontId="42" fillId="0" borderId="124" xfId="0" applyFont="1" applyBorder="1" applyAlignment="1">
      <alignment horizontal="center" vertical="center"/>
    </xf>
    <xf numFmtId="0" fontId="42" fillId="0" borderId="123" xfId="0" applyFont="1" applyFill="1" applyBorder="1" applyAlignment="1">
      <alignment horizontal="center" vertical="center"/>
    </xf>
    <xf numFmtId="0" fontId="42" fillId="0" borderId="125" xfId="0" applyFont="1" applyFill="1" applyBorder="1" applyAlignment="1">
      <alignment horizontal="center" vertical="center"/>
    </xf>
    <xf numFmtId="0" fontId="42" fillId="0" borderId="51" xfId="0" applyFont="1" applyBorder="1" applyAlignment="1">
      <alignment horizontal="center" vertical="center"/>
    </xf>
    <xf numFmtId="0" fontId="42" fillId="0" borderId="133" xfId="0" applyFont="1" applyBorder="1" applyAlignment="1">
      <alignment horizontal="center" vertical="center"/>
    </xf>
    <xf numFmtId="3" fontId="42" fillId="0" borderId="149" xfId="0" applyNumberFormat="1" applyFont="1" applyBorder="1" applyAlignment="1">
      <alignment horizontal="right" vertical="center"/>
    </xf>
    <xf numFmtId="3" fontId="42" fillId="0" borderId="150" xfId="0" applyNumberFormat="1" applyFont="1" applyBorder="1" applyAlignment="1">
      <alignment horizontal="right" vertical="center"/>
    </xf>
    <xf numFmtId="0" fontId="42" fillId="0" borderId="137" xfId="0" applyFont="1" applyBorder="1" applyAlignment="1">
      <alignment horizontal="right" vertical="center"/>
    </xf>
    <xf numFmtId="0" fontId="42" fillId="0" borderId="122" xfId="0" applyFont="1" applyBorder="1" applyAlignment="1">
      <alignment horizontal="right" vertical="center"/>
    </xf>
    <xf numFmtId="0" fontId="14" fillId="0" borderId="131" xfId="0" applyFont="1" applyFill="1" applyBorder="1" applyAlignment="1">
      <alignment horizontal="center" vertical="center"/>
    </xf>
    <xf numFmtId="0" fontId="14" fillId="0" borderId="132" xfId="0" applyFont="1" applyFill="1" applyBorder="1" applyAlignment="1">
      <alignment horizontal="center" vertical="center"/>
    </xf>
    <xf numFmtId="0" fontId="42" fillId="0" borderId="132" xfId="0" applyFont="1" applyBorder="1" applyAlignment="1">
      <alignment horizontal="center" vertical="center"/>
    </xf>
    <xf numFmtId="0" fontId="45" fillId="0" borderId="132" xfId="0" applyFont="1" applyFill="1" applyBorder="1" applyAlignment="1">
      <alignment horizontal="center" vertical="center" wrapText="1"/>
    </xf>
    <xf numFmtId="0" fontId="42" fillId="0" borderId="130" xfId="0" applyFont="1" applyBorder="1" applyAlignment="1">
      <alignment horizontal="center" vertical="center"/>
    </xf>
    <xf numFmtId="0" fontId="42" fillId="0" borderId="120" xfId="0" applyFont="1" applyBorder="1" applyAlignment="1">
      <alignment horizontal="center" vertical="center"/>
    </xf>
    <xf numFmtId="0" fontId="42" fillId="0" borderId="121" xfId="0" applyFont="1" applyBorder="1" applyAlignment="1">
      <alignment horizontal="center" vertical="center"/>
    </xf>
    <xf numFmtId="0" fontId="45" fillId="0" borderId="120" xfId="0" applyFont="1" applyFill="1" applyBorder="1" applyAlignment="1">
      <alignment horizontal="center" vertical="center" wrapText="1"/>
    </xf>
    <xf numFmtId="0" fontId="45" fillId="0" borderId="122" xfId="0" applyFont="1" applyFill="1" applyBorder="1" applyAlignment="1">
      <alignment horizontal="center" vertical="center" wrapText="1"/>
    </xf>
    <xf numFmtId="0" fontId="42" fillId="0" borderId="53" xfId="0" applyFont="1" applyBorder="1" applyAlignment="1">
      <alignment horizontal="center" vertical="center"/>
    </xf>
    <xf numFmtId="3" fontId="42" fillId="0" borderId="146" xfId="0" applyNumberFormat="1" applyFont="1" applyFill="1" applyBorder="1" applyAlignment="1">
      <alignment horizontal="right" vertical="center"/>
    </xf>
    <xf numFmtId="3" fontId="42" fillId="0" borderId="113" xfId="0" applyNumberFormat="1" applyFont="1" applyFill="1" applyBorder="1" applyAlignment="1">
      <alignment horizontal="right" vertical="center"/>
    </xf>
    <xf numFmtId="0" fontId="42" fillId="0" borderId="100" xfId="0" applyFont="1" applyBorder="1" applyAlignment="1">
      <alignment horizontal="right" vertical="center"/>
    </xf>
    <xf numFmtId="0" fontId="42" fillId="0" borderId="125" xfId="0" applyFont="1" applyBorder="1" applyAlignment="1">
      <alignment horizontal="right" vertical="center"/>
    </xf>
    <xf numFmtId="0" fontId="14" fillId="0" borderId="129" xfId="0" applyFont="1" applyFill="1" applyBorder="1" applyAlignment="1">
      <alignment horizontal="center" vertical="center"/>
    </xf>
    <xf numFmtId="0" fontId="14" fillId="0" borderId="130" xfId="0" applyFont="1" applyFill="1" applyBorder="1" applyAlignment="1">
      <alignment horizontal="center" vertical="center"/>
    </xf>
    <xf numFmtId="0" fontId="45" fillId="0" borderId="130" xfId="0" applyFont="1" applyFill="1" applyBorder="1" applyAlignment="1">
      <alignment horizontal="center" vertical="center" wrapText="1"/>
    </xf>
    <xf numFmtId="0" fontId="14" fillId="0" borderId="147" xfId="0" applyFont="1" applyFill="1" applyBorder="1" applyAlignment="1">
      <alignment horizontal="center" vertical="center"/>
    </xf>
    <xf numFmtId="0" fontId="14" fillId="0" borderId="148" xfId="0" applyFont="1" applyFill="1" applyBorder="1" applyAlignment="1">
      <alignment horizontal="center" vertical="center"/>
    </xf>
    <xf numFmtId="0" fontId="42" fillId="0" borderId="148" xfId="0" applyFont="1" applyBorder="1" applyAlignment="1">
      <alignment horizontal="center" vertical="center"/>
    </xf>
    <xf numFmtId="0" fontId="48" fillId="35" borderId="53" xfId="0" applyFont="1" applyFill="1" applyBorder="1" applyAlignment="1">
      <alignment horizontal="center" vertical="justify" wrapText="1"/>
    </xf>
    <xf numFmtId="0" fontId="48" fillId="35" borderId="54" xfId="0" applyFont="1" applyFill="1" applyBorder="1" applyAlignment="1">
      <alignment horizontal="center" vertical="justify" wrapText="1"/>
    </xf>
    <xf numFmtId="0" fontId="48" fillId="34" borderId="148" xfId="0" applyFont="1" applyFill="1" applyBorder="1" applyAlignment="1">
      <alignment horizontal="center" vertical="justify" wrapText="1"/>
    </xf>
    <xf numFmtId="170" fontId="45" fillId="0" borderId="144" xfId="0" applyNumberFormat="1" applyFont="1" applyFill="1" applyBorder="1" applyAlignment="1">
      <alignment horizontal="right" vertical="center"/>
    </xf>
    <xf numFmtId="170" fontId="45" fillId="0" borderId="145" xfId="0" applyNumberFormat="1" applyFont="1" applyFill="1" applyBorder="1" applyAlignment="1">
      <alignment horizontal="right" vertical="center"/>
    </xf>
    <xf numFmtId="170" fontId="45" fillId="0" borderId="134" xfId="0" applyNumberFormat="1" applyFont="1" applyFill="1" applyBorder="1" applyAlignment="1">
      <alignment horizontal="right" vertical="center"/>
    </xf>
    <xf numFmtId="170" fontId="45" fillId="0" borderId="138" xfId="0" applyNumberFormat="1" applyFont="1" applyFill="1" applyBorder="1" applyAlignment="1">
      <alignment horizontal="right" vertical="center"/>
    </xf>
    <xf numFmtId="0" fontId="42" fillId="0" borderId="47" xfId="0" applyFont="1" applyBorder="1" applyAlignment="1">
      <alignment horizontal="center" textRotation="90"/>
    </xf>
    <xf numFmtId="0" fontId="42" fillId="0" borderId="126" xfId="0" applyFont="1" applyBorder="1" applyAlignment="1">
      <alignment horizontal="center" textRotation="90"/>
    </xf>
    <xf numFmtId="0" fontId="42" fillId="0" borderId="49" xfId="0" applyFont="1" applyBorder="1" applyAlignment="1">
      <alignment horizontal="center" textRotation="90"/>
    </xf>
    <xf numFmtId="0" fontId="42" fillId="0" borderId="127" xfId="0" applyFont="1" applyBorder="1" applyAlignment="1">
      <alignment horizontal="center" textRotation="90"/>
    </xf>
    <xf numFmtId="0" fontId="42" fillId="0" borderId="128" xfId="0" applyFont="1" applyBorder="1" applyAlignment="1">
      <alignment horizontal="center" textRotation="90"/>
    </xf>
    <xf numFmtId="0" fontId="42" fillId="0" borderId="130" xfId="0" applyFont="1" applyBorder="1" applyAlignment="1">
      <alignment horizontal="center" textRotation="90"/>
    </xf>
    <xf numFmtId="0" fontId="48" fillId="34" borderId="123" xfId="0" applyFont="1" applyFill="1" applyBorder="1" applyAlignment="1">
      <alignment horizontal="center" vertical="justify" wrapText="1"/>
    </xf>
    <xf numFmtId="0" fontId="48" fillId="34" borderId="124" xfId="0" applyFont="1" applyFill="1" applyBorder="1" applyAlignment="1">
      <alignment horizontal="center" vertical="justify" wrapText="1"/>
    </xf>
    <xf numFmtId="0" fontId="45" fillId="0" borderId="141" xfId="0" applyFont="1" applyBorder="1" applyAlignment="1">
      <alignment horizontal="center" vertical="center"/>
    </xf>
    <xf numFmtId="0" fontId="45" fillId="0" borderId="142" xfId="0" applyFont="1" applyBorder="1" applyAlignment="1">
      <alignment horizontal="center" vertical="center"/>
    </xf>
    <xf numFmtId="0" fontId="48" fillId="26" borderId="134" xfId="0" applyFont="1" applyFill="1" applyBorder="1" applyAlignment="1">
      <alignment horizontal="center" vertical="justify"/>
    </xf>
    <xf numFmtId="0" fontId="48" fillId="26" borderId="128" xfId="0" applyFont="1" applyFill="1" applyBorder="1" applyAlignment="1">
      <alignment horizontal="center" vertical="justify"/>
    </xf>
    <xf numFmtId="0" fontId="45" fillId="0" borderId="128" xfId="0" applyFont="1" applyBorder="1" applyAlignment="1">
      <alignment horizontal="center" vertical="center" wrapText="1"/>
    </xf>
    <xf numFmtId="0" fontId="42" fillId="0" borderId="134" xfId="0" applyFont="1" applyBorder="1" applyAlignment="1">
      <alignment horizontal="center" textRotation="90"/>
    </xf>
    <xf numFmtId="0" fontId="42" fillId="0" borderId="129" xfId="0" applyFont="1" applyBorder="1" applyAlignment="1">
      <alignment horizontal="center" textRotation="90"/>
    </xf>
    <xf numFmtId="0" fontId="45" fillId="0" borderId="51" xfId="0" applyFont="1" applyBorder="1" applyAlignment="1">
      <alignment horizontal="center" vertical="center" wrapText="1"/>
    </xf>
    <xf numFmtId="0" fontId="45" fillId="0" borderId="133" xfId="0" applyFont="1" applyBorder="1" applyAlignment="1">
      <alignment horizontal="center" vertical="center" wrapText="1"/>
    </xf>
    <xf numFmtId="3" fontId="45" fillId="27" borderId="137" xfId="0" applyNumberFormat="1" applyFont="1" applyFill="1" applyBorder="1" applyAlignment="1">
      <alignment horizontal="right" vertical="center"/>
    </xf>
    <xf numFmtId="3" fontId="45" fillId="27" borderId="122" xfId="0" applyNumberFormat="1" applyFont="1" applyFill="1" applyBorder="1" applyAlignment="1">
      <alignment horizontal="right" vertical="center"/>
    </xf>
    <xf numFmtId="0" fontId="45" fillId="52" borderId="123" xfId="0" applyFont="1" applyFill="1" applyBorder="1" applyAlignment="1">
      <alignment horizontal="center" vertical="center" wrapText="1"/>
    </xf>
    <xf numFmtId="0" fontId="45" fillId="52" borderId="124" xfId="0" applyFont="1" applyFill="1" applyBorder="1" applyAlignment="1">
      <alignment horizontal="center" vertical="center" wrapText="1"/>
    </xf>
    <xf numFmtId="0" fontId="42" fillId="0" borderId="128" xfId="0" applyFont="1" applyBorder="1" applyAlignment="1">
      <alignment horizontal="center" vertical="center"/>
    </xf>
    <xf numFmtId="0" fontId="45" fillId="32" borderId="123" xfId="0" applyFont="1" applyFill="1" applyBorder="1" applyAlignment="1">
      <alignment horizontal="center" vertical="center" wrapText="1"/>
    </xf>
    <xf numFmtId="0" fontId="45" fillId="32" borderId="124" xfId="0" applyFont="1" applyFill="1" applyBorder="1" applyAlignment="1">
      <alignment horizontal="center" vertical="center" wrapText="1"/>
    </xf>
    <xf numFmtId="0" fontId="48" fillId="31" borderId="132" xfId="0" applyFont="1" applyFill="1" applyBorder="1" applyAlignment="1">
      <alignment horizontal="center" vertical="justify"/>
    </xf>
    <xf numFmtId="0" fontId="48" fillId="33" borderId="132" xfId="0" applyFont="1" applyFill="1" applyBorder="1" applyAlignment="1">
      <alignment horizontal="center" vertical="justify"/>
    </xf>
    <xf numFmtId="0" fontId="42" fillId="0" borderId="136" xfId="0" applyFont="1" applyBorder="1" applyAlignment="1">
      <alignment horizontal="center" vertical="center"/>
    </xf>
    <xf numFmtId="0" fontId="14" fillId="0" borderId="135" xfId="0" applyFont="1" applyFill="1" applyBorder="1" applyAlignment="1">
      <alignment horizontal="center" vertical="center"/>
    </xf>
    <xf numFmtId="0" fontId="14" fillId="0" borderId="136" xfId="0" applyFont="1" applyFill="1" applyBorder="1" applyAlignment="1">
      <alignment horizontal="center" vertical="center"/>
    </xf>
    <xf numFmtId="0" fontId="45" fillId="0" borderId="136" xfId="0" applyFont="1" applyBorder="1" applyAlignment="1">
      <alignment horizontal="center" vertical="center" wrapText="1"/>
    </xf>
    <xf numFmtId="0" fontId="48" fillId="30" borderId="123" xfId="0" applyFont="1" applyFill="1" applyBorder="1" applyAlignment="1">
      <alignment horizontal="center" vertical="justify" wrapText="1"/>
    </xf>
    <xf numFmtId="0" fontId="48" fillId="30" borderId="124" xfId="0" applyFont="1" applyFill="1" applyBorder="1" applyAlignment="1">
      <alignment horizontal="center" vertical="justify" wrapText="1"/>
    </xf>
    <xf numFmtId="0" fontId="14" fillId="0" borderId="134" xfId="0" applyFont="1" applyFill="1" applyBorder="1" applyAlignment="1">
      <alignment horizontal="center" vertical="center"/>
    </xf>
    <xf numFmtId="0" fontId="14" fillId="0" borderId="128" xfId="0" applyFont="1" applyFill="1" applyBorder="1" applyAlignment="1">
      <alignment horizontal="center" vertical="center"/>
    </xf>
    <xf numFmtId="0" fontId="48" fillId="31" borderId="128" xfId="0" applyFont="1" applyFill="1" applyBorder="1" applyAlignment="1">
      <alignment horizontal="center" vertical="justify"/>
    </xf>
    <xf numFmtId="0" fontId="46" fillId="31" borderId="128" xfId="0" applyFont="1" applyFill="1" applyBorder="1" applyAlignment="1">
      <alignment horizontal="center" vertical="justify"/>
    </xf>
    <xf numFmtId="0" fontId="14" fillId="30" borderId="123" xfId="0" applyFont="1" applyFill="1" applyBorder="1" applyAlignment="1">
      <alignment horizontal="center" vertical="center"/>
    </xf>
    <xf numFmtId="0" fontId="14" fillId="30" borderId="124" xfId="0" applyFont="1" applyFill="1" applyBorder="1" applyAlignment="1">
      <alignment horizontal="center" vertical="center"/>
    </xf>
    <xf numFmtId="0" fontId="45" fillId="29" borderId="123" xfId="0" applyFont="1" applyFill="1" applyBorder="1" applyAlignment="1">
      <alignment horizontal="center" vertical="center" wrapText="1"/>
    </xf>
    <xf numFmtId="0" fontId="45" fillId="29" borderId="124" xfId="0" applyFont="1" applyFill="1" applyBorder="1" applyAlignment="1">
      <alignment horizontal="center" vertical="center" wrapText="1"/>
    </xf>
    <xf numFmtId="0" fontId="135" fillId="0" borderId="35" xfId="0" applyFont="1" applyBorder="1" applyAlignment="1">
      <alignment vertical="center"/>
    </xf>
    <xf numFmtId="6" fontId="0" fillId="0" borderId="41" xfId="0" applyNumberFormat="1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159" xfId="0" applyBorder="1" applyAlignment="1">
      <alignment horizontal="center" vertical="center"/>
    </xf>
    <xf numFmtId="14" fontId="0" fillId="0" borderId="159" xfId="0" applyNumberFormat="1" applyBorder="1" applyAlignment="1"/>
    <xf numFmtId="0" fontId="0" fillId="0" borderId="159" xfId="0" applyBorder="1" applyAlignment="1"/>
    <xf numFmtId="1" fontId="2" fillId="0" borderId="43" xfId="0" applyNumberFormat="1" applyFont="1" applyFill="1" applyBorder="1" applyAlignment="1">
      <alignment horizontal="center" vertical="center" wrapText="1"/>
    </xf>
    <xf numFmtId="1" fontId="2" fillId="0" borderId="74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43" xfId="0" applyNumberFormat="1" applyFont="1" applyFill="1" applyBorder="1" applyAlignment="1" applyProtection="1">
      <alignment horizontal="center" vertical="center"/>
    </xf>
    <xf numFmtId="1" fontId="129" fillId="0" borderId="43" xfId="0" applyNumberFormat="1" applyFont="1" applyFill="1" applyBorder="1" applyAlignment="1" applyProtection="1">
      <alignment horizontal="center" vertical="center"/>
    </xf>
    <xf numFmtId="1" fontId="129" fillId="0" borderId="74" xfId="0" applyNumberFormat="1" applyFont="1" applyFill="1" applyBorder="1" applyAlignment="1" applyProtection="1">
      <alignment horizontal="center" vertical="center"/>
    </xf>
    <xf numFmtId="0" fontId="7" fillId="26" borderId="43" xfId="0" applyFont="1" applyFill="1" applyBorder="1" applyAlignment="1">
      <alignment horizontal="center" vertical="center"/>
    </xf>
    <xf numFmtId="0" fontId="7" fillId="26" borderId="59" xfId="0" applyFont="1" applyFill="1" applyBorder="1" applyAlignment="1">
      <alignment horizontal="center" vertical="center"/>
    </xf>
    <xf numFmtId="0" fontId="7" fillId="26" borderId="43" xfId="0" applyFont="1" applyFill="1" applyBorder="1" applyAlignment="1">
      <alignment horizontal="center" vertical="center" wrapText="1"/>
    </xf>
    <xf numFmtId="0" fontId="7" fillId="26" borderId="59" xfId="0" applyFont="1" applyFill="1" applyBorder="1" applyAlignment="1">
      <alignment horizontal="center" vertical="center" wrapText="1"/>
    </xf>
    <xf numFmtId="0" fontId="7" fillId="26" borderId="58" xfId="0" applyFont="1" applyFill="1" applyBorder="1" applyAlignment="1">
      <alignment horizontal="center" vertical="center"/>
    </xf>
    <xf numFmtId="0" fontId="7" fillId="26" borderId="64" xfId="0" applyFont="1" applyFill="1" applyBorder="1" applyAlignment="1">
      <alignment horizontal="center" vertical="center"/>
    </xf>
    <xf numFmtId="0" fontId="7" fillId="26" borderId="39" xfId="0" applyFont="1" applyFill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74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43" xfId="0" applyFont="1" applyFill="1" applyBorder="1" applyAlignment="1">
      <alignment horizontal="left" vertical="center"/>
    </xf>
    <xf numFmtId="0" fontId="2" fillId="0" borderId="59" xfId="0" applyFont="1" applyFill="1" applyBorder="1" applyAlignment="1">
      <alignment horizontal="left" vertical="center"/>
    </xf>
    <xf numFmtId="2" fontId="2" fillId="0" borderId="43" xfId="0" applyNumberFormat="1" applyFont="1" applyFill="1" applyBorder="1" applyAlignment="1">
      <alignment horizontal="center" vertical="center"/>
    </xf>
    <xf numFmtId="2" fontId="2" fillId="0" borderId="59" xfId="0" applyNumberFormat="1" applyFont="1" applyFill="1" applyBorder="1" applyAlignment="1">
      <alignment horizontal="center" vertical="center"/>
    </xf>
    <xf numFmtId="3" fontId="51" fillId="0" borderId="0" xfId="130" applyNumberFormat="1" applyFont="1" applyBorder="1" applyAlignment="1">
      <alignment horizontal="center" vertical="center" wrapText="1"/>
    </xf>
    <xf numFmtId="1" fontId="2" fillId="0" borderId="62" xfId="80" applyNumberFormat="1" applyFont="1" applyFill="1" applyBorder="1" applyAlignment="1" applyProtection="1">
      <alignment horizontal="right" vertical="center" wrapText="1"/>
    </xf>
    <xf numFmtId="0" fontId="7" fillId="26" borderId="74" xfId="0" applyFont="1" applyFill="1" applyBorder="1" applyAlignment="1">
      <alignment horizontal="center" vertical="center"/>
    </xf>
    <xf numFmtId="0" fontId="7" fillId="26" borderId="82" xfId="0" applyFont="1" applyFill="1" applyBorder="1" applyAlignment="1">
      <alignment horizontal="center" vertical="center"/>
    </xf>
    <xf numFmtId="0" fontId="7" fillId="26" borderId="65" xfId="0" applyFont="1" applyFill="1" applyBorder="1" applyAlignment="1">
      <alignment horizontal="center" vertical="center"/>
    </xf>
    <xf numFmtId="0" fontId="7" fillId="26" borderId="77" xfId="0" applyFont="1" applyFill="1" applyBorder="1" applyAlignment="1">
      <alignment horizontal="center" vertical="center"/>
    </xf>
    <xf numFmtId="0" fontId="7" fillId="26" borderId="22" xfId="0" applyFont="1" applyFill="1" applyBorder="1" applyAlignment="1">
      <alignment horizontal="center" vertical="center"/>
    </xf>
    <xf numFmtId="0" fontId="7" fillId="26" borderId="82" xfId="0" applyFont="1" applyFill="1" applyBorder="1" applyAlignment="1">
      <alignment horizontal="center" vertical="center" wrapText="1"/>
    </xf>
    <xf numFmtId="0" fontId="7" fillId="26" borderId="65" xfId="0" applyFont="1" applyFill="1" applyBorder="1" applyAlignment="1">
      <alignment horizontal="center" vertical="center" wrapText="1"/>
    </xf>
    <xf numFmtId="0" fontId="7" fillId="26" borderId="77" xfId="0" applyFont="1" applyFill="1" applyBorder="1" applyAlignment="1">
      <alignment horizontal="center" vertical="center" wrapText="1"/>
    </xf>
    <xf numFmtId="0" fontId="7" fillId="26" borderId="22" xfId="0" applyFont="1" applyFill="1" applyBorder="1" applyAlignment="1">
      <alignment horizontal="center" vertical="center" wrapText="1"/>
    </xf>
    <xf numFmtId="0" fontId="7" fillId="26" borderId="1" xfId="0" applyFont="1" applyFill="1" applyBorder="1" applyAlignment="1" applyProtection="1">
      <alignment horizontal="center" vertical="center"/>
      <protection locked="0"/>
    </xf>
    <xf numFmtId="0" fontId="2" fillId="0" borderId="43" xfId="0" applyFont="1" applyFill="1" applyBorder="1" applyAlignment="1">
      <alignment horizontal="center" vertical="center" wrapText="1"/>
    </xf>
    <xf numFmtId="0" fontId="2" fillId="0" borderId="74" xfId="0" applyFont="1" applyFill="1" applyBorder="1" applyAlignment="1">
      <alignment horizontal="center" vertical="center" wrapText="1"/>
    </xf>
    <xf numFmtId="174" fontId="2" fillId="0" borderId="43" xfId="0" applyNumberFormat="1" applyFont="1" applyFill="1" applyBorder="1" applyAlignment="1">
      <alignment horizontal="center" vertical="center"/>
    </xf>
    <xf numFmtId="174" fontId="2" fillId="0" borderId="74" xfId="0" applyNumberFormat="1" applyFont="1" applyFill="1" applyBorder="1" applyAlignment="1">
      <alignment horizontal="center" vertical="center"/>
    </xf>
    <xf numFmtId="174" fontId="2" fillId="0" borderId="59" xfId="0" applyNumberFormat="1" applyFont="1" applyFill="1" applyBorder="1" applyAlignment="1">
      <alignment horizontal="center" vertical="center"/>
    </xf>
    <xf numFmtId="2" fontId="2" fillId="0" borderId="82" xfId="0" applyNumberFormat="1" applyFont="1" applyFill="1" applyBorder="1" applyAlignment="1">
      <alignment horizontal="center" vertical="center"/>
    </xf>
    <xf numFmtId="2" fontId="2" fillId="0" borderId="65" xfId="0" applyNumberFormat="1" applyFont="1" applyFill="1" applyBorder="1" applyAlignment="1">
      <alignment horizontal="center" vertical="center"/>
    </xf>
    <xf numFmtId="2" fontId="2" fillId="0" borderId="68" xfId="0" applyNumberFormat="1" applyFont="1" applyFill="1" applyBorder="1" applyAlignment="1">
      <alignment horizontal="center" vertical="center"/>
    </xf>
    <xf numFmtId="2" fontId="2" fillId="0" borderId="116" xfId="0" applyNumberFormat="1" applyFont="1" applyFill="1" applyBorder="1" applyAlignment="1">
      <alignment horizontal="center" vertical="center"/>
    </xf>
    <xf numFmtId="2" fontId="2" fillId="0" borderId="77" xfId="0" applyNumberFormat="1" applyFont="1" applyFill="1" applyBorder="1" applyAlignment="1">
      <alignment horizontal="center" vertical="center"/>
    </xf>
    <xf numFmtId="2" fontId="2" fillId="0" borderId="22" xfId="0" applyNumberFormat="1" applyFont="1" applyFill="1" applyBorder="1" applyAlignment="1">
      <alignment horizontal="center" vertical="center"/>
    </xf>
    <xf numFmtId="1" fontId="2" fillId="0" borderId="82" xfId="0" applyNumberFormat="1" applyFont="1" applyFill="1" applyBorder="1" applyAlignment="1">
      <alignment horizontal="center" vertical="center"/>
    </xf>
    <xf numFmtId="1" fontId="2" fillId="0" borderId="65" xfId="0" applyNumberFormat="1" applyFont="1" applyFill="1" applyBorder="1" applyAlignment="1">
      <alignment horizontal="center" vertical="center"/>
    </xf>
    <xf numFmtId="1" fontId="2" fillId="0" borderId="68" xfId="0" applyNumberFormat="1" applyFont="1" applyFill="1" applyBorder="1" applyAlignment="1">
      <alignment horizontal="center" vertical="center"/>
    </xf>
    <xf numFmtId="1" fontId="2" fillId="0" borderId="116" xfId="0" applyNumberFormat="1" applyFont="1" applyFill="1" applyBorder="1" applyAlignment="1">
      <alignment horizontal="center" vertical="center"/>
    </xf>
    <xf numFmtId="1" fontId="2" fillId="0" borderId="77" xfId="0" applyNumberFormat="1" applyFont="1" applyFill="1" applyBorder="1" applyAlignment="1">
      <alignment horizontal="center" vertical="center"/>
    </xf>
    <xf numFmtId="1" fontId="2" fillId="0" borderId="22" xfId="0" applyNumberFormat="1" applyFont="1" applyFill="1" applyBorder="1" applyAlignment="1">
      <alignment horizontal="center" vertical="center"/>
    </xf>
    <xf numFmtId="1" fontId="2" fillId="0" borderId="59" xfId="0" applyNumberFormat="1" applyFont="1" applyFill="1" applyBorder="1" applyAlignment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/>
    </xf>
    <xf numFmtId="1" fontId="2" fillId="0" borderId="59" xfId="0" applyNumberFormat="1" applyFont="1" applyFill="1" applyBorder="1" applyAlignment="1" applyProtection="1">
      <alignment horizontal="center" vertical="center"/>
    </xf>
    <xf numFmtId="1" fontId="129" fillId="0" borderId="59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43" xfId="0" applyFont="1" applyFill="1" applyBorder="1" applyAlignment="1">
      <alignment horizontal="left" vertical="center" wrapText="1"/>
    </xf>
    <xf numFmtId="0" fontId="2" fillId="0" borderId="74" xfId="0" applyFont="1" applyFill="1" applyBorder="1" applyAlignment="1">
      <alignment horizontal="left" vertical="center" wrapText="1"/>
    </xf>
    <xf numFmtId="0" fontId="2" fillId="0" borderId="59" xfId="0" applyFont="1" applyFill="1" applyBorder="1" applyAlignment="1">
      <alignment horizontal="left" vertical="center" wrapText="1"/>
    </xf>
    <xf numFmtId="2" fontId="2" fillId="0" borderId="74" xfId="0" applyNumberFormat="1" applyFont="1" applyFill="1" applyBorder="1" applyAlignment="1">
      <alignment horizontal="center" vertical="center"/>
    </xf>
    <xf numFmtId="1" fontId="2" fillId="0" borderId="43" xfId="0" applyNumberFormat="1" applyFont="1" applyFill="1" applyBorder="1" applyAlignment="1">
      <alignment horizontal="center" vertical="center"/>
    </xf>
    <xf numFmtId="1" fontId="2" fillId="0" borderId="74" xfId="0" applyNumberFormat="1" applyFont="1" applyFill="1" applyBorder="1" applyAlignment="1">
      <alignment horizontal="center" vertical="center"/>
    </xf>
    <xf numFmtId="1" fontId="2" fillId="0" borderId="59" xfId="0" applyNumberFormat="1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59" xfId="0" applyFont="1" applyFill="1" applyBorder="1" applyAlignment="1">
      <alignment horizontal="center" vertical="center"/>
    </xf>
    <xf numFmtId="1" fontId="2" fillId="0" borderId="43" xfId="0" applyNumberFormat="1" applyFont="1" applyBorder="1" applyAlignment="1">
      <alignment horizontal="center" vertical="center"/>
    </xf>
    <xf numFmtId="1" fontId="2" fillId="0" borderId="59" xfId="0" applyNumberFormat="1" applyFont="1" applyBorder="1" applyAlignment="1">
      <alignment horizontal="center" vertical="center"/>
    </xf>
    <xf numFmtId="0" fontId="2" fillId="0" borderId="43" xfId="0" applyFont="1" applyFill="1" applyBorder="1" applyAlignment="1">
      <alignment vertical="center"/>
    </xf>
    <xf numFmtId="0" fontId="2" fillId="0" borderId="59" xfId="0" applyFont="1" applyFill="1" applyBorder="1" applyAlignment="1">
      <alignment vertical="center"/>
    </xf>
    <xf numFmtId="1" fontId="2" fillId="0" borderId="74" xfId="0" applyNumberFormat="1" applyFont="1" applyBorder="1" applyAlignment="1">
      <alignment horizontal="center" vertical="center"/>
    </xf>
    <xf numFmtId="0" fontId="7" fillId="26" borderId="58" xfId="0" applyFont="1" applyFill="1" applyBorder="1" applyAlignment="1">
      <alignment horizontal="center" vertical="center" wrapText="1"/>
    </xf>
    <xf numFmtId="0" fontId="7" fillId="26" borderId="64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1" fontId="2" fillId="0" borderId="43" xfId="123" applyNumberFormat="1" applyFont="1" applyBorder="1" applyAlignment="1">
      <alignment horizontal="center" vertical="center"/>
    </xf>
    <xf numFmtId="1" fontId="2" fillId="0" borderId="59" xfId="123" applyNumberFormat="1" applyFont="1" applyBorder="1" applyAlignment="1">
      <alignment horizontal="center" vertical="center"/>
    </xf>
    <xf numFmtId="0" fontId="2" fillId="0" borderId="43" xfId="123" applyFont="1" applyBorder="1" applyAlignment="1">
      <alignment horizontal="center" vertical="center"/>
    </xf>
    <xf numFmtId="0" fontId="2" fillId="0" borderId="59" xfId="123" applyFont="1" applyBorder="1" applyAlignment="1">
      <alignment horizontal="center" vertical="center"/>
    </xf>
    <xf numFmtId="0" fontId="2" fillId="0" borderId="43" xfId="130" applyFont="1" applyBorder="1" applyAlignment="1">
      <alignment horizontal="left" vertical="center"/>
    </xf>
    <xf numFmtId="0" fontId="113" fillId="0" borderId="59" xfId="0" applyFont="1" applyBorder="1"/>
    <xf numFmtId="0" fontId="2" fillId="0" borderId="6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74" xfId="0" applyFont="1" applyFill="1" applyBorder="1" applyAlignment="1">
      <alignment horizontal="left" vertical="center"/>
    </xf>
    <xf numFmtId="0" fontId="2" fillId="0" borderId="74" xfId="0" applyFont="1" applyFill="1" applyBorder="1" applyAlignment="1">
      <alignment horizontal="center" vertical="center"/>
    </xf>
    <xf numFmtId="2" fontId="2" fillId="0" borderId="43" xfId="0" applyNumberFormat="1" applyFont="1" applyBorder="1" applyAlignment="1">
      <alignment horizontal="center" vertical="center"/>
    </xf>
    <xf numFmtId="2" fontId="2" fillId="0" borderId="74" xfId="0" applyNumberFormat="1" applyFont="1" applyBorder="1" applyAlignment="1">
      <alignment horizontal="center" vertical="center"/>
    </xf>
    <xf numFmtId="0" fontId="7" fillId="26" borderId="58" xfId="0" applyFont="1" applyFill="1" applyBorder="1" applyAlignment="1" applyProtection="1">
      <alignment horizontal="center" vertical="center" wrapText="1"/>
      <protection locked="0"/>
    </xf>
    <xf numFmtId="0" fontId="7" fillId="26" borderId="39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174" fontId="2" fillId="0" borderId="1" xfId="0" applyNumberFormat="1" applyFont="1" applyFill="1" applyBorder="1" applyAlignment="1">
      <alignment horizontal="center" vertical="center"/>
    </xf>
    <xf numFmtId="0" fontId="2" fillId="0" borderId="74" xfId="130" applyFont="1" applyBorder="1" applyAlignment="1">
      <alignment horizontal="left" vertical="center"/>
    </xf>
    <xf numFmtId="0" fontId="2" fillId="0" borderId="58" xfId="0" applyFont="1" applyFill="1" applyBorder="1" applyAlignment="1">
      <alignment horizontal="center" vertical="center"/>
    </xf>
    <xf numFmtId="0" fontId="2" fillId="0" borderId="64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2" fontId="2" fillId="0" borderId="58" xfId="0" applyNumberFormat="1" applyFont="1" applyFill="1" applyBorder="1" applyAlignment="1">
      <alignment horizontal="center" vertical="center" wrapText="1"/>
    </xf>
    <xf numFmtId="2" fontId="2" fillId="0" borderId="64" xfId="0" applyNumberFormat="1" applyFont="1" applyFill="1" applyBorder="1" applyAlignment="1">
      <alignment horizontal="center" vertical="center" wrapText="1"/>
    </xf>
    <xf numFmtId="2" fontId="2" fillId="0" borderId="39" xfId="0" applyNumberFormat="1" applyFont="1" applyFill="1" applyBorder="1" applyAlignment="1">
      <alignment horizontal="center" vertical="center" wrapText="1"/>
    </xf>
    <xf numFmtId="1" fontId="2" fillId="0" borderId="58" xfId="0" applyNumberFormat="1" applyFont="1" applyFill="1" applyBorder="1" applyAlignment="1">
      <alignment horizontal="center" vertical="center"/>
    </xf>
    <xf numFmtId="1" fontId="2" fillId="0" borderId="39" xfId="0" applyNumberFormat="1" applyFont="1" applyFill="1" applyBorder="1" applyAlignment="1">
      <alignment horizontal="center" vertical="center"/>
    </xf>
    <xf numFmtId="0" fontId="125" fillId="42" borderId="35" xfId="0" applyFont="1" applyFill="1" applyBorder="1" applyAlignment="1">
      <alignment horizontal="center" vertical="center" wrapText="1"/>
    </xf>
    <xf numFmtId="0" fontId="125" fillId="42" borderId="26" xfId="0" applyFont="1" applyFill="1" applyBorder="1" applyAlignment="1">
      <alignment horizontal="center" vertical="center" wrapText="1"/>
    </xf>
    <xf numFmtId="0" fontId="125" fillId="42" borderId="41" xfId="0" applyFont="1" applyFill="1" applyBorder="1" applyAlignment="1">
      <alignment horizontal="center" vertical="center" wrapText="1"/>
    </xf>
    <xf numFmtId="0" fontId="125" fillId="42" borderId="79" xfId="0" applyFont="1" applyFill="1" applyBorder="1" applyAlignment="1">
      <alignment horizontal="center" vertical="center" wrapText="1"/>
    </xf>
    <xf numFmtId="0" fontId="125" fillId="42" borderId="104" xfId="0" applyFont="1" applyFill="1" applyBorder="1" applyAlignment="1">
      <alignment horizontal="center" vertical="center" wrapText="1"/>
    </xf>
    <xf numFmtId="0" fontId="0" fillId="42" borderId="32" xfId="0" applyFill="1" applyBorder="1" applyAlignment="1">
      <alignment horizontal="center" vertical="center" wrapText="1"/>
    </xf>
    <xf numFmtId="0" fontId="123" fillId="0" borderId="104" xfId="0" applyFont="1" applyBorder="1" applyAlignment="1">
      <alignment horizontal="center" vertical="center" wrapText="1"/>
    </xf>
    <xf numFmtId="0" fontId="123" fillId="0" borderId="159" xfId="0" applyFont="1" applyBorder="1" applyAlignment="1">
      <alignment horizontal="center" vertical="center" wrapText="1"/>
    </xf>
    <xf numFmtId="0" fontId="123" fillId="0" borderId="35" xfId="0" applyFont="1" applyBorder="1" applyAlignment="1">
      <alignment horizontal="center" vertical="center" wrapText="1"/>
    </xf>
    <xf numFmtId="0" fontId="123" fillId="0" borderId="16" xfId="0" applyFont="1" applyBorder="1" applyAlignment="1">
      <alignment horizontal="center" vertical="center" wrapText="1"/>
    </xf>
    <xf numFmtId="0" fontId="140" fillId="0" borderId="159" xfId="0" applyFont="1" applyBorder="1" applyAlignment="1">
      <alignment horizontal="center" vertical="center" wrapText="1"/>
    </xf>
    <xf numFmtId="0" fontId="125" fillId="42" borderId="16" xfId="0" applyFont="1" applyFill="1" applyBorder="1" applyAlignment="1">
      <alignment horizontal="center" vertical="center" wrapText="1"/>
    </xf>
    <xf numFmtId="0" fontId="125" fillId="42" borderId="44" xfId="0" applyFont="1" applyFill="1" applyBorder="1" applyAlignment="1">
      <alignment horizontal="center" vertical="center" wrapText="1"/>
    </xf>
    <xf numFmtId="0" fontId="125" fillId="42" borderId="15" xfId="0" applyFont="1" applyFill="1" applyBorder="1" applyAlignment="1">
      <alignment horizontal="center" vertical="center" wrapText="1"/>
    </xf>
    <xf numFmtId="0" fontId="124" fillId="0" borderId="104" xfId="0" applyFont="1" applyBorder="1" applyAlignment="1">
      <alignment horizontal="center" vertical="center"/>
    </xf>
    <xf numFmtId="0" fontId="140" fillId="0" borderId="159" xfId="0" applyFont="1" applyBorder="1" applyAlignment="1">
      <alignment horizontal="center" vertical="center"/>
    </xf>
    <xf numFmtId="0" fontId="122" fillId="0" borderId="35" xfId="0" applyFont="1" applyBorder="1" applyAlignment="1">
      <alignment horizontal="center" vertical="center"/>
    </xf>
    <xf numFmtId="0" fontId="122" fillId="0" borderId="16" xfId="0" applyFont="1" applyBorder="1" applyAlignment="1">
      <alignment horizontal="center" vertical="center"/>
    </xf>
    <xf numFmtId="0" fontId="123" fillId="0" borderId="35" xfId="0" applyFont="1" applyBorder="1" applyAlignment="1">
      <alignment horizontal="center" vertical="center"/>
    </xf>
    <xf numFmtId="0" fontId="123" fillId="0" borderId="16" xfId="0" applyFont="1" applyBorder="1" applyAlignment="1">
      <alignment horizontal="center" vertical="center"/>
    </xf>
    <xf numFmtId="0" fontId="123" fillId="0" borderId="26" xfId="0" applyFont="1" applyBorder="1" applyAlignment="1">
      <alignment horizontal="center" vertical="center"/>
    </xf>
    <xf numFmtId="0" fontId="124" fillId="0" borderId="0" xfId="0" applyFont="1" applyBorder="1" applyAlignment="1">
      <alignment horizontal="center" vertical="center"/>
    </xf>
    <xf numFmtId="0" fontId="140" fillId="0" borderId="0" xfId="0" applyFont="1" applyBorder="1" applyAlignment="1">
      <alignment horizontal="center" vertical="center"/>
    </xf>
    <xf numFmtId="0" fontId="123" fillId="0" borderId="0" xfId="0" applyFont="1" applyBorder="1" applyAlignment="1">
      <alignment horizontal="center" vertical="center" wrapText="1"/>
    </xf>
    <xf numFmtId="0" fontId="123" fillId="0" borderId="26" xfId="0" applyFont="1" applyBorder="1" applyAlignment="1">
      <alignment horizontal="center" vertical="center" wrapText="1"/>
    </xf>
    <xf numFmtId="0" fontId="122" fillId="0" borderId="26" xfId="0" applyFont="1" applyBorder="1" applyAlignment="1">
      <alignment horizontal="center" vertical="center"/>
    </xf>
    <xf numFmtId="0" fontId="124" fillId="0" borderId="0" xfId="0" applyFont="1" applyBorder="1" applyAlignment="1">
      <alignment horizontal="center" vertical="center" wrapText="1"/>
    </xf>
    <xf numFmtId="0" fontId="140" fillId="0" borderId="0" xfId="0" applyFont="1" applyBorder="1" applyAlignment="1">
      <alignment horizontal="center" vertical="center" wrapText="1"/>
    </xf>
    <xf numFmtId="0" fontId="122" fillId="0" borderId="0" xfId="0" applyFont="1" applyBorder="1" applyAlignment="1">
      <alignment horizontal="center" vertical="center" wrapText="1"/>
    </xf>
    <xf numFmtId="0" fontId="123" fillId="40" borderId="26" xfId="0" applyFont="1" applyFill="1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123" fillId="40" borderId="35" xfId="0" applyFont="1" applyFill="1" applyBorder="1" applyAlignment="1">
      <alignment vertical="center"/>
    </xf>
    <xf numFmtId="0" fontId="123" fillId="40" borderId="26" xfId="0" applyFont="1" applyFill="1" applyBorder="1" applyAlignment="1">
      <alignment vertical="center"/>
    </xf>
    <xf numFmtId="0" fontId="123" fillId="40" borderId="16" xfId="0" applyFont="1" applyFill="1" applyBorder="1" applyAlignment="1">
      <alignment vertical="center"/>
    </xf>
    <xf numFmtId="0" fontId="122" fillId="0" borderId="159" xfId="0" applyFont="1" applyBorder="1" applyAlignment="1">
      <alignment horizontal="center" vertical="center" wrapText="1"/>
    </xf>
    <xf numFmtId="0" fontId="122" fillId="0" borderId="26" xfId="0" applyFont="1" applyBorder="1" applyAlignment="1">
      <alignment horizontal="center" vertical="center" wrapText="1"/>
    </xf>
    <xf numFmtId="0" fontId="122" fillId="0" borderId="0" xfId="0" applyFont="1" applyBorder="1" applyAlignment="1">
      <alignment horizontal="center" vertical="center"/>
    </xf>
    <xf numFmtId="0" fontId="122" fillId="0" borderId="104" xfId="0" applyFont="1" applyBorder="1" applyAlignment="1">
      <alignment horizontal="center" vertical="center"/>
    </xf>
    <xf numFmtId="0" fontId="122" fillId="0" borderId="159" xfId="0" applyFont="1" applyBorder="1" applyAlignment="1">
      <alignment horizontal="center" vertical="center"/>
    </xf>
    <xf numFmtId="0" fontId="122" fillId="0" borderId="16" xfId="0" applyFont="1" applyBorder="1" applyAlignment="1">
      <alignment horizontal="center" vertical="center" wrapText="1"/>
    </xf>
    <xf numFmtId="0" fontId="81" fillId="0" borderId="43" xfId="132" applyFont="1" applyBorder="1" applyAlignment="1">
      <alignment horizontal="center" vertical="center" wrapText="1"/>
    </xf>
    <xf numFmtId="0" fontId="81" fillId="0" borderId="59" xfId="132" applyFont="1" applyBorder="1" applyAlignment="1">
      <alignment horizontal="center" vertical="center" wrapText="1"/>
    </xf>
    <xf numFmtId="0" fontId="82" fillId="0" borderId="82" xfId="132" applyFont="1" applyBorder="1" applyAlignment="1">
      <alignment vertical="center" wrapText="1"/>
    </xf>
    <xf numFmtId="0" fontId="82" fillId="0" borderId="65" xfId="132" applyFont="1" applyBorder="1" applyAlignment="1">
      <alignment vertical="center" wrapText="1"/>
    </xf>
    <xf numFmtId="0" fontId="82" fillId="0" borderId="77" xfId="132" applyFont="1" applyBorder="1" applyAlignment="1">
      <alignment vertical="center" wrapText="1"/>
    </xf>
    <xf numFmtId="0" fontId="82" fillId="0" borderId="22" xfId="132" applyFont="1" applyBorder="1" applyAlignment="1">
      <alignment vertical="center" wrapText="1"/>
    </xf>
    <xf numFmtId="0" fontId="82" fillId="0" borderId="43" xfId="132" applyNumberFormat="1" applyFont="1" applyBorder="1" applyAlignment="1">
      <alignment horizontal="center" vertical="center"/>
    </xf>
    <xf numFmtId="0" fontId="82" fillId="0" borderId="59" xfId="132" applyNumberFormat="1" applyFont="1" applyBorder="1" applyAlignment="1">
      <alignment horizontal="center" vertical="center"/>
    </xf>
    <xf numFmtId="3" fontId="2" fillId="0" borderId="82" xfId="132" applyNumberFormat="1" applyFont="1" applyBorder="1" applyAlignment="1">
      <alignment horizontal="center" vertical="center"/>
    </xf>
    <xf numFmtId="3" fontId="2" fillId="0" borderId="65" xfId="132" applyNumberFormat="1" applyFont="1" applyBorder="1" applyAlignment="1">
      <alignment horizontal="center" vertical="center"/>
    </xf>
    <xf numFmtId="3" fontId="2" fillId="0" borderId="77" xfId="132" applyNumberFormat="1" applyFont="1" applyBorder="1" applyAlignment="1">
      <alignment horizontal="center" vertical="center"/>
    </xf>
    <xf numFmtId="3" fontId="2" fillId="0" borderId="22" xfId="132" applyNumberFormat="1" applyFont="1" applyBorder="1" applyAlignment="1">
      <alignment horizontal="center" vertical="center"/>
    </xf>
    <xf numFmtId="0" fontId="82" fillId="0" borderId="58" xfId="132" applyFont="1" applyBorder="1" applyAlignment="1">
      <alignment horizontal="left" vertical="center" wrapText="1"/>
    </xf>
    <xf numFmtId="0" fontId="82" fillId="0" borderId="39" xfId="132" applyFont="1" applyBorder="1" applyAlignment="1">
      <alignment horizontal="left" vertical="center" wrapText="1"/>
    </xf>
    <xf numFmtId="0" fontId="82" fillId="0" borderId="43" xfId="132" applyFont="1" applyBorder="1" applyAlignment="1">
      <alignment horizontal="center"/>
    </xf>
    <xf numFmtId="0" fontId="82" fillId="0" borderId="74" xfId="132" applyFont="1" applyBorder="1" applyAlignment="1">
      <alignment horizontal="center"/>
    </xf>
    <xf numFmtId="0" fontId="82" fillId="0" borderId="59" xfId="132" applyFont="1" applyBorder="1" applyAlignment="1">
      <alignment horizontal="center"/>
    </xf>
    <xf numFmtId="0" fontId="82" fillId="0" borderId="58" xfId="132" applyFont="1" applyBorder="1" applyAlignment="1">
      <alignment vertical="center" wrapText="1"/>
    </xf>
    <xf numFmtId="0" fontId="82" fillId="0" borderId="39" xfId="132" applyFont="1" applyBorder="1" applyAlignment="1">
      <alignment vertical="center"/>
    </xf>
    <xf numFmtId="3" fontId="2" fillId="0" borderId="58" xfId="132" applyNumberFormat="1" applyFont="1" applyBorder="1" applyAlignment="1">
      <alignment horizontal="center" vertical="center"/>
    </xf>
    <xf numFmtId="3" fontId="2" fillId="0" borderId="39" xfId="132" applyNumberFormat="1" applyFont="1" applyBorder="1" applyAlignment="1">
      <alignment horizontal="center" vertical="center"/>
    </xf>
    <xf numFmtId="0" fontId="82" fillId="0" borderId="58" xfId="132" applyFont="1" applyBorder="1" applyAlignment="1">
      <alignment vertical="top" wrapText="1"/>
    </xf>
    <xf numFmtId="0" fontId="82" fillId="0" borderId="39" xfId="132" applyFont="1" applyBorder="1" applyAlignment="1">
      <alignment vertical="top" wrapText="1"/>
    </xf>
    <xf numFmtId="0" fontId="82" fillId="0" borderId="43" xfId="132" applyFont="1" applyBorder="1" applyAlignment="1"/>
    <xf numFmtId="0" fontId="0" fillId="0" borderId="59" xfId="0" applyBorder="1" applyAlignment="1"/>
    <xf numFmtId="0" fontId="82" fillId="0" borderId="39" xfId="132" applyFont="1" applyBorder="1" applyAlignment="1">
      <alignment vertical="center" wrapText="1"/>
    </xf>
    <xf numFmtId="0" fontId="82" fillId="0" borderId="43" xfId="132" applyFont="1" applyFill="1" applyBorder="1" applyAlignment="1"/>
    <xf numFmtId="0" fontId="120" fillId="0" borderId="59" xfId="101" applyFont="1" applyBorder="1" applyAlignment="1"/>
    <xf numFmtId="0" fontId="82" fillId="0" borderId="59" xfId="132" applyFont="1" applyFill="1" applyBorder="1" applyAlignment="1">
      <alignment horizontal="center" vertical="center" wrapText="1"/>
    </xf>
    <xf numFmtId="0" fontId="82" fillId="0" borderId="1" xfId="132" applyFont="1" applyFill="1" applyBorder="1" applyAlignment="1"/>
    <xf numFmtId="0" fontId="120" fillId="0" borderId="1" xfId="101" applyFont="1" applyBorder="1" applyAlignment="1"/>
    <xf numFmtId="0" fontId="82" fillId="0" borderId="43" xfId="132" applyFont="1" applyFill="1" applyBorder="1" applyAlignment="1">
      <alignment horizontal="center" vertical="center"/>
    </xf>
    <xf numFmtId="0" fontId="82" fillId="0" borderId="74" xfId="132" applyFont="1" applyFill="1" applyBorder="1" applyAlignment="1">
      <alignment horizontal="center" vertical="center"/>
    </xf>
    <xf numFmtId="0" fontId="82" fillId="0" borderId="59" xfId="132" applyFont="1" applyFill="1" applyBorder="1" applyAlignment="1">
      <alignment horizontal="center" vertical="center"/>
    </xf>
    <xf numFmtId="0" fontId="7" fillId="0" borderId="58" xfId="103" applyFont="1" applyFill="1" applyBorder="1" applyAlignment="1">
      <alignment horizontal="left" vertical="center"/>
    </xf>
    <xf numFmtId="0" fontId="7" fillId="0" borderId="64" xfId="103" applyFont="1" applyFill="1" applyBorder="1" applyAlignment="1">
      <alignment horizontal="left" vertical="center"/>
    </xf>
    <xf numFmtId="0" fontId="7" fillId="0" borderId="39" xfId="103" applyFont="1" applyFill="1" applyBorder="1" applyAlignment="1">
      <alignment horizontal="left" vertical="center"/>
    </xf>
    <xf numFmtId="0" fontId="7" fillId="0" borderId="58" xfId="1" applyFont="1" applyFill="1" applyBorder="1" applyAlignment="1">
      <alignment horizontal="left" vertical="center"/>
    </xf>
    <xf numFmtId="0" fontId="7" fillId="0" borderId="64" xfId="1" applyFont="1" applyFill="1" applyBorder="1" applyAlignment="1">
      <alignment horizontal="left" vertical="center"/>
    </xf>
    <xf numFmtId="0" fontId="7" fillId="0" borderId="39" xfId="1" applyFont="1" applyFill="1" applyBorder="1" applyAlignment="1">
      <alignment horizontal="left" vertical="center"/>
    </xf>
    <xf numFmtId="0" fontId="82" fillId="0" borderId="43" xfId="132" applyFont="1" applyBorder="1" applyAlignment="1">
      <alignment horizontal="center" vertical="center"/>
    </xf>
    <xf numFmtId="0" fontId="120" fillId="0" borderId="59" xfId="101" applyFont="1" applyBorder="1" applyAlignment="1">
      <alignment horizontal="center" vertical="center"/>
    </xf>
    <xf numFmtId="3" fontId="82" fillId="0" borderId="43" xfId="132" applyNumberFormat="1" applyFont="1" applyBorder="1" applyAlignment="1">
      <alignment horizontal="center" vertical="center"/>
    </xf>
    <xf numFmtId="0" fontId="88" fillId="0" borderId="59" xfId="101" applyFont="1" applyBorder="1" applyAlignment="1">
      <alignment horizontal="center" vertical="center"/>
    </xf>
    <xf numFmtId="0" fontId="82" fillId="0" borderId="82" xfId="132" applyFont="1" applyBorder="1" applyAlignment="1">
      <alignment horizontal="left" vertical="center" wrapText="1"/>
    </xf>
    <xf numFmtId="0" fontId="82" fillId="0" borderId="65" xfId="132" applyFont="1" applyBorder="1" applyAlignment="1">
      <alignment horizontal="left" vertical="center" wrapText="1"/>
    </xf>
    <xf numFmtId="0" fontId="120" fillId="0" borderId="77" xfId="101" applyFont="1" applyBorder="1" applyAlignment="1">
      <alignment horizontal="left" vertical="center" wrapText="1"/>
    </xf>
    <xf numFmtId="0" fontId="120" fillId="0" borderId="22" xfId="101" applyFont="1" applyBorder="1" applyAlignment="1">
      <alignment horizontal="left" vertical="center" wrapText="1"/>
    </xf>
    <xf numFmtId="0" fontId="82" fillId="0" borderId="59" xfId="132" applyFont="1" applyBorder="1" applyAlignment="1">
      <alignment horizontal="center" vertical="center"/>
    </xf>
    <xf numFmtId="3" fontId="82" fillId="0" borderId="59" xfId="132" applyNumberFormat="1" applyFont="1" applyBorder="1" applyAlignment="1">
      <alignment horizontal="center" vertical="center"/>
    </xf>
    <xf numFmtId="0" fontId="82" fillId="0" borderId="74" xfId="132" applyFont="1" applyFill="1" applyBorder="1" applyAlignment="1"/>
    <xf numFmtId="0" fontId="82" fillId="0" borderId="59" xfId="132" applyFont="1" applyFill="1" applyBorder="1" applyAlignment="1"/>
    <xf numFmtId="0" fontId="81" fillId="26" borderId="58" xfId="132" applyFont="1" applyFill="1" applyBorder="1" applyAlignment="1">
      <alignment horizontal="center" vertical="center"/>
    </xf>
    <xf numFmtId="0" fontId="81" fillId="26" borderId="39" xfId="132" applyFont="1" applyFill="1" applyBorder="1" applyAlignment="1">
      <alignment horizontal="center" vertical="center"/>
    </xf>
    <xf numFmtId="3" fontId="82" fillId="0" borderId="58" xfId="132" applyNumberFormat="1" applyFont="1" applyBorder="1" applyAlignment="1">
      <alignment horizontal="center" vertical="center"/>
    </xf>
    <xf numFmtId="3" fontId="82" fillId="0" borderId="39" xfId="132" applyNumberFormat="1" applyFont="1" applyBorder="1" applyAlignment="1">
      <alignment horizontal="center" vertical="center"/>
    </xf>
    <xf numFmtId="0" fontId="82" fillId="25" borderId="58" xfId="132" applyFont="1" applyFill="1" applyBorder="1" applyAlignment="1">
      <alignment horizontal="left" vertical="center" wrapText="1"/>
    </xf>
    <xf numFmtId="0" fontId="82" fillId="25" borderId="39" xfId="132" applyFont="1" applyFill="1" applyBorder="1" applyAlignment="1">
      <alignment horizontal="left" vertical="center"/>
    </xf>
    <xf numFmtId="0" fontId="0" fillId="0" borderId="39" xfId="0" applyBorder="1" applyAlignment="1"/>
    <xf numFmtId="0" fontId="0" fillId="0" borderId="58" xfId="0" applyBorder="1" applyAlignment="1">
      <alignment horizontal="left"/>
    </xf>
    <xf numFmtId="0" fontId="0" fillId="0" borderId="39" xfId="0" applyBorder="1" applyAlignment="1">
      <alignment horizontal="left"/>
    </xf>
    <xf numFmtId="0" fontId="82" fillId="0" borderId="39" xfId="132" applyFont="1" applyBorder="1" applyAlignment="1">
      <alignment horizontal="left" vertical="center"/>
    </xf>
    <xf numFmtId="0" fontId="81" fillId="0" borderId="43" xfId="132" applyFont="1" applyBorder="1" applyAlignment="1">
      <alignment vertical="center" wrapText="1"/>
    </xf>
    <xf numFmtId="0" fontId="82" fillId="0" borderId="59" xfId="132" applyFont="1" applyFill="1" applyBorder="1" applyAlignment="1">
      <alignment vertical="center" wrapText="1"/>
    </xf>
    <xf numFmtId="0" fontId="82" fillId="0" borderId="77" xfId="132" applyFont="1" applyBorder="1" applyAlignment="1">
      <alignment horizontal="left" vertical="center" wrapText="1"/>
    </xf>
    <xf numFmtId="0" fontId="82" fillId="0" borderId="22" xfId="132" applyFont="1" applyBorder="1" applyAlignment="1">
      <alignment horizontal="left" vertical="center" wrapText="1"/>
    </xf>
    <xf numFmtId="0" fontId="87" fillId="0" borderId="0" xfId="132" applyFont="1" applyAlignment="1">
      <alignment horizontal="center" vertical="center"/>
    </xf>
    <xf numFmtId="0" fontId="64" fillId="53" borderId="58" xfId="0" applyFont="1" applyFill="1" applyBorder="1" applyAlignment="1">
      <alignment horizontal="left"/>
    </xf>
    <xf numFmtId="0" fontId="0" fillId="53" borderId="64" xfId="0" applyFill="1" applyBorder="1" applyAlignment="1"/>
    <xf numFmtId="0" fontId="0" fillId="53" borderId="39" xfId="0" applyFill="1" applyBorder="1" applyAlignment="1"/>
    <xf numFmtId="0" fontId="63" fillId="26" borderId="58" xfId="0" applyFont="1" applyFill="1" applyBorder="1" applyAlignment="1">
      <alignment horizontal="left"/>
    </xf>
    <xf numFmtId="2" fontId="114" fillId="37" borderId="82" xfId="0" applyNumberFormat="1" applyFont="1" applyFill="1" applyBorder="1" applyAlignment="1">
      <alignment horizontal="center" wrapText="1"/>
    </xf>
    <xf numFmtId="0" fontId="0" fillId="0" borderId="77" xfId="0" applyBorder="1" applyAlignment="1">
      <alignment horizontal="center" wrapText="1"/>
    </xf>
    <xf numFmtId="0" fontId="22" fillId="50" borderId="43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wrapText="1"/>
    </xf>
    <xf numFmtId="0" fontId="0" fillId="0" borderId="59" xfId="0" applyBorder="1" applyAlignment="1">
      <alignment horizontal="center" wrapText="1"/>
    </xf>
    <xf numFmtId="2" fontId="141" fillId="0" borderId="82" xfId="0" applyNumberFormat="1" applyFont="1" applyBorder="1" applyAlignment="1">
      <alignment horizontal="center" vertical="center" wrapText="1"/>
    </xf>
    <xf numFmtId="0" fontId="0" fillId="0" borderId="98" xfId="0" applyBorder="1" applyAlignment="1">
      <alignment vertical="center" wrapText="1"/>
    </xf>
    <xf numFmtId="0" fontId="0" fillId="0" borderId="65" xfId="0" applyBorder="1" applyAlignment="1">
      <alignment vertical="center" wrapText="1"/>
    </xf>
    <xf numFmtId="0" fontId="0" fillId="0" borderId="68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16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63" fillId="0" borderId="58" xfId="0" applyFont="1" applyBorder="1" applyAlignment="1">
      <alignment horizontal="right"/>
    </xf>
    <xf numFmtId="0" fontId="63" fillId="0" borderId="64" xfId="0" applyFont="1" applyBorder="1" applyAlignment="1">
      <alignment horizontal="right"/>
    </xf>
    <xf numFmtId="0" fontId="63" fillId="0" borderId="39" xfId="0" applyFont="1" applyBorder="1" applyAlignment="1">
      <alignment horizontal="right"/>
    </xf>
    <xf numFmtId="0" fontId="61" fillId="37" borderId="82" xfId="0" applyFont="1" applyFill="1" applyBorder="1" applyAlignment="1">
      <alignment horizontal="left" vertical="center"/>
    </xf>
    <xf numFmtId="0" fontId="0" fillId="0" borderId="77" xfId="0" applyBorder="1" applyAlignment="1">
      <alignment vertical="center"/>
    </xf>
    <xf numFmtId="0" fontId="61" fillId="37" borderId="98" xfId="0" applyFont="1" applyFill="1" applyBorder="1" applyAlignment="1">
      <alignment vertical="center"/>
    </xf>
    <xf numFmtId="0" fontId="0" fillId="0" borderId="62" xfId="0" applyBorder="1" applyAlignment="1">
      <alignment vertical="center"/>
    </xf>
    <xf numFmtId="0" fontId="61" fillId="37" borderId="98" xfId="0" applyFont="1" applyFill="1" applyBorder="1" applyAlignment="1">
      <alignment horizontal="right" vertical="center"/>
    </xf>
    <xf numFmtId="0" fontId="0" fillId="0" borderId="62" xfId="0" applyBorder="1" applyAlignment="1">
      <alignment horizontal="right" vertical="center"/>
    </xf>
    <xf numFmtId="0" fontId="61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80" fillId="0" borderId="74" xfId="132" applyFont="1" applyFill="1" applyBorder="1" applyAlignment="1">
      <alignment horizontal="center" vertical="center" wrapText="1"/>
    </xf>
    <xf numFmtId="0" fontId="80" fillId="0" borderId="59" xfId="132" applyFont="1" applyFill="1" applyBorder="1" applyAlignment="1">
      <alignment horizontal="center" vertical="center" wrapText="1"/>
    </xf>
    <xf numFmtId="0" fontId="80" fillId="0" borderId="74" xfId="132" applyNumberFormat="1" applyFont="1" applyFill="1" applyBorder="1" applyAlignment="1">
      <alignment horizontal="left" vertical="center" wrapText="1"/>
    </xf>
    <xf numFmtId="0" fontId="80" fillId="0" borderId="59" xfId="132" applyNumberFormat="1" applyFont="1" applyFill="1" applyBorder="1" applyAlignment="1">
      <alignment horizontal="left" vertical="center" wrapText="1"/>
    </xf>
    <xf numFmtId="0" fontId="80" fillId="0" borderId="43" xfId="133" applyFont="1" applyFill="1" applyBorder="1" applyAlignment="1">
      <alignment horizontal="center" vertical="center" wrapText="1"/>
    </xf>
    <xf numFmtId="0" fontId="80" fillId="0" borderId="59" xfId="133" applyFont="1" applyFill="1" applyBorder="1" applyAlignment="1">
      <alignment horizontal="center" vertical="center" wrapText="1"/>
    </xf>
    <xf numFmtId="0" fontId="80" fillId="0" borderId="43" xfId="132" applyNumberFormat="1" applyFont="1" applyFill="1" applyBorder="1" applyAlignment="1">
      <alignment horizontal="left" vertical="center" wrapText="1"/>
    </xf>
    <xf numFmtId="0" fontId="22" fillId="0" borderId="43" xfId="132" applyFont="1" applyFill="1" applyBorder="1" applyAlignment="1">
      <alignment horizontal="center" vertical="center" wrapText="1"/>
    </xf>
    <xf numFmtId="0" fontId="22" fillId="0" borderId="59" xfId="132" applyFont="1" applyFill="1" applyBorder="1" applyAlignment="1">
      <alignment horizontal="center" vertical="center" wrapText="1"/>
    </xf>
    <xf numFmtId="0" fontId="79" fillId="0" borderId="82" xfId="132" applyFont="1" applyFill="1" applyBorder="1" applyAlignment="1">
      <alignment horizontal="center" vertical="center"/>
    </xf>
    <xf numFmtId="0" fontId="79" fillId="0" borderId="65" xfId="132" applyFont="1" applyFill="1" applyBorder="1" applyAlignment="1">
      <alignment horizontal="center" vertical="center"/>
    </xf>
    <xf numFmtId="0" fontId="79" fillId="0" borderId="77" xfId="132" applyFont="1" applyFill="1" applyBorder="1" applyAlignment="1">
      <alignment horizontal="center" vertical="center"/>
    </xf>
    <xf numFmtId="0" fontId="79" fillId="0" borderId="22" xfId="132" applyFont="1" applyFill="1" applyBorder="1" applyAlignment="1">
      <alignment horizontal="center" vertical="center"/>
    </xf>
    <xf numFmtId="0" fontId="79" fillId="0" borderId="43" xfId="132" applyFont="1" applyFill="1" applyBorder="1" applyAlignment="1">
      <alignment horizontal="center" vertical="center"/>
    </xf>
    <xf numFmtId="0" fontId="79" fillId="0" borderId="59" xfId="132" applyFont="1" applyFill="1" applyBorder="1" applyAlignment="1">
      <alignment horizontal="center" vertical="center"/>
    </xf>
    <xf numFmtId="0" fontId="124" fillId="0" borderId="24" xfId="0" applyFont="1" applyFill="1" applyBorder="1" applyAlignment="1">
      <alignment horizontal="center" vertical="center" textRotation="90" wrapText="1"/>
    </xf>
    <xf numFmtId="0" fontId="124" fillId="0" borderId="18" xfId="0" applyFont="1" applyFill="1" applyBorder="1" applyAlignment="1">
      <alignment horizontal="center" vertical="center" textRotation="90" wrapText="1"/>
    </xf>
    <xf numFmtId="0" fontId="79" fillId="0" borderId="43" xfId="132" applyFont="1" applyFill="1" applyBorder="1" applyAlignment="1">
      <alignment horizontal="center" vertical="center" wrapText="1"/>
    </xf>
    <xf numFmtId="0" fontId="79" fillId="0" borderId="59" xfId="132" applyFont="1" applyFill="1" applyBorder="1" applyAlignment="1">
      <alignment horizontal="center" vertical="center" wrapText="1"/>
    </xf>
    <xf numFmtId="0" fontId="124" fillId="0" borderId="1" xfId="0" applyFont="1" applyFill="1" applyBorder="1" applyAlignment="1">
      <alignment horizontal="center" vertical="center" textRotation="90" wrapText="1"/>
    </xf>
    <xf numFmtId="0" fontId="124" fillId="0" borderId="43" xfId="0" applyFont="1" applyFill="1" applyBorder="1" applyAlignment="1">
      <alignment horizontal="center" vertical="center" textRotation="90" wrapText="1"/>
    </xf>
    <xf numFmtId="0" fontId="9" fillId="0" borderId="59" xfId="0" applyFont="1" applyFill="1" applyBorder="1" applyAlignment="1">
      <alignment horizontal="center" vertical="center" textRotation="90" wrapText="1"/>
    </xf>
    <xf numFmtId="0" fontId="9" fillId="0" borderId="1" xfId="0" applyFont="1" applyFill="1" applyBorder="1" applyAlignment="1">
      <alignment horizontal="center" vertical="center" textRotation="90" wrapText="1"/>
    </xf>
    <xf numFmtId="0" fontId="9" fillId="0" borderId="18" xfId="0" applyFont="1" applyFill="1" applyBorder="1" applyAlignment="1">
      <alignment horizontal="center" vertical="center" textRotation="90" wrapText="1"/>
    </xf>
    <xf numFmtId="0" fontId="22" fillId="0" borderId="74" xfId="132" applyFont="1" applyFill="1" applyBorder="1" applyAlignment="1">
      <alignment horizontal="center" vertical="center" wrapText="1"/>
    </xf>
    <xf numFmtId="0" fontId="22" fillId="0" borderId="43" xfId="133" applyFont="1" applyFill="1" applyBorder="1" applyAlignment="1">
      <alignment horizontal="left" vertical="center" wrapText="1"/>
    </xf>
    <xf numFmtId="0" fontId="22" fillId="0" borderId="74" xfId="133" applyFont="1" applyFill="1" applyBorder="1" applyAlignment="1">
      <alignment horizontal="left" vertical="center" wrapText="1"/>
    </xf>
    <xf numFmtId="0" fontId="124" fillId="0" borderId="24" xfId="0" applyFont="1" applyFill="1" applyBorder="1" applyAlignment="1">
      <alignment horizontal="center" vertical="center" textRotation="90"/>
    </xf>
    <xf numFmtId="0" fontId="124" fillId="0" borderId="1" xfId="0" applyFont="1" applyFill="1" applyBorder="1" applyAlignment="1">
      <alignment horizontal="center" vertical="center" textRotation="90"/>
    </xf>
    <xf numFmtId="0" fontId="124" fillId="0" borderId="18" xfId="0" applyFont="1" applyFill="1" applyBorder="1" applyAlignment="1">
      <alignment horizontal="center" vertical="center" textRotation="90"/>
    </xf>
    <xf numFmtId="0" fontId="80" fillId="0" borderId="24" xfId="133" applyFont="1" applyFill="1" applyBorder="1" applyAlignment="1">
      <alignment horizontal="center" vertical="center" wrapText="1"/>
    </xf>
    <xf numFmtId="0" fontId="80" fillId="0" borderId="1" xfId="133" applyFont="1" applyFill="1" applyBorder="1" applyAlignment="1">
      <alignment horizontal="center" vertical="center" wrapText="1"/>
    </xf>
    <xf numFmtId="0" fontId="80" fillId="0" borderId="24" xfId="133" applyFont="1" applyFill="1" applyBorder="1" applyAlignment="1">
      <alignment horizontal="left" vertical="center" wrapText="1"/>
    </xf>
    <xf numFmtId="0" fontId="80" fillId="0" borderId="1" xfId="133" applyFont="1" applyFill="1" applyBorder="1" applyAlignment="1">
      <alignment horizontal="left" vertical="center" wrapText="1"/>
    </xf>
    <xf numFmtId="0" fontId="22" fillId="0" borderId="43" xfId="133" applyFont="1" applyFill="1" applyBorder="1" applyAlignment="1">
      <alignment horizontal="center" vertical="center" wrapText="1"/>
    </xf>
    <xf numFmtId="0" fontId="22" fillId="0" borderId="74" xfId="133" applyFont="1" applyFill="1" applyBorder="1" applyAlignment="1">
      <alignment horizontal="center" vertical="center" wrapText="1"/>
    </xf>
    <xf numFmtId="0" fontId="22" fillId="0" borderId="17" xfId="133" applyFont="1" applyFill="1" applyBorder="1" applyAlignment="1">
      <alignment horizontal="center" vertical="center" wrapText="1"/>
    </xf>
    <xf numFmtId="0" fontId="80" fillId="0" borderId="43" xfId="133" applyFont="1" applyFill="1" applyBorder="1" applyAlignment="1">
      <alignment horizontal="left" vertical="center" wrapText="1"/>
    </xf>
    <xf numFmtId="0" fontId="80" fillId="0" borderId="59" xfId="133" applyFont="1" applyFill="1" applyBorder="1" applyAlignment="1">
      <alignment horizontal="left" vertical="center" wrapText="1"/>
    </xf>
    <xf numFmtId="0" fontId="142" fillId="0" borderId="74" xfId="0" applyFont="1" applyFill="1" applyBorder="1" applyAlignment="1">
      <alignment horizontal="center" vertical="center" textRotation="90" wrapText="1"/>
    </xf>
    <xf numFmtId="0" fontId="124" fillId="0" borderId="38" xfId="0" applyFont="1" applyFill="1" applyBorder="1" applyAlignment="1">
      <alignment horizontal="center" vertical="center" textRotation="90" wrapText="1"/>
    </xf>
    <xf numFmtId="0" fontId="124" fillId="0" borderId="74" xfId="0" applyFont="1" applyFill="1" applyBorder="1" applyAlignment="1">
      <alignment horizontal="center" vertical="center" textRotation="90" wrapText="1"/>
    </xf>
    <xf numFmtId="0" fontId="124" fillId="0" borderId="17" xfId="0" applyFont="1" applyFill="1" applyBorder="1" applyAlignment="1">
      <alignment horizontal="center" vertical="center" textRotation="90" wrapText="1"/>
    </xf>
    <xf numFmtId="0" fontId="80" fillId="0" borderId="24" xfId="132" applyFont="1" applyFill="1" applyBorder="1" applyAlignment="1">
      <alignment horizontal="center" vertical="center"/>
    </xf>
    <xf numFmtId="0" fontId="80" fillId="0" borderId="1" xfId="132" applyFont="1" applyFill="1" applyBorder="1" applyAlignment="1">
      <alignment horizontal="center" vertical="center"/>
    </xf>
    <xf numFmtId="0" fontId="22" fillId="0" borderId="24" xfId="132" applyFont="1" applyFill="1" applyBorder="1" applyAlignment="1">
      <alignment horizontal="left" vertical="center" wrapText="1"/>
    </xf>
    <xf numFmtId="0" fontId="22" fillId="0" borderId="1" xfId="132" applyFont="1" applyFill="1" applyBorder="1" applyAlignment="1">
      <alignment horizontal="left" vertical="center" wrapText="1"/>
    </xf>
    <xf numFmtId="0" fontId="22" fillId="0" borderId="59" xfId="133" applyFont="1" applyFill="1" applyBorder="1" applyAlignment="1">
      <alignment horizontal="center" vertical="center" wrapText="1"/>
    </xf>
    <xf numFmtId="0" fontId="22" fillId="0" borderId="59" xfId="133" applyFont="1" applyFill="1" applyBorder="1" applyAlignment="1">
      <alignment horizontal="left" vertical="center" wrapText="1"/>
    </xf>
    <xf numFmtId="0" fontId="124" fillId="0" borderId="59" xfId="0" applyFont="1" applyFill="1" applyBorder="1" applyAlignment="1">
      <alignment horizontal="center" vertical="center" textRotation="90" wrapText="1"/>
    </xf>
    <xf numFmtId="0" fontId="22" fillId="0" borderId="43" xfId="132" applyFont="1" applyFill="1" applyBorder="1" applyAlignment="1">
      <alignment horizontal="center" vertical="center"/>
    </xf>
    <xf numFmtId="0" fontId="22" fillId="0" borderId="74" xfId="132" applyFont="1" applyFill="1" applyBorder="1" applyAlignment="1">
      <alignment horizontal="center" vertical="center"/>
    </xf>
    <xf numFmtId="0" fontId="22" fillId="0" borderId="59" xfId="132" applyFont="1" applyFill="1" applyBorder="1" applyAlignment="1">
      <alignment horizontal="center" vertical="center"/>
    </xf>
    <xf numFmtId="0" fontId="22" fillId="0" borderId="43" xfId="132" applyFont="1" applyFill="1" applyBorder="1" applyAlignment="1">
      <alignment horizontal="left" vertical="center" wrapText="1"/>
    </xf>
    <xf numFmtId="0" fontId="22" fillId="0" borderId="74" xfId="132" applyFont="1" applyFill="1" applyBorder="1" applyAlignment="1">
      <alignment horizontal="left" vertical="center" wrapText="1"/>
    </xf>
    <xf numFmtId="0" fontId="22" fillId="0" borderId="59" xfId="132" applyFont="1" applyFill="1" applyBorder="1" applyAlignment="1">
      <alignment horizontal="left" vertical="center" wrapText="1"/>
    </xf>
    <xf numFmtId="0" fontId="124" fillId="0" borderId="82" xfId="0" applyFont="1" applyFill="1" applyBorder="1" applyAlignment="1">
      <alignment horizontal="center" vertical="center" textRotation="90"/>
    </xf>
    <xf numFmtId="0" fontId="124" fillId="0" borderId="68" xfId="0" applyFont="1" applyFill="1" applyBorder="1" applyAlignment="1">
      <alignment horizontal="center" vertical="center" textRotation="90"/>
    </xf>
    <xf numFmtId="0" fontId="124" fillId="0" borderId="81" xfId="0" applyFont="1" applyFill="1" applyBorder="1" applyAlignment="1">
      <alignment horizontal="center" vertical="center" textRotation="90"/>
    </xf>
    <xf numFmtId="0" fontId="22" fillId="0" borderId="82" xfId="133" applyFont="1" applyFill="1" applyBorder="1" applyAlignment="1">
      <alignment horizontal="center" vertical="center" wrapText="1"/>
    </xf>
    <xf numFmtId="0" fontId="22" fillId="0" borderId="77" xfId="133" applyFont="1" applyFill="1" applyBorder="1" applyAlignment="1">
      <alignment horizontal="center" vertical="center" wrapText="1"/>
    </xf>
    <xf numFmtId="0" fontId="22" fillId="0" borderId="1" xfId="133" applyFont="1" applyFill="1" applyBorder="1" applyAlignment="1">
      <alignment horizontal="left" vertical="center" wrapText="1"/>
    </xf>
    <xf numFmtId="0" fontId="22" fillId="0" borderId="38" xfId="132" applyFont="1" applyFill="1" applyBorder="1" applyAlignment="1">
      <alignment horizontal="center" vertical="center" wrapText="1"/>
    </xf>
    <xf numFmtId="0" fontId="22" fillId="0" borderId="17" xfId="132" applyFont="1" applyFill="1" applyBorder="1" applyAlignment="1">
      <alignment horizontal="center" vertical="center" wrapText="1"/>
    </xf>
    <xf numFmtId="0" fontId="22" fillId="0" borderId="38" xfId="132" applyFont="1" applyFill="1" applyBorder="1" applyAlignment="1">
      <alignment horizontal="left" vertical="center" wrapText="1"/>
    </xf>
    <xf numFmtId="0" fontId="22" fillId="0" borderId="17" xfId="132" applyFont="1" applyFill="1" applyBorder="1" applyAlignment="1">
      <alignment horizontal="left" vertical="center" wrapText="1"/>
    </xf>
    <xf numFmtId="0" fontId="124" fillId="0" borderId="59" xfId="0" applyFont="1" applyFill="1" applyBorder="1" applyAlignment="1">
      <alignment horizontal="center" vertical="center" textRotation="90"/>
    </xf>
    <xf numFmtId="0" fontId="80" fillId="0" borderId="43" xfId="132" applyFont="1" applyFill="1" applyBorder="1" applyAlignment="1">
      <alignment horizontal="left" vertical="center" wrapText="1"/>
    </xf>
    <xf numFmtId="0" fontId="80" fillId="0" borderId="59" xfId="132" applyFont="1" applyFill="1" applyBorder="1" applyAlignment="1">
      <alignment horizontal="left" vertical="center" wrapText="1"/>
    </xf>
    <xf numFmtId="0" fontId="22" fillId="0" borderId="43" xfId="99" applyFont="1" applyBorder="1" applyAlignment="1">
      <alignment horizontal="center" vertical="center" wrapText="1"/>
    </xf>
    <xf numFmtId="0" fontId="22" fillId="0" borderId="59" xfId="99" applyFont="1" applyBorder="1" applyAlignment="1">
      <alignment horizontal="center" vertical="center" wrapText="1"/>
    </xf>
    <xf numFmtId="0" fontId="22" fillId="0" borderId="58" xfId="99" applyFont="1" applyBorder="1" applyAlignment="1">
      <alignment horizontal="center" vertical="center" wrapText="1"/>
    </xf>
    <xf numFmtId="0" fontId="22" fillId="0" borderId="39" xfId="99" applyFont="1" applyBorder="1" applyAlignment="1">
      <alignment horizontal="center" vertical="center" wrapText="1"/>
    </xf>
    <xf numFmtId="0" fontId="9" fillId="38" borderId="1" xfId="99" applyFont="1" applyFill="1" applyBorder="1" applyAlignment="1">
      <alignment horizontal="center"/>
    </xf>
    <xf numFmtId="0" fontId="89" fillId="38" borderId="1" xfId="99" applyFont="1" applyFill="1" applyBorder="1" applyAlignment="1">
      <alignment horizontal="center"/>
    </xf>
    <xf numFmtId="0" fontId="9" fillId="38" borderId="58" xfId="99" applyFont="1" applyFill="1" applyBorder="1" applyAlignment="1">
      <alignment horizontal="center" vertical="center"/>
    </xf>
    <xf numFmtId="0" fontId="9" fillId="38" borderId="39" xfId="99" applyFont="1" applyFill="1" applyBorder="1" applyAlignment="1">
      <alignment horizontal="center" vertical="center"/>
    </xf>
    <xf numFmtId="0" fontId="9" fillId="0" borderId="43" xfId="99" applyFont="1" applyBorder="1" applyAlignment="1">
      <alignment horizontal="left" vertical="center" wrapText="1"/>
    </xf>
    <xf numFmtId="0" fontId="9" fillId="0" borderId="74" xfId="99" applyFont="1" applyBorder="1" applyAlignment="1">
      <alignment horizontal="left" vertical="center" wrapText="1"/>
    </xf>
    <xf numFmtId="0" fontId="9" fillId="0" borderId="59" xfId="99" applyFont="1" applyBorder="1" applyAlignment="1">
      <alignment horizontal="left" vertical="center" wrapText="1"/>
    </xf>
    <xf numFmtId="0" fontId="22" fillId="0" borderId="74" xfId="99" applyFont="1" applyBorder="1" applyAlignment="1">
      <alignment horizontal="center" vertical="center" wrapText="1"/>
    </xf>
    <xf numFmtId="0" fontId="22" fillId="0" borderId="82" xfId="99" applyFont="1" applyBorder="1" applyAlignment="1">
      <alignment horizontal="center" vertical="center"/>
    </xf>
    <xf numFmtId="0" fontId="22" fillId="0" borderId="65" xfId="99" applyFont="1" applyBorder="1" applyAlignment="1">
      <alignment horizontal="center" vertical="center"/>
    </xf>
    <xf numFmtId="0" fontId="22" fillId="0" borderId="68" xfId="99" applyFont="1" applyBorder="1" applyAlignment="1">
      <alignment horizontal="center" vertical="center"/>
    </xf>
    <xf numFmtId="0" fontId="22" fillId="0" borderId="116" xfId="99" applyFont="1" applyBorder="1" applyAlignment="1">
      <alignment horizontal="center" vertical="center"/>
    </xf>
    <xf numFmtId="0" fontId="22" fillId="0" borderId="77" xfId="99" applyFont="1" applyBorder="1" applyAlignment="1">
      <alignment horizontal="center" vertical="center"/>
    </xf>
    <xf numFmtId="0" fontId="22" fillId="0" borderId="22" xfId="99" applyFont="1" applyBorder="1" applyAlignment="1">
      <alignment horizontal="center" vertical="center"/>
    </xf>
  </cellXfs>
  <cellStyles count="147">
    <cellStyle name=" 1" xfId="1"/>
    <cellStyle name="_~1613671" xfId="2"/>
    <cellStyle name="_~7644457" xfId="3"/>
    <cellStyle name="_price_der_nov_раб" xfId="4"/>
    <cellStyle name="_price_der_nov_раб_~2260219" xfId="5"/>
    <cellStyle name="_price_der_nov_раб_~2260219 2" xfId="6"/>
    <cellStyle name="_price_der_nov_раб_~2260219_~2131575" xfId="7"/>
    <cellStyle name="_price_der_nov_раб_~2260219_Decra" xfId="8"/>
    <cellStyle name="_price_der_nov_раб_~2260219_Vilpe" xfId="9"/>
    <cellStyle name="_price_der_nov_раб_~2260219_Дилерский прайс-лист 03.03.14 Единый+Q35" xfId="10"/>
    <cellStyle name="_price_der_nov_раб_~2260219_Макет временных" xfId="11"/>
    <cellStyle name="_price_der_nov_раб_~2260219_Прайс полный ассортимент Центр от 09.07" xfId="12"/>
    <cellStyle name="_price_der_nov_раб_~2260219_Розничный прайс-лист 03.03.14" xfId="13"/>
    <cellStyle name="_price_der_nov_раб_~2260219_Розничный прайс-лист 07.04.14" xfId="14"/>
    <cellStyle name="_price_der_nov_раб_~2260219_Цокольные панели Ванштайн" xfId="15"/>
    <cellStyle name="_price_der_nov_раб_~6447645" xfId="16"/>
    <cellStyle name="_price_der_nov_раб_GL розничный прайс Краснодар - 03.09.12" xfId="17"/>
    <cellStyle name="_price_der_nov_раб_дилерский прайс - лист 17.02.12 ПИТЕР" xfId="18"/>
    <cellStyle name="_price_der_nov_раб_дилерский прайс - лист 18.04.12" xfId="19"/>
    <cellStyle name="_price_der_nov_раб_Прайс для Краснодара 2" xfId="20"/>
    <cellStyle name="_price_der_nov_раб_Прайс полный ассортимент 22.12.2010  Центр" xfId="21"/>
    <cellStyle name="_price_der_nov_раб_Прайс полный ассортимент от 06.02.12 Одинцово" xfId="22"/>
    <cellStyle name="_price_der_nov_раб_Прайс полный ассортимент от 06.02.12 Центр" xfId="23"/>
    <cellStyle name="_price_der_nov_раб_Прайс полный ассортимент от 19.10.2011 Центр" xfId="24"/>
    <cellStyle name="_price_der_nov_раб_Прайс полный ассортимент СПБ  от 22.08.12 Ворота + фигурный профнастил" xfId="25"/>
    <cellStyle name="_price_der_nov_раб_Прайс полный ассортимент Центр от 01.06.12" xfId="26"/>
    <cellStyle name="_price_der_nov_раб_Прайс полный ассортимент Центр от 06.08.12" xfId="27"/>
    <cellStyle name="_price_der_nov_раб_Прайс полный ассортимент Центр от 22.08.12 Ворота + фигурный профнастил" xfId="28"/>
    <cellStyle name="_price_der_nov_раб_Прайс полный ассортимент Центр от 29.06.12" xfId="29"/>
    <cellStyle name="_Книга2" xfId="30"/>
    <cellStyle name="_лестницы" xfId="31"/>
    <cellStyle name="_прайс-лист розница" xfId="32"/>
    <cellStyle name="-15-1976" xfId="33"/>
    <cellStyle name="20% - Акцент1 2" xfId="34"/>
    <cellStyle name="20% - Акцент2 2" xfId="35"/>
    <cellStyle name="20% - Акцент3 2" xfId="36"/>
    <cellStyle name="20% - Акцент4 2" xfId="37"/>
    <cellStyle name="20% - Акцент5 2" xfId="38"/>
    <cellStyle name="20% - Акцент6 2" xfId="39"/>
    <cellStyle name="40% - Акцент1 2" xfId="40"/>
    <cellStyle name="40% - Акцент1 2 2" xfId="41"/>
    <cellStyle name="40% - Акцент1 3" xfId="42"/>
    <cellStyle name="40% - Акцент2 2" xfId="43"/>
    <cellStyle name="40% - Акцент3 2" xfId="44"/>
    <cellStyle name="40% - Акцент4 2" xfId="45"/>
    <cellStyle name="40% - Акцент5 2" xfId="46"/>
    <cellStyle name="40% - Акцент6 2" xfId="47"/>
    <cellStyle name="60% - Акцент1 2" xfId="48"/>
    <cellStyle name="60% - Акцент2 2" xfId="49"/>
    <cellStyle name="60% - Акцент3 2" xfId="50"/>
    <cellStyle name="60% - Акцент4 2" xfId="51"/>
    <cellStyle name="60% - Акцент5 2" xfId="52"/>
    <cellStyle name="60% - Акцент6 2" xfId="53"/>
    <cellStyle name="Euro" xfId="54"/>
    <cellStyle name="Euro 2" xfId="55"/>
    <cellStyle name="Excel Built-in Normal" xfId="56"/>
    <cellStyle name="hjj" xfId="57"/>
    <cellStyle name="Normaali_VIPDEALEREUR PRICES POHJA 01 04 06 -" xfId="58"/>
    <cellStyle name="Normal_Sheet1" xfId="59"/>
    <cellStyle name="Standaard 10" xfId="60"/>
    <cellStyle name="Standaard 11" xfId="61"/>
    <cellStyle name="Standaard 12" xfId="62"/>
    <cellStyle name="Standaard 2" xfId="63"/>
    <cellStyle name="Standaard 3" xfId="64"/>
    <cellStyle name="Standaard 4" xfId="65"/>
    <cellStyle name="Standaard 5" xfId="66"/>
    <cellStyle name="Standaard 6" xfId="67"/>
    <cellStyle name="Standaard 7" xfId="68"/>
    <cellStyle name="Standaard 8" xfId="69"/>
    <cellStyle name="Standaard 9" xfId="70"/>
    <cellStyle name="Акцент1 2" xfId="71"/>
    <cellStyle name="Акцент2 2" xfId="72"/>
    <cellStyle name="Акцент3 2" xfId="73"/>
    <cellStyle name="Акцент4 2" xfId="74"/>
    <cellStyle name="Акцент5 2" xfId="75"/>
    <cellStyle name="Акцент6 2" xfId="76"/>
    <cellStyle name="Ввод  2" xfId="77"/>
    <cellStyle name="Вывод 2" xfId="78"/>
    <cellStyle name="Вычисление 2" xfId="79"/>
    <cellStyle name="Гиперссылка" xfId="80" builtinId="8"/>
    <cellStyle name="Гиперссылка 2" xfId="81"/>
    <cellStyle name="Денежный 2" xfId="82"/>
    <cellStyle name="Денежный_прайс дилерский _14.06.11" xfId="83"/>
    <cellStyle name="Заголовок 1 2" xfId="84"/>
    <cellStyle name="Заголовок 2 2" xfId="85"/>
    <cellStyle name="Заголовок 3 2" xfId="86"/>
    <cellStyle name="Заголовок 4 2" xfId="87"/>
    <cellStyle name="Итог 2" xfId="88"/>
    <cellStyle name="Контрольная ячейка 2" xfId="89"/>
    <cellStyle name="Название 2" xfId="90"/>
    <cellStyle name="Нейтральный 2" xfId="91"/>
    <cellStyle name="Обычный" xfId="0" builtinId="0"/>
    <cellStyle name="Обычный 10" xfId="92"/>
    <cellStyle name="Обычный 100" xfId="93"/>
    <cellStyle name="Обычный 11" xfId="94"/>
    <cellStyle name="Обычный 11 3" xfId="95"/>
    <cellStyle name="Обычный 12" xfId="96"/>
    <cellStyle name="Обычный 13" xfId="97"/>
    <cellStyle name="Обычный 14" xfId="98"/>
    <cellStyle name="Обычный 14 2" xfId="99"/>
    <cellStyle name="Обычный 17" xfId="100"/>
    <cellStyle name="Обычный 18" xfId="101"/>
    <cellStyle name="Обычный 2" xfId="102"/>
    <cellStyle name="Обычный 2 2" xfId="103"/>
    <cellStyle name="Обычный 2 2 2" xfId="104"/>
    <cellStyle name="Обычный 2 2 3" xfId="105"/>
    <cellStyle name="Обычный 2_Аквасток 1" xfId="106"/>
    <cellStyle name="Обычный 20" xfId="107"/>
    <cellStyle name="Обычный 3" xfId="108"/>
    <cellStyle name="Обычный 3 2" xfId="109"/>
    <cellStyle name="Обычный 4" xfId="110"/>
    <cellStyle name="Обычный 4 2" xfId="111"/>
    <cellStyle name="Обычный 4_~2131575" xfId="112"/>
    <cellStyle name="Обычный 5" xfId="113"/>
    <cellStyle name="Обычный 5 2" xfId="114"/>
    <cellStyle name="Обычный 6" xfId="115"/>
    <cellStyle name="Обычный 6 2" xfId="116"/>
    <cellStyle name="Обычный 7" xfId="117"/>
    <cellStyle name="Обычный 8" xfId="118"/>
    <cellStyle name="Обычный 9" xfId="119"/>
    <cellStyle name="Обычный 9 2" xfId="120"/>
    <cellStyle name="Обычный 9 3" xfId="121"/>
    <cellStyle name="Обычный 9 4" xfId="122"/>
    <cellStyle name="Обычный_Vilpe1" xfId="123"/>
    <cellStyle name="Обычный_Лист1_Дилерский прайс-лист 02.04.13djhjnj" xfId="124"/>
    <cellStyle name="Обычный_Лист1_Дилерский прайс-лист 13.08.13" xfId="125"/>
    <cellStyle name="Обычный_Лист1_Дилерский прайс-лист Кварцит" xfId="126"/>
    <cellStyle name="Обычный_Лист1_Книга1" xfId="127"/>
    <cellStyle name="Обычный_Лист1_Книга2" xfId="128"/>
    <cellStyle name="Обычный_Лист1_проект пвх" xfId="129"/>
    <cellStyle name="Обычный_металлист FAKRO" xfId="130"/>
    <cellStyle name="Обычный_прайс дилерский _14.06.11" xfId="131"/>
    <cellStyle name="Обычный_Прайс-лист_инструмент_оборудование" xfId="132"/>
    <cellStyle name="Обычный_Прайс-лист_инструмент_оборудование 2" xfId="133"/>
    <cellStyle name="Плохой 2" xfId="134"/>
    <cellStyle name="Пояснение 2" xfId="135"/>
    <cellStyle name="Примечание 2" xfId="136"/>
    <cellStyle name="Процентный 2" xfId="137"/>
    <cellStyle name="Процентный 2 2" xfId="138"/>
    <cellStyle name="Процентный 3" xfId="139"/>
    <cellStyle name="Связанная ячейка 2" xfId="140"/>
    <cellStyle name="Стиль 1" xfId="141"/>
    <cellStyle name="Текст предупреждения 2" xfId="142"/>
    <cellStyle name="Финансовый 2" xfId="143"/>
    <cellStyle name="Финансовый 3" xfId="144"/>
    <cellStyle name="Финансовый 4" xfId="145"/>
    <cellStyle name="Хороший 2" xfId="146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13" Type="http://schemas.openxmlformats.org/officeDocument/2006/relationships/image" Target="../media/image102.jpeg"/><Relationship Id="rId3" Type="http://schemas.openxmlformats.org/officeDocument/2006/relationships/image" Target="../media/image92.jpeg"/><Relationship Id="rId7" Type="http://schemas.openxmlformats.org/officeDocument/2006/relationships/image" Target="../media/image96.jpeg"/><Relationship Id="rId12" Type="http://schemas.openxmlformats.org/officeDocument/2006/relationships/image" Target="../media/image101.jpeg"/><Relationship Id="rId17" Type="http://schemas.openxmlformats.org/officeDocument/2006/relationships/image" Target="../media/image106.jpeg"/><Relationship Id="rId2" Type="http://schemas.openxmlformats.org/officeDocument/2006/relationships/image" Target="../media/image91.jpeg"/><Relationship Id="rId16" Type="http://schemas.openxmlformats.org/officeDocument/2006/relationships/image" Target="../media/image105.jpeg"/><Relationship Id="rId1" Type="http://schemas.openxmlformats.org/officeDocument/2006/relationships/image" Target="../media/image90.jpeg"/><Relationship Id="rId6" Type="http://schemas.openxmlformats.org/officeDocument/2006/relationships/image" Target="../media/image95.jpeg"/><Relationship Id="rId11" Type="http://schemas.openxmlformats.org/officeDocument/2006/relationships/image" Target="../media/image100.jpeg"/><Relationship Id="rId5" Type="http://schemas.openxmlformats.org/officeDocument/2006/relationships/image" Target="../media/image94.jpeg"/><Relationship Id="rId15" Type="http://schemas.openxmlformats.org/officeDocument/2006/relationships/image" Target="../media/image104.jpeg"/><Relationship Id="rId10" Type="http://schemas.openxmlformats.org/officeDocument/2006/relationships/image" Target="../media/image99.jpeg"/><Relationship Id="rId4" Type="http://schemas.openxmlformats.org/officeDocument/2006/relationships/image" Target="../media/image93.jpeg"/><Relationship Id="rId9" Type="http://schemas.openxmlformats.org/officeDocument/2006/relationships/image" Target="../media/image98.jpeg"/><Relationship Id="rId14" Type="http://schemas.openxmlformats.org/officeDocument/2006/relationships/image" Target="../media/image10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18" Type="http://schemas.openxmlformats.org/officeDocument/2006/relationships/image" Target="../media/image31.jpeg"/><Relationship Id="rId26" Type="http://schemas.openxmlformats.org/officeDocument/2006/relationships/image" Target="../media/image39.jpeg"/><Relationship Id="rId39" Type="http://schemas.openxmlformats.org/officeDocument/2006/relationships/image" Target="../media/image52.jpeg"/><Relationship Id="rId3" Type="http://schemas.openxmlformats.org/officeDocument/2006/relationships/image" Target="../media/image16.jpeg"/><Relationship Id="rId21" Type="http://schemas.openxmlformats.org/officeDocument/2006/relationships/image" Target="../media/image34.emf"/><Relationship Id="rId34" Type="http://schemas.openxmlformats.org/officeDocument/2006/relationships/image" Target="../media/image47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17" Type="http://schemas.openxmlformats.org/officeDocument/2006/relationships/image" Target="../media/image30.jpeg"/><Relationship Id="rId25" Type="http://schemas.openxmlformats.org/officeDocument/2006/relationships/image" Target="../media/image38.jpeg"/><Relationship Id="rId33" Type="http://schemas.openxmlformats.org/officeDocument/2006/relationships/image" Target="../media/image46.jpeg"/><Relationship Id="rId38" Type="http://schemas.openxmlformats.org/officeDocument/2006/relationships/image" Target="../media/image51.jpeg"/><Relationship Id="rId2" Type="http://schemas.openxmlformats.org/officeDocument/2006/relationships/image" Target="../media/image15.jpeg"/><Relationship Id="rId16" Type="http://schemas.openxmlformats.org/officeDocument/2006/relationships/image" Target="../media/image29.jpeg"/><Relationship Id="rId20" Type="http://schemas.openxmlformats.org/officeDocument/2006/relationships/image" Target="../media/image33.emf"/><Relationship Id="rId29" Type="http://schemas.openxmlformats.org/officeDocument/2006/relationships/image" Target="../media/image42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24" Type="http://schemas.openxmlformats.org/officeDocument/2006/relationships/image" Target="../media/image37.jpeg"/><Relationship Id="rId32" Type="http://schemas.openxmlformats.org/officeDocument/2006/relationships/image" Target="../media/image45.jpeg"/><Relationship Id="rId37" Type="http://schemas.openxmlformats.org/officeDocument/2006/relationships/image" Target="../media/image50.jpeg"/><Relationship Id="rId5" Type="http://schemas.openxmlformats.org/officeDocument/2006/relationships/image" Target="../media/image18.jpeg"/><Relationship Id="rId15" Type="http://schemas.openxmlformats.org/officeDocument/2006/relationships/image" Target="../media/image28.jpeg"/><Relationship Id="rId23" Type="http://schemas.openxmlformats.org/officeDocument/2006/relationships/image" Target="../media/image36.png"/><Relationship Id="rId28" Type="http://schemas.openxmlformats.org/officeDocument/2006/relationships/image" Target="../media/image41.jpeg"/><Relationship Id="rId36" Type="http://schemas.openxmlformats.org/officeDocument/2006/relationships/image" Target="../media/image49.jpeg"/><Relationship Id="rId10" Type="http://schemas.openxmlformats.org/officeDocument/2006/relationships/image" Target="../media/image23.jpeg"/><Relationship Id="rId19" Type="http://schemas.openxmlformats.org/officeDocument/2006/relationships/image" Target="../media/image32.jpeg"/><Relationship Id="rId31" Type="http://schemas.openxmlformats.org/officeDocument/2006/relationships/image" Target="../media/image44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png"/><Relationship Id="rId22" Type="http://schemas.openxmlformats.org/officeDocument/2006/relationships/image" Target="../media/image35.emf"/><Relationship Id="rId27" Type="http://schemas.openxmlformats.org/officeDocument/2006/relationships/image" Target="../media/image40.jpeg"/><Relationship Id="rId30" Type="http://schemas.openxmlformats.org/officeDocument/2006/relationships/image" Target="../media/image43.jpeg"/><Relationship Id="rId35" Type="http://schemas.openxmlformats.org/officeDocument/2006/relationships/image" Target="../media/image4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3" Type="http://schemas.openxmlformats.org/officeDocument/2006/relationships/image" Target="../media/image54.jpeg"/><Relationship Id="rId7" Type="http://schemas.openxmlformats.org/officeDocument/2006/relationships/image" Target="../media/image58.jpeg"/><Relationship Id="rId2" Type="http://schemas.openxmlformats.org/officeDocument/2006/relationships/image" Target="http://www.omax.ru/images/fixture/screw7.gif" TargetMode="External"/><Relationship Id="rId1" Type="http://schemas.openxmlformats.org/officeDocument/2006/relationships/image" Target="../media/image53.png"/><Relationship Id="rId6" Type="http://schemas.openxmlformats.org/officeDocument/2006/relationships/image" Target="../media/image57.jpeg"/><Relationship Id="rId5" Type="http://schemas.openxmlformats.org/officeDocument/2006/relationships/image" Target="../media/image56.jpeg"/><Relationship Id="rId4" Type="http://schemas.openxmlformats.org/officeDocument/2006/relationships/image" Target="../media/image5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eg"/><Relationship Id="rId2" Type="http://schemas.openxmlformats.org/officeDocument/2006/relationships/image" Target="../media/image61.jpeg"/><Relationship Id="rId1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18" Type="http://schemas.openxmlformats.org/officeDocument/2006/relationships/image" Target="../media/image80.jpeg"/><Relationship Id="rId26" Type="http://schemas.openxmlformats.org/officeDocument/2006/relationships/image" Target="../media/image88.jpeg"/><Relationship Id="rId3" Type="http://schemas.openxmlformats.org/officeDocument/2006/relationships/image" Target="../media/image65.jpeg"/><Relationship Id="rId21" Type="http://schemas.openxmlformats.org/officeDocument/2006/relationships/image" Target="../media/image83.jpe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17" Type="http://schemas.openxmlformats.org/officeDocument/2006/relationships/image" Target="../media/image79.png"/><Relationship Id="rId25" Type="http://schemas.openxmlformats.org/officeDocument/2006/relationships/image" Target="../media/image87.jpeg"/><Relationship Id="rId2" Type="http://schemas.openxmlformats.org/officeDocument/2006/relationships/image" Target="../media/image64.jpeg"/><Relationship Id="rId16" Type="http://schemas.openxmlformats.org/officeDocument/2006/relationships/image" Target="../media/image78.png"/><Relationship Id="rId20" Type="http://schemas.openxmlformats.org/officeDocument/2006/relationships/image" Target="../media/image82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24" Type="http://schemas.openxmlformats.org/officeDocument/2006/relationships/image" Target="../media/image86.jpeg"/><Relationship Id="rId5" Type="http://schemas.openxmlformats.org/officeDocument/2006/relationships/image" Target="../media/image67.jpeg"/><Relationship Id="rId15" Type="http://schemas.openxmlformats.org/officeDocument/2006/relationships/image" Target="../media/image77.png"/><Relationship Id="rId23" Type="http://schemas.openxmlformats.org/officeDocument/2006/relationships/image" Target="../media/image85.png"/><Relationship Id="rId10" Type="http://schemas.openxmlformats.org/officeDocument/2006/relationships/image" Target="../media/image72.jpeg"/><Relationship Id="rId19" Type="http://schemas.openxmlformats.org/officeDocument/2006/relationships/image" Target="../media/image81.png"/><Relationship Id="rId4" Type="http://schemas.openxmlformats.org/officeDocument/2006/relationships/image" Target="../media/image66.jpeg"/><Relationship Id="rId9" Type="http://schemas.openxmlformats.org/officeDocument/2006/relationships/image" Target="../media/image71.jpeg"/><Relationship Id="rId14" Type="http://schemas.openxmlformats.org/officeDocument/2006/relationships/image" Target="../media/image76.png"/><Relationship Id="rId22" Type="http://schemas.openxmlformats.org/officeDocument/2006/relationships/image" Target="../media/image8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228600</xdr:colOff>
      <xdr:row>3</xdr:row>
      <xdr:rowOff>47625</xdr:rowOff>
    </xdr:from>
    <xdr:to>
      <xdr:col>6</xdr:col>
      <xdr:colOff>200025</xdr:colOff>
      <xdr:row>3</xdr:row>
      <xdr:rowOff>409575</xdr:rowOff>
    </xdr:to>
    <xdr:pic>
      <xdr:nvPicPr>
        <xdr:cNvPr id="103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1047750"/>
          <a:ext cx="1190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5</xdr:row>
      <xdr:rowOff>76200</xdr:rowOff>
    </xdr:from>
    <xdr:to>
      <xdr:col>6</xdr:col>
      <xdr:colOff>238125</xdr:colOff>
      <xdr:row>5</xdr:row>
      <xdr:rowOff>438150</xdr:rowOff>
    </xdr:to>
    <xdr:pic>
      <xdr:nvPicPr>
        <xdr:cNvPr id="103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05400" y="2085975"/>
          <a:ext cx="1190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276225</xdr:colOff>
      <xdr:row>6</xdr:row>
      <xdr:rowOff>66675</xdr:rowOff>
    </xdr:from>
    <xdr:to>
      <xdr:col>6</xdr:col>
      <xdr:colOff>247650</xdr:colOff>
      <xdr:row>6</xdr:row>
      <xdr:rowOff>476250</xdr:rowOff>
    </xdr:to>
    <xdr:pic>
      <xdr:nvPicPr>
        <xdr:cNvPr id="103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14925" y="2581275"/>
          <a:ext cx="11906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7</xdr:row>
      <xdr:rowOff>57150</xdr:rowOff>
    </xdr:from>
    <xdr:to>
      <xdr:col>6</xdr:col>
      <xdr:colOff>381000</xdr:colOff>
      <xdr:row>7</xdr:row>
      <xdr:rowOff>447675</xdr:rowOff>
    </xdr:to>
    <xdr:pic>
      <xdr:nvPicPr>
        <xdr:cNvPr id="103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500" y="3076575"/>
          <a:ext cx="12954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8</xdr:row>
      <xdr:rowOff>47625</xdr:rowOff>
    </xdr:from>
    <xdr:to>
      <xdr:col>6</xdr:col>
      <xdr:colOff>333375</xdr:colOff>
      <xdr:row>8</xdr:row>
      <xdr:rowOff>438150</xdr:rowOff>
    </xdr:to>
    <xdr:pic>
      <xdr:nvPicPr>
        <xdr:cNvPr id="103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00650" y="3571875"/>
          <a:ext cx="11906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13</xdr:row>
      <xdr:rowOff>314325</xdr:rowOff>
    </xdr:from>
    <xdr:to>
      <xdr:col>3</xdr:col>
      <xdr:colOff>876300</xdr:colOff>
      <xdr:row>16</xdr:row>
      <xdr:rowOff>0</xdr:rowOff>
    </xdr:to>
    <xdr:pic>
      <xdr:nvPicPr>
        <xdr:cNvPr id="10258" name="Рисунок 2" descr="Монтажные лаги_мал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6553200"/>
          <a:ext cx="514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16</xdr:row>
      <xdr:rowOff>19050</xdr:rowOff>
    </xdr:from>
    <xdr:to>
      <xdr:col>3</xdr:col>
      <xdr:colOff>676275</xdr:colOff>
      <xdr:row>17</xdr:row>
      <xdr:rowOff>0</xdr:rowOff>
    </xdr:to>
    <xdr:pic>
      <xdr:nvPicPr>
        <xdr:cNvPr id="102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6962775"/>
          <a:ext cx="314325" cy="304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828675</xdr:colOff>
      <xdr:row>16</xdr:row>
      <xdr:rowOff>228600</xdr:rowOff>
    </xdr:from>
    <xdr:to>
      <xdr:col>3</xdr:col>
      <xdr:colOff>1247775</xdr:colOff>
      <xdr:row>19</xdr:row>
      <xdr:rowOff>28575</xdr:rowOff>
    </xdr:to>
    <xdr:pic>
      <xdr:nvPicPr>
        <xdr:cNvPr id="10260" name="Рисунок 4" descr="L-профиль_мал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48175" y="7172325"/>
          <a:ext cx="419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1190625</xdr:colOff>
      <xdr:row>26</xdr:row>
      <xdr:rowOff>9525</xdr:rowOff>
    </xdr:from>
    <xdr:to>
      <xdr:col>8</xdr:col>
      <xdr:colOff>609600</xdr:colOff>
      <xdr:row>36</xdr:row>
      <xdr:rowOff>104775</xdr:rowOff>
    </xdr:to>
    <xdr:pic>
      <xdr:nvPicPr>
        <xdr:cNvPr id="10261" name="Рисунок 5" descr="Кляймер Венге_мал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48400" y="9258300"/>
          <a:ext cx="35052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771525</xdr:colOff>
      <xdr:row>19</xdr:row>
      <xdr:rowOff>38100</xdr:rowOff>
    </xdr:from>
    <xdr:to>
      <xdr:col>3</xdr:col>
      <xdr:colOff>771525</xdr:colOff>
      <xdr:row>20</xdr:row>
      <xdr:rowOff>0</xdr:rowOff>
    </xdr:to>
    <xdr:pic>
      <xdr:nvPicPr>
        <xdr:cNvPr id="10262" name="Рисунок 6" descr="Кляймер Красный_мал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391025" y="7686675"/>
          <a:ext cx="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33</xdr:row>
      <xdr:rowOff>76200</xdr:rowOff>
    </xdr:from>
    <xdr:to>
      <xdr:col>4</xdr:col>
      <xdr:colOff>1123950</xdr:colOff>
      <xdr:row>48</xdr:row>
      <xdr:rowOff>85725</xdr:rowOff>
    </xdr:to>
    <xdr:pic>
      <xdr:nvPicPr>
        <xdr:cNvPr id="10263" name="Рисунок 7" descr="Кляймер неокрашенный_мал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09900" y="10658475"/>
          <a:ext cx="3171825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19</xdr:row>
      <xdr:rowOff>390525</xdr:rowOff>
    </xdr:from>
    <xdr:to>
      <xdr:col>3</xdr:col>
      <xdr:colOff>790575</xdr:colOff>
      <xdr:row>21</xdr:row>
      <xdr:rowOff>0</xdr:rowOff>
    </xdr:to>
    <xdr:pic>
      <xdr:nvPicPr>
        <xdr:cNvPr id="10264" name="Рисунок 8" descr="Кляймер беж_мал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410075" y="7972425"/>
          <a:ext cx="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190500</xdr:colOff>
      <xdr:row>19</xdr:row>
      <xdr:rowOff>276225</xdr:rowOff>
    </xdr:from>
    <xdr:to>
      <xdr:col>19</xdr:col>
      <xdr:colOff>247650</xdr:colOff>
      <xdr:row>36</xdr:row>
      <xdr:rowOff>76200</xdr:rowOff>
    </xdr:to>
    <xdr:pic>
      <xdr:nvPicPr>
        <xdr:cNvPr id="10265" name="Рисунок 9" descr="Кляймер коричневый_мал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53700" y="7924800"/>
          <a:ext cx="5543550" cy="3305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8</xdr:row>
      <xdr:rowOff>123825</xdr:rowOff>
    </xdr:from>
    <xdr:to>
      <xdr:col>3</xdr:col>
      <xdr:colOff>895350</xdr:colOff>
      <xdr:row>9</xdr:row>
      <xdr:rowOff>561975</xdr:rowOff>
    </xdr:to>
    <xdr:pic>
      <xdr:nvPicPr>
        <xdr:cNvPr id="10266" name="Рисунок 10" descr="Пшеничный глянец_мал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33800" y="1685925"/>
          <a:ext cx="781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981075</xdr:colOff>
      <xdr:row>8</xdr:row>
      <xdr:rowOff>133350</xdr:rowOff>
    </xdr:from>
    <xdr:to>
      <xdr:col>4</xdr:col>
      <xdr:colOff>295275</xdr:colOff>
      <xdr:row>9</xdr:row>
      <xdr:rowOff>561975</xdr:rowOff>
    </xdr:to>
    <xdr:pic>
      <xdr:nvPicPr>
        <xdr:cNvPr id="10267" name="Рисунок 11" descr="Серый глянец_мал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00575" y="16954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8</xdr:row>
      <xdr:rowOff>171450</xdr:rowOff>
    </xdr:from>
    <xdr:to>
      <xdr:col>4</xdr:col>
      <xdr:colOff>1190625</xdr:colOff>
      <xdr:row>9</xdr:row>
      <xdr:rowOff>571500</xdr:rowOff>
    </xdr:to>
    <xdr:pic>
      <xdr:nvPicPr>
        <xdr:cNvPr id="10268" name="Рисунок 12" descr="Французский каштан глянец_мал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438775" y="1733550"/>
          <a:ext cx="809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10</xdr:row>
      <xdr:rowOff>76200</xdr:rowOff>
    </xdr:from>
    <xdr:to>
      <xdr:col>3</xdr:col>
      <xdr:colOff>857250</xdr:colOff>
      <xdr:row>10</xdr:row>
      <xdr:rowOff>866775</xdr:rowOff>
    </xdr:to>
    <xdr:pic>
      <xdr:nvPicPr>
        <xdr:cNvPr id="10269" name="Рисунок 16" descr="белый клен глянец_мал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733800" y="2857500"/>
          <a:ext cx="742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1133475</xdr:colOff>
      <xdr:row>11</xdr:row>
      <xdr:rowOff>342900</xdr:rowOff>
    </xdr:from>
    <xdr:to>
      <xdr:col>4</xdr:col>
      <xdr:colOff>504825</xdr:colOff>
      <xdr:row>11</xdr:row>
      <xdr:rowOff>1143000</xdr:rowOff>
    </xdr:to>
    <xdr:pic>
      <xdr:nvPicPr>
        <xdr:cNvPr id="10270" name="Рисунок 17" descr="Венге глянец_мал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52975" y="5114925"/>
          <a:ext cx="809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10</xdr:row>
      <xdr:rowOff>1114425</xdr:rowOff>
    </xdr:from>
    <xdr:to>
      <xdr:col>4</xdr:col>
      <xdr:colOff>847725</xdr:colOff>
      <xdr:row>10</xdr:row>
      <xdr:rowOff>1952625</xdr:rowOff>
    </xdr:to>
    <xdr:pic>
      <xdr:nvPicPr>
        <xdr:cNvPr id="10271" name="Рисунок 18" descr="Зеленый глянец_мал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05400" y="3895725"/>
          <a:ext cx="8001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10</xdr:row>
      <xdr:rowOff>1133475</xdr:rowOff>
    </xdr:from>
    <xdr:to>
      <xdr:col>3</xdr:col>
      <xdr:colOff>1085850</xdr:colOff>
      <xdr:row>10</xdr:row>
      <xdr:rowOff>1924050</xdr:rowOff>
    </xdr:to>
    <xdr:pic>
      <xdr:nvPicPr>
        <xdr:cNvPr id="10272" name="Рисунок 19" descr="Синий глянец_мал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14775" y="3914775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962025</xdr:colOff>
      <xdr:row>10</xdr:row>
      <xdr:rowOff>38100</xdr:rowOff>
    </xdr:from>
    <xdr:to>
      <xdr:col>4</xdr:col>
      <xdr:colOff>361950</xdr:colOff>
      <xdr:row>10</xdr:row>
      <xdr:rowOff>904875</xdr:rowOff>
    </xdr:to>
    <xdr:pic>
      <xdr:nvPicPr>
        <xdr:cNvPr id="10273" name="Рисунок 20" descr="Терракотовый глянец_мал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581525" y="2819400"/>
          <a:ext cx="8382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504825</xdr:colOff>
      <xdr:row>10</xdr:row>
      <xdr:rowOff>47625</xdr:rowOff>
    </xdr:from>
    <xdr:to>
      <xdr:col>4</xdr:col>
      <xdr:colOff>1295400</xdr:colOff>
      <xdr:row>10</xdr:row>
      <xdr:rowOff>990600</xdr:rowOff>
    </xdr:to>
    <xdr:pic>
      <xdr:nvPicPr>
        <xdr:cNvPr id="10274" name="Рисунок 21" descr="Янтарный глянец_мал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62600" y="2828925"/>
          <a:ext cx="7905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876300</xdr:colOff>
      <xdr:row>5</xdr:row>
      <xdr:rowOff>66675</xdr:rowOff>
    </xdr:from>
    <xdr:to>
      <xdr:col>9</xdr:col>
      <xdr:colOff>1200150</xdr:colOff>
      <xdr:row>6</xdr:row>
      <xdr:rowOff>152400</xdr:rowOff>
    </xdr:to>
    <xdr:pic>
      <xdr:nvPicPr>
        <xdr:cNvPr id="2050" name="Picture 1" descr="osoite_eidetic_FIN sivu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00975" y="1000125"/>
          <a:ext cx="15240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4</xdr:row>
      <xdr:rowOff>0</xdr:rowOff>
    </xdr:from>
    <xdr:to>
      <xdr:col>1</xdr:col>
      <xdr:colOff>628650</xdr:colOff>
      <xdr:row>8</xdr:row>
      <xdr:rowOff>38100</xdr:rowOff>
    </xdr:to>
    <xdr:pic>
      <xdr:nvPicPr>
        <xdr:cNvPr id="3081" name="Picture 294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762000"/>
          <a:ext cx="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4</xdr:row>
      <xdr:rowOff>0</xdr:rowOff>
    </xdr:from>
    <xdr:to>
      <xdr:col>1</xdr:col>
      <xdr:colOff>609600</xdr:colOff>
      <xdr:row>7</xdr:row>
      <xdr:rowOff>9525</xdr:rowOff>
    </xdr:to>
    <xdr:pic>
      <xdr:nvPicPr>
        <xdr:cNvPr id="3082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19200" y="76200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4</xdr:row>
      <xdr:rowOff>0</xdr:rowOff>
    </xdr:from>
    <xdr:to>
      <xdr:col>1</xdr:col>
      <xdr:colOff>628650</xdr:colOff>
      <xdr:row>4</xdr:row>
      <xdr:rowOff>171450</xdr:rowOff>
    </xdr:to>
    <xdr:pic>
      <xdr:nvPicPr>
        <xdr:cNvPr id="3083" name="Picture 294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0" y="76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4</xdr:row>
      <xdr:rowOff>0</xdr:rowOff>
    </xdr:from>
    <xdr:to>
      <xdr:col>1</xdr:col>
      <xdr:colOff>609600</xdr:colOff>
      <xdr:row>4</xdr:row>
      <xdr:rowOff>142875</xdr:rowOff>
    </xdr:to>
    <xdr:pic>
      <xdr:nvPicPr>
        <xdr:cNvPr id="3084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19200" y="76200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14</xdr:row>
      <xdr:rowOff>76200</xdr:rowOff>
    </xdr:from>
    <xdr:to>
      <xdr:col>1</xdr:col>
      <xdr:colOff>1323975</xdr:colOff>
      <xdr:row>15</xdr:row>
      <xdr:rowOff>504825</xdr:rowOff>
    </xdr:to>
    <xdr:pic>
      <xdr:nvPicPr>
        <xdr:cNvPr id="3085" name="Picture 282" descr="Рисунок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5825" y="3095625"/>
          <a:ext cx="7429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18</xdr:row>
      <xdr:rowOff>57150</xdr:rowOff>
    </xdr:from>
    <xdr:to>
      <xdr:col>1</xdr:col>
      <xdr:colOff>1390650</xdr:colOff>
      <xdr:row>19</xdr:row>
      <xdr:rowOff>504825</xdr:rowOff>
    </xdr:to>
    <xdr:pic>
      <xdr:nvPicPr>
        <xdr:cNvPr id="3086" name="Picture 283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4875" y="5010150"/>
          <a:ext cx="7239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20</xdr:row>
      <xdr:rowOff>95250</xdr:rowOff>
    </xdr:from>
    <xdr:to>
      <xdr:col>1</xdr:col>
      <xdr:colOff>1019175</xdr:colOff>
      <xdr:row>20</xdr:row>
      <xdr:rowOff>1276350</xdr:rowOff>
    </xdr:to>
    <xdr:pic>
      <xdr:nvPicPr>
        <xdr:cNvPr id="3087" name="Picture 284" descr="Рисунок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00100" y="6076950"/>
          <a:ext cx="8286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8</xdr:row>
      <xdr:rowOff>57150</xdr:rowOff>
    </xdr:from>
    <xdr:to>
      <xdr:col>1</xdr:col>
      <xdr:colOff>781050</xdr:colOff>
      <xdr:row>11</xdr:row>
      <xdr:rowOff>161925</xdr:rowOff>
    </xdr:to>
    <xdr:pic>
      <xdr:nvPicPr>
        <xdr:cNvPr id="3088" name="Picture 89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0" y="1781175"/>
          <a:ext cx="5334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7</xdr:row>
      <xdr:rowOff>104775</xdr:rowOff>
    </xdr:from>
    <xdr:to>
      <xdr:col>1</xdr:col>
      <xdr:colOff>2590800</xdr:colOff>
      <xdr:row>19</xdr:row>
      <xdr:rowOff>123825</xdr:rowOff>
    </xdr:to>
    <xdr:pic>
      <xdr:nvPicPr>
        <xdr:cNvPr id="4100" name="Picture 171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2475" y="2619375"/>
          <a:ext cx="2447925" cy="299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20</xdr:row>
      <xdr:rowOff>85725</xdr:rowOff>
    </xdr:from>
    <xdr:to>
      <xdr:col>1</xdr:col>
      <xdr:colOff>2609850</xdr:colOff>
      <xdr:row>31</xdr:row>
      <xdr:rowOff>123825</xdr:rowOff>
    </xdr:to>
    <xdr:pic>
      <xdr:nvPicPr>
        <xdr:cNvPr id="4101" name="Picture 172" descr="Рисунок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0575" y="5819775"/>
          <a:ext cx="2428875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32</xdr:row>
      <xdr:rowOff>209550</xdr:rowOff>
    </xdr:from>
    <xdr:to>
      <xdr:col>1</xdr:col>
      <xdr:colOff>2600325</xdr:colOff>
      <xdr:row>37</xdr:row>
      <xdr:rowOff>133350</xdr:rowOff>
    </xdr:to>
    <xdr:pic>
      <xdr:nvPicPr>
        <xdr:cNvPr id="4102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5350" y="8915400"/>
          <a:ext cx="2314575" cy="2514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219075</xdr:rowOff>
    </xdr:from>
    <xdr:to>
      <xdr:col>1</xdr:col>
      <xdr:colOff>200025</xdr:colOff>
      <xdr:row>16</xdr:row>
      <xdr:rowOff>0</xdr:rowOff>
    </xdr:to>
    <xdr:pic>
      <xdr:nvPicPr>
        <xdr:cNvPr id="5170" name="Picture 73" descr="Рисунок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1475" y="5610225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161925</xdr:colOff>
      <xdr:row>16</xdr:row>
      <xdr:rowOff>0</xdr:rowOff>
    </xdr:to>
    <xdr:pic>
      <xdr:nvPicPr>
        <xdr:cNvPr id="5171" name="Picture 76" descr="Ступень8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1475" y="5610225"/>
          <a:ext cx="161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142875</xdr:colOff>
      <xdr:row>16</xdr:row>
      <xdr:rowOff>0</xdr:rowOff>
    </xdr:to>
    <xdr:pic>
      <xdr:nvPicPr>
        <xdr:cNvPr id="5172" name="Picture 80" descr="Бугель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71475" y="5610225"/>
          <a:ext cx="142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16</xdr:row>
      <xdr:rowOff>0</xdr:rowOff>
    </xdr:to>
    <xdr:pic>
      <xdr:nvPicPr>
        <xdr:cNvPr id="5173" name="Picture 80" descr="Бугель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71475" y="5610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16</xdr:row>
      <xdr:rowOff>95250</xdr:rowOff>
    </xdr:to>
    <xdr:pic>
      <xdr:nvPicPr>
        <xdr:cNvPr id="5174" name="Picture 77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1475" y="5610225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200025</xdr:colOff>
      <xdr:row>16</xdr:row>
      <xdr:rowOff>0</xdr:rowOff>
    </xdr:to>
    <xdr:pic>
      <xdr:nvPicPr>
        <xdr:cNvPr id="5175" name="Picture 33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1475" y="5610225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171450</xdr:colOff>
      <xdr:row>16</xdr:row>
      <xdr:rowOff>0</xdr:rowOff>
    </xdr:to>
    <xdr:pic>
      <xdr:nvPicPr>
        <xdr:cNvPr id="5176" name="Picture 33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1475" y="5610225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171450</xdr:colOff>
      <xdr:row>16</xdr:row>
      <xdr:rowOff>0</xdr:rowOff>
    </xdr:to>
    <xdr:pic>
      <xdr:nvPicPr>
        <xdr:cNvPr id="5177" name="Picture 33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1475" y="5610225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16</xdr:row>
      <xdr:rowOff>152400</xdr:rowOff>
    </xdr:to>
    <xdr:pic>
      <xdr:nvPicPr>
        <xdr:cNvPr id="5178" name="Picture 22" descr="Петух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1475" y="56102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190500</xdr:colOff>
      <xdr:row>16</xdr:row>
      <xdr:rowOff>0</xdr:rowOff>
    </xdr:to>
    <xdr:pic>
      <xdr:nvPicPr>
        <xdr:cNvPr id="5179" name="Picture 54" descr="Нижний 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71475" y="5610225"/>
          <a:ext cx="190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171450</xdr:colOff>
      <xdr:row>16</xdr:row>
      <xdr:rowOff>0</xdr:rowOff>
    </xdr:to>
    <xdr:pic>
      <xdr:nvPicPr>
        <xdr:cNvPr id="5180" name="Picture 33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1475" y="5610225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</xdr:row>
      <xdr:rowOff>38100</xdr:rowOff>
    </xdr:from>
    <xdr:to>
      <xdr:col>1</xdr:col>
      <xdr:colOff>0</xdr:colOff>
      <xdr:row>19</xdr:row>
      <xdr:rowOff>28575</xdr:rowOff>
    </xdr:to>
    <xdr:pic>
      <xdr:nvPicPr>
        <xdr:cNvPr id="5181" name="Picture 7" descr="Аэроэлемент AFE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71475" y="6848475"/>
          <a:ext cx="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</xdr:row>
      <xdr:rowOff>47625</xdr:rowOff>
    </xdr:from>
    <xdr:to>
      <xdr:col>1</xdr:col>
      <xdr:colOff>0</xdr:colOff>
      <xdr:row>46</xdr:row>
      <xdr:rowOff>0</xdr:rowOff>
    </xdr:to>
    <xdr:pic>
      <xdr:nvPicPr>
        <xdr:cNvPr id="5182" name="Picture 9" descr="Фирафикс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71475" y="1307782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</xdr:row>
      <xdr:rowOff>238125</xdr:rowOff>
    </xdr:from>
    <xdr:to>
      <xdr:col>1</xdr:col>
      <xdr:colOff>0</xdr:colOff>
      <xdr:row>70</xdr:row>
      <xdr:rowOff>0</xdr:rowOff>
    </xdr:to>
    <xdr:pic>
      <xdr:nvPicPr>
        <xdr:cNvPr id="5183" name="Picture 13" descr="Скоба решётки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71475" y="17811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</xdr:row>
      <xdr:rowOff>133350</xdr:rowOff>
    </xdr:from>
    <xdr:to>
      <xdr:col>1</xdr:col>
      <xdr:colOff>0</xdr:colOff>
      <xdr:row>78</xdr:row>
      <xdr:rowOff>0</xdr:rowOff>
    </xdr:to>
    <xdr:pic>
      <xdr:nvPicPr>
        <xdr:cNvPr id="5184" name="Picture 16" descr="Шуруп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71475" y="19278600"/>
          <a:ext cx="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</xdr:row>
      <xdr:rowOff>123825</xdr:rowOff>
    </xdr:from>
    <xdr:to>
      <xdr:col>1</xdr:col>
      <xdr:colOff>0</xdr:colOff>
      <xdr:row>79</xdr:row>
      <xdr:rowOff>190500</xdr:rowOff>
    </xdr:to>
    <xdr:pic>
      <xdr:nvPicPr>
        <xdr:cNvPr id="5185" name="Picture 18" descr="Зажим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71475" y="1965007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</xdr:row>
      <xdr:rowOff>47625</xdr:rowOff>
    </xdr:from>
    <xdr:to>
      <xdr:col>1</xdr:col>
      <xdr:colOff>0</xdr:colOff>
      <xdr:row>71</xdr:row>
      <xdr:rowOff>0</xdr:rowOff>
    </xdr:to>
    <xdr:pic>
      <xdr:nvPicPr>
        <xdr:cNvPr id="5186" name="Picture 25" descr="Скоба снегоостанавливающая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71475" y="178593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9525</xdr:rowOff>
    </xdr:from>
    <xdr:to>
      <xdr:col>1</xdr:col>
      <xdr:colOff>19050</xdr:colOff>
      <xdr:row>45</xdr:row>
      <xdr:rowOff>0</xdr:rowOff>
    </xdr:to>
    <xdr:pic>
      <xdr:nvPicPr>
        <xdr:cNvPr id="5187" name="Picture 27" descr="Коньковый2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71475" y="12849225"/>
          <a:ext cx="190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</xdr:row>
      <xdr:rowOff>57150</xdr:rowOff>
    </xdr:from>
    <xdr:to>
      <xdr:col>1</xdr:col>
      <xdr:colOff>0</xdr:colOff>
      <xdr:row>77</xdr:row>
      <xdr:rowOff>0</xdr:rowOff>
    </xdr:to>
    <xdr:pic>
      <xdr:nvPicPr>
        <xdr:cNvPr id="518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71475" y="19011900"/>
          <a:ext cx="0" cy="133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</xdr:row>
      <xdr:rowOff>57150</xdr:rowOff>
    </xdr:from>
    <xdr:to>
      <xdr:col>1</xdr:col>
      <xdr:colOff>0</xdr:colOff>
      <xdr:row>54</xdr:row>
      <xdr:rowOff>0</xdr:rowOff>
    </xdr:to>
    <xdr:pic>
      <xdr:nvPicPr>
        <xdr:cNvPr id="5189" name="Picture 49" descr="Планка Вака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71475" y="14630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</xdr:row>
      <xdr:rowOff>238125</xdr:rowOff>
    </xdr:from>
    <xdr:to>
      <xdr:col>1</xdr:col>
      <xdr:colOff>38100</xdr:colOff>
      <xdr:row>55</xdr:row>
      <xdr:rowOff>0</xdr:rowOff>
    </xdr:to>
    <xdr:pic>
      <xdr:nvPicPr>
        <xdr:cNvPr id="5190" name="Picture 50" descr="Шуруп с дюбелем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71475" y="14954250"/>
          <a:ext cx="38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</xdr:row>
      <xdr:rowOff>47625</xdr:rowOff>
    </xdr:from>
    <xdr:to>
      <xdr:col>1</xdr:col>
      <xdr:colOff>0</xdr:colOff>
      <xdr:row>43</xdr:row>
      <xdr:rowOff>0</xdr:rowOff>
    </xdr:to>
    <xdr:pic>
      <xdr:nvPicPr>
        <xdr:cNvPr id="5191" name="Picture 72" descr="Боковая обл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71475" y="1250632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</xdr:row>
      <xdr:rowOff>114300</xdr:rowOff>
    </xdr:from>
    <xdr:to>
      <xdr:col>1</xdr:col>
      <xdr:colOff>0</xdr:colOff>
      <xdr:row>76</xdr:row>
      <xdr:rowOff>0</xdr:rowOff>
    </xdr:to>
    <xdr:pic>
      <xdr:nvPicPr>
        <xdr:cNvPr id="5192" name="Picture 63" descr="Противоветровой 2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71475" y="1887855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</xdr:row>
      <xdr:rowOff>295275</xdr:rowOff>
    </xdr:from>
    <xdr:to>
      <xdr:col>1</xdr:col>
      <xdr:colOff>0</xdr:colOff>
      <xdr:row>56</xdr:row>
      <xdr:rowOff>0</xdr:rowOff>
    </xdr:to>
    <xdr:pic>
      <xdr:nvPicPr>
        <xdr:cNvPr id="5193" name="Picture 65" descr="Герметик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71475" y="15144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47625</xdr:rowOff>
    </xdr:from>
    <xdr:to>
      <xdr:col>1</xdr:col>
      <xdr:colOff>0</xdr:colOff>
      <xdr:row>18</xdr:row>
      <xdr:rowOff>0</xdr:rowOff>
    </xdr:to>
    <xdr:pic>
      <xdr:nvPicPr>
        <xdr:cNvPr id="5194" name="Picture 7" descr="Аэроэлемент AFE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71475" y="66484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</xdr:row>
      <xdr:rowOff>76200</xdr:rowOff>
    </xdr:from>
    <xdr:to>
      <xdr:col>1</xdr:col>
      <xdr:colOff>0</xdr:colOff>
      <xdr:row>79</xdr:row>
      <xdr:rowOff>0</xdr:rowOff>
    </xdr:to>
    <xdr:pic>
      <xdr:nvPicPr>
        <xdr:cNvPr id="5195" name="Picture 16" descr="Шуруп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71475" y="1941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28575</xdr:rowOff>
    </xdr:from>
    <xdr:to>
      <xdr:col>1</xdr:col>
      <xdr:colOff>0</xdr:colOff>
      <xdr:row>20</xdr:row>
      <xdr:rowOff>400050</xdr:rowOff>
    </xdr:to>
    <xdr:pic>
      <xdr:nvPicPr>
        <xdr:cNvPr id="5196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71475" y="7477125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</xdr:row>
      <xdr:rowOff>38100</xdr:rowOff>
    </xdr:from>
    <xdr:to>
      <xdr:col>1</xdr:col>
      <xdr:colOff>0</xdr:colOff>
      <xdr:row>68</xdr:row>
      <xdr:rowOff>0</xdr:rowOff>
    </xdr:to>
    <xdr:pic>
      <xdr:nvPicPr>
        <xdr:cNvPr id="5197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71475" y="17278350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</xdr:row>
      <xdr:rowOff>66675</xdr:rowOff>
    </xdr:from>
    <xdr:to>
      <xdr:col>1</xdr:col>
      <xdr:colOff>0</xdr:colOff>
      <xdr:row>69</xdr:row>
      <xdr:rowOff>0</xdr:rowOff>
    </xdr:to>
    <xdr:pic>
      <xdr:nvPicPr>
        <xdr:cNvPr id="5198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71475" y="1749742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</xdr:row>
      <xdr:rowOff>47625</xdr:rowOff>
    </xdr:from>
    <xdr:to>
      <xdr:col>1</xdr:col>
      <xdr:colOff>0</xdr:colOff>
      <xdr:row>44</xdr:row>
      <xdr:rowOff>0</xdr:rowOff>
    </xdr:to>
    <xdr:pic>
      <xdr:nvPicPr>
        <xdr:cNvPr id="5199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71475" y="12696825"/>
          <a:ext cx="0" cy="142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</xdr:row>
      <xdr:rowOff>28575</xdr:rowOff>
    </xdr:from>
    <xdr:to>
      <xdr:col>1</xdr:col>
      <xdr:colOff>0</xdr:colOff>
      <xdr:row>26</xdr:row>
      <xdr:rowOff>0</xdr:rowOff>
    </xdr:to>
    <xdr:pic>
      <xdr:nvPicPr>
        <xdr:cNvPr id="5200" name="Picture 23" descr="Металролл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71475" y="88106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28575</xdr:rowOff>
    </xdr:from>
    <xdr:to>
      <xdr:col>1</xdr:col>
      <xdr:colOff>0</xdr:colOff>
      <xdr:row>22</xdr:row>
      <xdr:rowOff>9525</xdr:rowOff>
    </xdr:to>
    <xdr:pic>
      <xdr:nvPicPr>
        <xdr:cNvPr id="5201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71475" y="80391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28575</xdr:rowOff>
    </xdr:from>
    <xdr:to>
      <xdr:col>1</xdr:col>
      <xdr:colOff>0</xdr:colOff>
      <xdr:row>23</xdr:row>
      <xdr:rowOff>38100</xdr:rowOff>
    </xdr:to>
    <xdr:pic>
      <xdr:nvPicPr>
        <xdr:cNvPr id="5202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71475" y="8239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190500</xdr:rowOff>
    </xdr:from>
    <xdr:to>
      <xdr:col>1</xdr:col>
      <xdr:colOff>47625</xdr:colOff>
      <xdr:row>28</xdr:row>
      <xdr:rowOff>0</xdr:rowOff>
    </xdr:to>
    <xdr:pic>
      <xdr:nvPicPr>
        <xdr:cNvPr id="5203" name="Picture 161" descr="Гребень 3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71475" y="9353550"/>
          <a:ext cx="47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</xdr:row>
      <xdr:rowOff>104775</xdr:rowOff>
    </xdr:from>
    <xdr:to>
      <xdr:col>1</xdr:col>
      <xdr:colOff>0</xdr:colOff>
      <xdr:row>53</xdr:row>
      <xdr:rowOff>0</xdr:rowOff>
    </xdr:to>
    <xdr:pic>
      <xdr:nvPicPr>
        <xdr:cNvPr id="5204" name="Picture 168" descr="Вакафлекс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71475" y="1448752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28575</xdr:rowOff>
    </xdr:from>
    <xdr:to>
      <xdr:col>1</xdr:col>
      <xdr:colOff>0</xdr:colOff>
      <xdr:row>20</xdr:row>
      <xdr:rowOff>123825</xdr:rowOff>
    </xdr:to>
    <xdr:pic>
      <xdr:nvPicPr>
        <xdr:cNvPr id="5205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71475" y="7277100"/>
          <a:ext cx="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</xdr:row>
      <xdr:rowOff>171450</xdr:rowOff>
    </xdr:from>
    <xdr:to>
      <xdr:col>1</xdr:col>
      <xdr:colOff>47625</xdr:colOff>
      <xdr:row>81</xdr:row>
      <xdr:rowOff>247650</xdr:rowOff>
    </xdr:to>
    <xdr:pic>
      <xdr:nvPicPr>
        <xdr:cNvPr id="5206" name="Picture 62" descr="Люк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71475" y="201644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17</xdr:row>
      <xdr:rowOff>104775</xdr:rowOff>
    </xdr:from>
    <xdr:to>
      <xdr:col>2</xdr:col>
      <xdr:colOff>1181100</xdr:colOff>
      <xdr:row>20</xdr:row>
      <xdr:rowOff>457200</xdr:rowOff>
    </xdr:to>
    <xdr:pic>
      <xdr:nvPicPr>
        <xdr:cNvPr id="5207" name="Picture 18" descr="Коппо ди Греция 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76375" y="6705600"/>
          <a:ext cx="11239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18</xdr:row>
      <xdr:rowOff>66675</xdr:rowOff>
    </xdr:from>
    <xdr:to>
      <xdr:col>1</xdr:col>
      <xdr:colOff>1019175</xdr:colOff>
      <xdr:row>20</xdr:row>
      <xdr:rowOff>400050</xdr:rowOff>
    </xdr:to>
    <xdr:pic>
      <xdr:nvPicPr>
        <xdr:cNvPr id="5208" name="Picture 19" descr="Коппо 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90525" y="6877050"/>
          <a:ext cx="10001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4</xdr:row>
      <xdr:rowOff>104775</xdr:rowOff>
    </xdr:from>
    <xdr:to>
      <xdr:col>2</xdr:col>
      <xdr:colOff>1114425</xdr:colOff>
      <xdr:row>8</xdr:row>
      <xdr:rowOff>438150</xdr:rowOff>
    </xdr:to>
    <xdr:pic>
      <xdr:nvPicPr>
        <xdr:cNvPr id="5209" name="Picture 68" descr="Франкфурт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504950" y="1390650"/>
          <a:ext cx="10287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5</xdr:row>
      <xdr:rowOff>57150</xdr:rowOff>
    </xdr:from>
    <xdr:to>
      <xdr:col>1</xdr:col>
      <xdr:colOff>885825</xdr:colOff>
      <xdr:row>8</xdr:row>
      <xdr:rowOff>314325</xdr:rowOff>
    </xdr:to>
    <xdr:pic>
      <xdr:nvPicPr>
        <xdr:cNvPr id="5210" name="Picture 69" descr="ФП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85775" y="1552575"/>
          <a:ext cx="7715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9</xdr:row>
      <xdr:rowOff>133350</xdr:rowOff>
    </xdr:from>
    <xdr:to>
      <xdr:col>2</xdr:col>
      <xdr:colOff>1152525</xdr:colOff>
      <xdr:row>12</xdr:row>
      <xdr:rowOff>923925</xdr:rowOff>
    </xdr:to>
    <xdr:pic>
      <xdr:nvPicPr>
        <xdr:cNvPr id="5211" name="Picture 72" descr="Янтарь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14475" y="3114675"/>
          <a:ext cx="10572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10</xdr:row>
      <xdr:rowOff>171450</xdr:rowOff>
    </xdr:from>
    <xdr:to>
      <xdr:col>1</xdr:col>
      <xdr:colOff>857250</xdr:colOff>
      <xdr:row>12</xdr:row>
      <xdr:rowOff>838200</xdr:rowOff>
    </xdr:to>
    <xdr:pic>
      <xdr:nvPicPr>
        <xdr:cNvPr id="5212" name="Picture 73" descr="ЯП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14350" y="3362325"/>
          <a:ext cx="7143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</xdr:row>
      <xdr:rowOff>200025</xdr:rowOff>
    </xdr:from>
    <xdr:to>
      <xdr:col>1</xdr:col>
      <xdr:colOff>942975</xdr:colOff>
      <xdr:row>16</xdr:row>
      <xdr:rowOff>676275</xdr:rowOff>
    </xdr:to>
    <xdr:pic>
      <xdr:nvPicPr>
        <xdr:cNvPr id="5213" name="Рисунок 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57200" y="5172075"/>
          <a:ext cx="857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13</xdr:row>
      <xdr:rowOff>133350</xdr:rowOff>
    </xdr:from>
    <xdr:to>
      <xdr:col>2</xdr:col>
      <xdr:colOff>1114425</xdr:colOff>
      <xdr:row>16</xdr:row>
      <xdr:rowOff>809625</xdr:rowOff>
    </xdr:to>
    <xdr:pic>
      <xdr:nvPicPr>
        <xdr:cNvPr id="5214" name="Рисунок 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552575" y="4895850"/>
          <a:ext cx="9810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3667125</xdr:colOff>
      <xdr:row>6</xdr:row>
      <xdr:rowOff>66675</xdr:rowOff>
    </xdr:from>
    <xdr:to>
      <xdr:col>4</xdr:col>
      <xdr:colOff>0</xdr:colOff>
      <xdr:row>6</xdr:row>
      <xdr:rowOff>209550</xdr:rowOff>
    </xdr:to>
    <xdr:pic>
      <xdr:nvPicPr>
        <xdr:cNvPr id="5215" name="Рисунок 6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191000" y="200025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3638550</xdr:colOff>
      <xdr:row>10</xdr:row>
      <xdr:rowOff>133350</xdr:rowOff>
    </xdr:from>
    <xdr:to>
      <xdr:col>4</xdr:col>
      <xdr:colOff>0</xdr:colOff>
      <xdr:row>11</xdr:row>
      <xdr:rowOff>9525</xdr:rowOff>
    </xdr:to>
    <xdr:pic>
      <xdr:nvPicPr>
        <xdr:cNvPr id="5216" name="Рисунок 7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191000" y="33242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3638550</xdr:colOff>
      <xdr:row>14</xdr:row>
      <xdr:rowOff>200025</xdr:rowOff>
    </xdr:from>
    <xdr:to>
      <xdr:col>4</xdr:col>
      <xdr:colOff>0</xdr:colOff>
      <xdr:row>14</xdr:row>
      <xdr:rowOff>381000</xdr:rowOff>
    </xdr:to>
    <xdr:pic>
      <xdr:nvPicPr>
        <xdr:cNvPr id="5217" name="Рисунок 8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191000" y="51720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3629025</xdr:colOff>
      <xdr:row>18</xdr:row>
      <xdr:rowOff>38100</xdr:rowOff>
    </xdr:from>
    <xdr:to>
      <xdr:col>4</xdr:col>
      <xdr:colOff>0</xdr:colOff>
      <xdr:row>18</xdr:row>
      <xdr:rowOff>352425</xdr:rowOff>
    </xdr:to>
    <xdr:pic>
      <xdr:nvPicPr>
        <xdr:cNvPr id="5218" name="Рисунок 9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191000" y="6848475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43</xdr:row>
      <xdr:rowOff>0</xdr:rowOff>
    </xdr:from>
    <xdr:to>
      <xdr:col>4</xdr:col>
      <xdr:colOff>695325</xdr:colOff>
      <xdr:row>43</xdr:row>
      <xdr:rowOff>0</xdr:rowOff>
    </xdr:to>
    <xdr:pic>
      <xdr:nvPicPr>
        <xdr:cNvPr id="6152" name="Picture 69" descr="http://www.omax.ru/images/fixture/screw7.gif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rcRect/>
        <a:stretch>
          <a:fillRect/>
        </a:stretch>
      </xdr:blipFill>
      <xdr:spPr bwMode="auto">
        <a:xfrm>
          <a:off x="4371975" y="12658725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381000</xdr:colOff>
      <xdr:row>41</xdr:row>
      <xdr:rowOff>142875</xdr:rowOff>
    </xdr:from>
    <xdr:to>
      <xdr:col>20</xdr:col>
      <xdr:colOff>638175</xdr:colOff>
      <xdr:row>51</xdr:row>
      <xdr:rowOff>114300</xdr:rowOff>
    </xdr:to>
    <xdr:pic>
      <xdr:nvPicPr>
        <xdr:cNvPr id="6153" name="Picture 6454" descr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48925" y="12420600"/>
          <a:ext cx="708660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41</xdr:row>
      <xdr:rowOff>95250</xdr:rowOff>
    </xdr:from>
    <xdr:to>
      <xdr:col>11</xdr:col>
      <xdr:colOff>438150</xdr:colOff>
      <xdr:row>53</xdr:row>
      <xdr:rowOff>0</xdr:rowOff>
    </xdr:to>
    <xdr:pic>
      <xdr:nvPicPr>
        <xdr:cNvPr id="6154" name="Picture 6456" descr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7200" y="12372975"/>
          <a:ext cx="93154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12</xdr:row>
      <xdr:rowOff>133350</xdr:rowOff>
    </xdr:from>
    <xdr:to>
      <xdr:col>2</xdr:col>
      <xdr:colOff>904875</xdr:colOff>
      <xdr:row>14</xdr:row>
      <xdr:rowOff>28575</xdr:rowOff>
    </xdr:to>
    <xdr:pic>
      <xdr:nvPicPr>
        <xdr:cNvPr id="6155" name="Picture 33" descr="Белый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7925" y="2990850"/>
          <a:ext cx="6096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9</xdr:row>
      <xdr:rowOff>152400</xdr:rowOff>
    </xdr:from>
    <xdr:to>
      <xdr:col>2</xdr:col>
      <xdr:colOff>876300</xdr:colOff>
      <xdr:row>11</xdr:row>
      <xdr:rowOff>142875</xdr:rowOff>
    </xdr:to>
    <xdr:pic>
      <xdr:nvPicPr>
        <xdr:cNvPr id="6156" name="Picture 34" descr="Белый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62200" y="2247900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</xdr:row>
      <xdr:rowOff>57150</xdr:rowOff>
    </xdr:from>
    <xdr:to>
      <xdr:col>2</xdr:col>
      <xdr:colOff>914400</xdr:colOff>
      <xdr:row>18</xdr:row>
      <xdr:rowOff>180975</xdr:rowOff>
    </xdr:to>
    <xdr:pic>
      <xdr:nvPicPr>
        <xdr:cNvPr id="6157" name="Picture 35" descr="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00275" y="4143375"/>
          <a:ext cx="866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</xdr:row>
      <xdr:rowOff>133350</xdr:rowOff>
    </xdr:from>
    <xdr:to>
      <xdr:col>2</xdr:col>
      <xdr:colOff>933450</xdr:colOff>
      <xdr:row>20</xdr:row>
      <xdr:rowOff>428625</xdr:rowOff>
    </xdr:to>
    <xdr:pic>
      <xdr:nvPicPr>
        <xdr:cNvPr id="6158" name="Рисунок 26" descr="вертикальный сайдинг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5" y="4886325"/>
          <a:ext cx="8858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1057275</xdr:colOff>
      <xdr:row>4</xdr:row>
      <xdr:rowOff>47625</xdr:rowOff>
    </xdr:from>
    <xdr:to>
      <xdr:col>1</xdr:col>
      <xdr:colOff>2162175</xdr:colOff>
      <xdr:row>5</xdr:row>
      <xdr:rowOff>466725</xdr:rowOff>
    </xdr:to>
    <xdr:pic>
      <xdr:nvPicPr>
        <xdr:cNvPr id="7172" name="Рисунок 4" descr="Панель Ber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0" y="1085850"/>
          <a:ext cx="1104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1095375</xdr:colOff>
      <xdr:row>6</xdr:row>
      <xdr:rowOff>123825</xdr:rowOff>
    </xdr:from>
    <xdr:to>
      <xdr:col>1</xdr:col>
      <xdr:colOff>2228850</xdr:colOff>
      <xdr:row>7</xdr:row>
      <xdr:rowOff>542925</xdr:rowOff>
    </xdr:to>
    <xdr:pic>
      <xdr:nvPicPr>
        <xdr:cNvPr id="7173" name="Рисунок 5" descr="Панель Ste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0" y="1895475"/>
          <a:ext cx="1133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1038225</xdr:colOff>
      <xdr:row>8</xdr:row>
      <xdr:rowOff>38100</xdr:rowOff>
    </xdr:from>
    <xdr:to>
      <xdr:col>1</xdr:col>
      <xdr:colOff>2266950</xdr:colOff>
      <xdr:row>9</xdr:row>
      <xdr:rowOff>419100</xdr:rowOff>
    </xdr:to>
    <xdr:pic>
      <xdr:nvPicPr>
        <xdr:cNvPr id="7174" name="Рисунок 6" descr="Панель Bur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76350" y="2733675"/>
          <a:ext cx="12287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1381125</xdr:colOff>
      <xdr:row>9</xdr:row>
      <xdr:rowOff>152400</xdr:rowOff>
    </xdr:from>
    <xdr:to>
      <xdr:col>1</xdr:col>
      <xdr:colOff>1381125</xdr:colOff>
      <xdr:row>13</xdr:row>
      <xdr:rowOff>66675</xdr:rowOff>
    </xdr:to>
    <xdr:pic>
      <xdr:nvPicPr>
        <xdr:cNvPr id="8237" name="Рисунок 7" descr="2.jpg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824"/>
        <a:stretch>
          <a:fillRect/>
        </a:stretch>
      </xdr:blipFill>
      <xdr:spPr bwMode="auto">
        <a:xfrm>
          <a:off x="1533525" y="4448175"/>
          <a:ext cx="0" cy="504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2047875</xdr:colOff>
      <xdr:row>16</xdr:row>
      <xdr:rowOff>209550</xdr:rowOff>
    </xdr:from>
    <xdr:to>
      <xdr:col>1</xdr:col>
      <xdr:colOff>2047875</xdr:colOff>
      <xdr:row>17</xdr:row>
      <xdr:rowOff>447675</xdr:rowOff>
    </xdr:to>
    <xdr:pic>
      <xdr:nvPicPr>
        <xdr:cNvPr id="8238" name="Рисунок 9" descr="4.jpg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9F8"/>
            </a:clrFrom>
            <a:clrTo>
              <a:srgbClr val="FFF9F8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00275" y="11877675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2295525</xdr:colOff>
      <xdr:row>12</xdr:row>
      <xdr:rowOff>152400</xdr:rowOff>
    </xdr:from>
    <xdr:to>
      <xdr:col>1</xdr:col>
      <xdr:colOff>2295525</xdr:colOff>
      <xdr:row>18</xdr:row>
      <xdr:rowOff>581025</xdr:rowOff>
    </xdr:to>
    <xdr:pic>
      <xdr:nvPicPr>
        <xdr:cNvPr id="8239" name="Рисунок 10" descr="32 копия.jpg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6752" b="8360"/>
        <a:stretch>
          <a:fillRect/>
        </a:stretch>
      </xdr:blipFill>
      <xdr:spPr bwMode="auto">
        <a:xfrm>
          <a:off x="2447925" y="8439150"/>
          <a:ext cx="0" cy="504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2543175</xdr:colOff>
      <xdr:row>20</xdr:row>
      <xdr:rowOff>190500</xdr:rowOff>
    </xdr:from>
    <xdr:to>
      <xdr:col>1</xdr:col>
      <xdr:colOff>2543175</xdr:colOff>
      <xdr:row>38</xdr:row>
      <xdr:rowOff>171450</xdr:rowOff>
    </xdr:to>
    <xdr:pic>
      <xdr:nvPicPr>
        <xdr:cNvPr id="8240" name="Рисунок 11" descr="31 копия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95575" y="15792450"/>
          <a:ext cx="0" cy="501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2447925</xdr:colOff>
      <xdr:row>11</xdr:row>
      <xdr:rowOff>180975</xdr:rowOff>
    </xdr:from>
    <xdr:to>
      <xdr:col>1</xdr:col>
      <xdr:colOff>2447925</xdr:colOff>
      <xdr:row>17</xdr:row>
      <xdr:rowOff>476250</xdr:rowOff>
    </xdr:to>
    <xdr:pic>
      <xdr:nvPicPr>
        <xdr:cNvPr id="8241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00325" y="7458075"/>
          <a:ext cx="0" cy="501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2000250</xdr:colOff>
      <xdr:row>13</xdr:row>
      <xdr:rowOff>47625</xdr:rowOff>
    </xdr:from>
    <xdr:to>
      <xdr:col>1</xdr:col>
      <xdr:colOff>2000250</xdr:colOff>
      <xdr:row>19</xdr:row>
      <xdr:rowOff>1028700</xdr:rowOff>
    </xdr:to>
    <xdr:pic>
      <xdr:nvPicPr>
        <xdr:cNvPr id="8242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28" b="10172"/>
        <a:stretch>
          <a:fillRect/>
        </a:stretch>
      </xdr:blipFill>
      <xdr:spPr bwMode="auto">
        <a:xfrm>
          <a:off x="2152650" y="9477375"/>
          <a:ext cx="0" cy="515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5238750</xdr:colOff>
      <xdr:row>8</xdr:row>
      <xdr:rowOff>3152775</xdr:rowOff>
    </xdr:from>
    <xdr:to>
      <xdr:col>2</xdr:col>
      <xdr:colOff>0</xdr:colOff>
      <xdr:row>10</xdr:row>
      <xdr:rowOff>771525</xdr:rowOff>
    </xdr:to>
    <xdr:pic>
      <xdr:nvPicPr>
        <xdr:cNvPr id="8243" name="Рисунок 39"/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28" b="10172"/>
        <a:stretch>
          <a:fillRect/>
        </a:stretch>
      </xdr:blipFill>
      <xdr:spPr bwMode="auto">
        <a:xfrm>
          <a:off x="3438525" y="4295775"/>
          <a:ext cx="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5734050</xdr:colOff>
      <xdr:row>10</xdr:row>
      <xdr:rowOff>3114675</xdr:rowOff>
    </xdr:from>
    <xdr:to>
      <xdr:col>2</xdr:col>
      <xdr:colOff>0</xdr:colOff>
      <xdr:row>12</xdr:row>
      <xdr:rowOff>1076325</xdr:rowOff>
    </xdr:to>
    <xdr:pic>
      <xdr:nvPicPr>
        <xdr:cNvPr id="8244" name="Рисунок 18"/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28" b="10172"/>
        <a:stretch>
          <a:fillRect/>
        </a:stretch>
      </xdr:blipFill>
      <xdr:spPr bwMode="auto">
        <a:xfrm>
          <a:off x="3438525" y="7277100"/>
          <a:ext cx="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7</xdr:row>
      <xdr:rowOff>257175</xdr:rowOff>
    </xdr:from>
    <xdr:to>
      <xdr:col>1</xdr:col>
      <xdr:colOff>2895600</xdr:colOff>
      <xdr:row>7</xdr:row>
      <xdr:rowOff>923925</xdr:rowOff>
    </xdr:to>
    <xdr:pic>
      <xdr:nvPicPr>
        <xdr:cNvPr id="8245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9100" y="2152650"/>
          <a:ext cx="2628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7</xdr:row>
      <xdr:rowOff>1057275</xdr:rowOff>
    </xdr:from>
    <xdr:to>
      <xdr:col>1</xdr:col>
      <xdr:colOff>2790825</xdr:colOff>
      <xdr:row>8</xdr:row>
      <xdr:rowOff>1104900</xdr:rowOff>
    </xdr:to>
    <xdr:pic>
      <xdr:nvPicPr>
        <xdr:cNvPr id="8246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42900" y="2952750"/>
          <a:ext cx="26003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2162175</xdr:colOff>
      <xdr:row>8</xdr:row>
      <xdr:rowOff>561975</xdr:rowOff>
    </xdr:from>
    <xdr:to>
      <xdr:col>1</xdr:col>
      <xdr:colOff>3248025</xdr:colOff>
      <xdr:row>8</xdr:row>
      <xdr:rowOff>1257300</xdr:rowOff>
    </xdr:to>
    <xdr:pic>
      <xdr:nvPicPr>
        <xdr:cNvPr id="8247" name="Рисунок 44"/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28" b="10172"/>
        <a:stretch>
          <a:fillRect/>
        </a:stretch>
      </xdr:blipFill>
      <xdr:spPr bwMode="auto">
        <a:xfrm>
          <a:off x="2314575" y="3571875"/>
          <a:ext cx="10858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9</xdr:row>
      <xdr:rowOff>28575</xdr:rowOff>
    </xdr:from>
    <xdr:to>
      <xdr:col>1</xdr:col>
      <xdr:colOff>2886075</xdr:colOff>
      <xdr:row>9</xdr:row>
      <xdr:rowOff>1257300</xdr:rowOff>
    </xdr:to>
    <xdr:pic>
      <xdr:nvPicPr>
        <xdr:cNvPr id="8248" name="Рисунок 7" descr="2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824"/>
        <a:stretch>
          <a:fillRect/>
        </a:stretch>
      </xdr:blipFill>
      <xdr:spPr bwMode="auto">
        <a:xfrm>
          <a:off x="466725" y="4324350"/>
          <a:ext cx="25717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</xdr:row>
      <xdr:rowOff>47625</xdr:rowOff>
    </xdr:from>
    <xdr:to>
      <xdr:col>1</xdr:col>
      <xdr:colOff>2638425</xdr:colOff>
      <xdr:row>10</xdr:row>
      <xdr:rowOff>1276350</xdr:rowOff>
    </xdr:to>
    <xdr:pic>
      <xdr:nvPicPr>
        <xdr:cNvPr id="8249" name="Рисунок 7" descr="2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824"/>
        <a:stretch>
          <a:fillRect/>
        </a:stretch>
      </xdr:blipFill>
      <xdr:spPr bwMode="auto">
        <a:xfrm>
          <a:off x="219075" y="5619750"/>
          <a:ext cx="25717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2095500</xdr:colOff>
      <xdr:row>10</xdr:row>
      <xdr:rowOff>895350</xdr:rowOff>
    </xdr:from>
    <xdr:to>
      <xdr:col>1</xdr:col>
      <xdr:colOff>3181350</xdr:colOff>
      <xdr:row>10</xdr:row>
      <xdr:rowOff>1590675</xdr:rowOff>
    </xdr:to>
    <xdr:pic>
      <xdr:nvPicPr>
        <xdr:cNvPr id="8250" name="Рисунок 48"/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28" b="10172"/>
        <a:stretch>
          <a:fillRect/>
        </a:stretch>
      </xdr:blipFill>
      <xdr:spPr bwMode="auto">
        <a:xfrm>
          <a:off x="2247900" y="6467475"/>
          <a:ext cx="10858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10</xdr:row>
      <xdr:rowOff>1685925</xdr:rowOff>
    </xdr:from>
    <xdr:to>
      <xdr:col>1</xdr:col>
      <xdr:colOff>2447925</xdr:colOff>
      <xdr:row>12</xdr:row>
      <xdr:rowOff>9525</xdr:rowOff>
    </xdr:to>
    <xdr:pic>
      <xdr:nvPicPr>
        <xdr:cNvPr id="8251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19175" y="7258050"/>
          <a:ext cx="15811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12</xdr:row>
      <xdr:rowOff>95250</xdr:rowOff>
    </xdr:from>
    <xdr:to>
      <xdr:col>1</xdr:col>
      <xdr:colOff>2371725</xdr:colOff>
      <xdr:row>12</xdr:row>
      <xdr:rowOff>1047750</xdr:rowOff>
    </xdr:to>
    <xdr:pic>
      <xdr:nvPicPr>
        <xdr:cNvPr id="8252" name="Рисунок 10" descr="32 копия.jpg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6752" b="8360"/>
        <a:stretch>
          <a:fillRect/>
        </a:stretch>
      </xdr:blipFill>
      <xdr:spPr bwMode="auto">
        <a:xfrm>
          <a:off x="1076325" y="8382000"/>
          <a:ext cx="14478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942975</xdr:colOff>
      <xdr:row>13</xdr:row>
      <xdr:rowOff>76200</xdr:rowOff>
    </xdr:from>
    <xdr:to>
      <xdr:col>1</xdr:col>
      <xdr:colOff>2314575</xdr:colOff>
      <xdr:row>13</xdr:row>
      <xdr:rowOff>952500</xdr:rowOff>
    </xdr:to>
    <xdr:pic>
      <xdr:nvPicPr>
        <xdr:cNvPr id="8253" name="Рисунок 51"/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28" b="10172"/>
        <a:stretch>
          <a:fillRect/>
        </a:stretch>
      </xdr:blipFill>
      <xdr:spPr bwMode="auto">
        <a:xfrm>
          <a:off x="1095375" y="9505950"/>
          <a:ext cx="1371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13</xdr:row>
      <xdr:rowOff>962025</xdr:rowOff>
    </xdr:from>
    <xdr:to>
      <xdr:col>1</xdr:col>
      <xdr:colOff>3162300</xdr:colOff>
      <xdr:row>15</xdr:row>
      <xdr:rowOff>619125</xdr:rowOff>
    </xdr:to>
    <xdr:pic>
      <xdr:nvPicPr>
        <xdr:cNvPr id="8254" name="Рисунок 8" descr="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10391775"/>
          <a:ext cx="3076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15</xdr:row>
      <xdr:rowOff>695325</xdr:rowOff>
    </xdr:from>
    <xdr:to>
      <xdr:col>1</xdr:col>
      <xdr:colOff>2495550</xdr:colOff>
      <xdr:row>19</xdr:row>
      <xdr:rowOff>1238250</xdr:rowOff>
    </xdr:to>
    <xdr:pic>
      <xdr:nvPicPr>
        <xdr:cNvPr id="8255" name="Рисунок 9" descr="4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9F8"/>
            </a:clrFrom>
            <a:clrTo>
              <a:srgbClr val="FFF9F8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14425" y="11639550"/>
          <a:ext cx="1533525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20</xdr:row>
      <xdr:rowOff>142875</xdr:rowOff>
    </xdr:from>
    <xdr:to>
      <xdr:col>1</xdr:col>
      <xdr:colOff>2095500</xdr:colOff>
      <xdr:row>20</xdr:row>
      <xdr:rowOff>1276350</xdr:rowOff>
    </xdr:to>
    <xdr:pic>
      <xdr:nvPicPr>
        <xdr:cNvPr id="8256" name="Рисунок 11" descr="31 копия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7275" y="15744825"/>
          <a:ext cx="11906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2990850</xdr:colOff>
      <xdr:row>11</xdr:row>
      <xdr:rowOff>57150</xdr:rowOff>
    </xdr:from>
    <xdr:to>
      <xdr:col>11</xdr:col>
      <xdr:colOff>0</xdr:colOff>
      <xdr:row>12</xdr:row>
      <xdr:rowOff>990600</xdr:rowOff>
    </xdr:to>
    <xdr:pic>
      <xdr:nvPicPr>
        <xdr:cNvPr id="8257" name="Рисунок 82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096750" y="7334250"/>
          <a:ext cx="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3000375</xdr:colOff>
      <xdr:row>12</xdr:row>
      <xdr:rowOff>152400</xdr:rowOff>
    </xdr:from>
    <xdr:to>
      <xdr:col>11</xdr:col>
      <xdr:colOff>0</xdr:colOff>
      <xdr:row>13</xdr:row>
      <xdr:rowOff>142875</xdr:rowOff>
    </xdr:to>
    <xdr:pic>
      <xdr:nvPicPr>
        <xdr:cNvPr id="8258" name="Рисунок 55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2096750" y="8439150"/>
          <a:ext cx="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1114425</xdr:colOff>
      <xdr:row>9</xdr:row>
      <xdr:rowOff>123825</xdr:rowOff>
    </xdr:from>
    <xdr:to>
      <xdr:col>10</xdr:col>
      <xdr:colOff>1114425</xdr:colOff>
      <xdr:row>9</xdr:row>
      <xdr:rowOff>638175</xdr:rowOff>
    </xdr:to>
    <xdr:pic>
      <xdr:nvPicPr>
        <xdr:cNvPr id="8259" name="Рисунок 56"/>
        <xdr:cNvPicPr>
          <a:picLocks noChangeAspect="1"/>
        </xdr:cNvPicPr>
      </xdr:nvPicPr>
      <xdr:blipFill>
        <a:blip xmlns:r="http://schemas.openxmlformats.org/officeDocument/2006/relationships" r:embed="rId16"/>
        <a:srcRect t="5293" b="9079"/>
        <a:stretch>
          <a:fillRect/>
        </a:stretch>
      </xdr:blipFill>
      <xdr:spPr bwMode="auto">
        <a:xfrm>
          <a:off x="10744200" y="441960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447675</xdr:colOff>
      <xdr:row>13</xdr:row>
      <xdr:rowOff>266700</xdr:rowOff>
    </xdr:from>
    <xdr:to>
      <xdr:col>10</xdr:col>
      <xdr:colOff>447675</xdr:colOff>
      <xdr:row>13</xdr:row>
      <xdr:rowOff>762000</xdr:rowOff>
    </xdr:to>
    <xdr:pic>
      <xdr:nvPicPr>
        <xdr:cNvPr id="826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209335">
          <a:off x="10077450" y="96964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237488</xdr:colOff>
      <xdr:row>15</xdr:row>
      <xdr:rowOff>1069303</xdr:rowOff>
    </xdr:from>
    <xdr:to>
      <xdr:col>10</xdr:col>
      <xdr:colOff>240023</xdr:colOff>
      <xdr:row>16</xdr:row>
      <xdr:rowOff>188006</xdr:rowOff>
    </xdr:to>
    <xdr:pic>
      <xdr:nvPicPr>
        <xdr:cNvPr id="87" name="Рисунок 11" descr="Безымянный.jpg"/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 rot="21022960" flipH="1">
          <a:off x="237488" y="36597553"/>
          <a:ext cx="8236590" cy="3309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5953125</xdr:colOff>
      <xdr:row>8</xdr:row>
      <xdr:rowOff>3228975</xdr:rowOff>
    </xdr:from>
    <xdr:to>
      <xdr:col>11</xdr:col>
      <xdr:colOff>0</xdr:colOff>
      <xdr:row>9</xdr:row>
      <xdr:rowOff>0</xdr:rowOff>
    </xdr:to>
    <xdr:pic>
      <xdr:nvPicPr>
        <xdr:cNvPr id="8262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28" b="10172"/>
        <a:stretch>
          <a:fillRect/>
        </a:stretch>
      </xdr:blipFill>
      <xdr:spPr bwMode="auto">
        <a:xfrm>
          <a:off x="12096750" y="4295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4238625</xdr:colOff>
      <xdr:row>10</xdr:row>
      <xdr:rowOff>3276600</xdr:rowOff>
    </xdr:from>
    <xdr:to>
      <xdr:col>11</xdr:col>
      <xdr:colOff>0</xdr:colOff>
      <xdr:row>11</xdr:row>
      <xdr:rowOff>0</xdr:rowOff>
    </xdr:to>
    <xdr:pic>
      <xdr:nvPicPr>
        <xdr:cNvPr id="8263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28" b="10172"/>
        <a:stretch>
          <a:fillRect/>
        </a:stretch>
      </xdr:blipFill>
      <xdr:spPr bwMode="auto">
        <a:xfrm>
          <a:off x="12096750" y="7277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304800</xdr:colOff>
      <xdr:row>8</xdr:row>
      <xdr:rowOff>1219200</xdr:rowOff>
    </xdr:from>
    <xdr:to>
      <xdr:col>10</xdr:col>
      <xdr:colOff>304800</xdr:colOff>
      <xdr:row>8</xdr:row>
      <xdr:rowOff>1219200</xdr:rowOff>
    </xdr:to>
    <xdr:pic>
      <xdr:nvPicPr>
        <xdr:cNvPr id="8264" name="Рисунок 1"/>
        <xdr:cNvPicPr>
          <a:picLocks noChangeAspect="1"/>
        </xdr:cNvPicPr>
      </xdr:nvPicPr>
      <xdr:blipFill>
        <a:blip xmlns:r="http://schemas.openxmlformats.org/officeDocument/2006/relationships" r:embed="rId19"/>
        <a:srcRect l="3493" t="8525" r="3374" b="5632"/>
        <a:stretch>
          <a:fillRect/>
        </a:stretch>
      </xdr:blipFill>
      <xdr:spPr bwMode="auto">
        <a:xfrm>
          <a:off x="9934575" y="422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1333500</xdr:colOff>
      <xdr:row>10</xdr:row>
      <xdr:rowOff>952500</xdr:rowOff>
    </xdr:from>
    <xdr:to>
      <xdr:col>10</xdr:col>
      <xdr:colOff>1333500</xdr:colOff>
      <xdr:row>10</xdr:row>
      <xdr:rowOff>952500</xdr:rowOff>
    </xdr:to>
    <xdr:pic>
      <xdr:nvPicPr>
        <xdr:cNvPr id="8265" name="Рисунок 56"/>
        <xdr:cNvPicPr>
          <a:picLocks noChangeAspect="1"/>
        </xdr:cNvPicPr>
      </xdr:nvPicPr>
      <xdr:blipFill>
        <a:blip xmlns:r="http://schemas.openxmlformats.org/officeDocument/2006/relationships" r:embed="rId16"/>
        <a:srcRect t="5293" b="9079"/>
        <a:stretch>
          <a:fillRect/>
        </a:stretch>
      </xdr:blipFill>
      <xdr:spPr bwMode="auto">
        <a:xfrm>
          <a:off x="10963275" y="6524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304800</xdr:rowOff>
    </xdr:from>
    <xdr:to>
      <xdr:col>10</xdr:col>
      <xdr:colOff>152400</xdr:colOff>
      <xdr:row>17</xdr:row>
      <xdr:rowOff>304800</xdr:rowOff>
    </xdr:to>
    <xdr:pic>
      <xdr:nvPicPr>
        <xdr:cNvPr id="8266" name="Рисунок 11" descr="кров огр на фальц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9629775" y="1230630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990600</xdr:colOff>
      <xdr:row>22</xdr:row>
      <xdr:rowOff>419100</xdr:rowOff>
    </xdr:from>
    <xdr:to>
      <xdr:col>10</xdr:col>
      <xdr:colOff>990600</xdr:colOff>
      <xdr:row>44</xdr:row>
      <xdr:rowOff>152400</xdr:rowOff>
    </xdr:to>
    <xdr:pic>
      <xdr:nvPicPr>
        <xdr:cNvPr id="8267" name="Рисунок 12" descr="лестница на белом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0620375" y="17773650"/>
          <a:ext cx="0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295275</xdr:colOff>
      <xdr:row>7</xdr:row>
      <xdr:rowOff>276225</xdr:rowOff>
    </xdr:from>
    <xdr:to>
      <xdr:col>10</xdr:col>
      <xdr:colOff>2266950</xdr:colOff>
      <xdr:row>7</xdr:row>
      <xdr:rowOff>933450</xdr:rowOff>
    </xdr:to>
    <xdr:pic>
      <xdr:nvPicPr>
        <xdr:cNvPr id="8268" name="Рисунок 9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3493" t="8525" r="3374" b="5632"/>
        <a:stretch>
          <a:fillRect/>
        </a:stretch>
      </xdr:blipFill>
      <xdr:spPr bwMode="auto">
        <a:xfrm>
          <a:off x="9925050" y="2171700"/>
          <a:ext cx="19716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1543050</xdr:colOff>
      <xdr:row>8</xdr:row>
      <xdr:rowOff>628650</xdr:rowOff>
    </xdr:from>
    <xdr:to>
      <xdr:col>11</xdr:col>
      <xdr:colOff>85725</xdr:colOff>
      <xdr:row>8</xdr:row>
      <xdr:rowOff>1276350</xdr:rowOff>
    </xdr:to>
    <xdr:pic>
      <xdr:nvPicPr>
        <xdr:cNvPr id="8269" name="Рисунок 15"/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28" b="10172"/>
        <a:stretch>
          <a:fillRect/>
        </a:stretch>
      </xdr:blipFill>
      <xdr:spPr bwMode="auto">
        <a:xfrm>
          <a:off x="11172825" y="3638550"/>
          <a:ext cx="1009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209550</xdr:colOff>
      <xdr:row>8</xdr:row>
      <xdr:rowOff>104775</xdr:rowOff>
    </xdr:from>
    <xdr:to>
      <xdr:col>10</xdr:col>
      <xdr:colOff>2181225</xdr:colOff>
      <xdr:row>8</xdr:row>
      <xdr:rowOff>762000</xdr:rowOff>
    </xdr:to>
    <xdr:pic>
      <xdr:nvPicPr>
        <xdr:cNvPr id="8270" name="Рисунок 9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3493" t="8525" r="3374" b="5632"/>
        <a:stretch>
          <a:fillRect/>
        </a:stretch>
      </xdr:blipFill>
      <xdr:spPr bwMode="auto">
        <a:xfrm>
          <a:off x="9839325" y="3114675"/>
          <a:ext cx="19716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295275</xdr:colOff>
      <xdr:row>9</xdr:row>
      <xdr:rowOff>95250</xdr:rowOff>
    </xdr:from>
    <xdr:to>
      <xdr:col>10</xdr:col>
      <xdr:colOff>2095500</xdr:colOff>
      <xdr:row>9</xdr:row>
      <xdr:rowOff>1038225</xdr:rowOff>
    </xdr:to>
    <xdr:pic>
      <xdr:nvPicPr>
        <xdr:cNvPr id="8271" name="Рисунок 5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5293" b="9079"/>
        <a:stretch>
          <a:fillRect/>
        </a:stretch>
      </xdr:blipFill>
      <xdr:spPr bwMode="auto">
        <a:xfrm>
          <a:off x="9925050" y="4391025"/>
          <a:ext cx="1800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323850</xdr:colOff>
      <xdr:row>10</xdr:row>
      <xdr:rowOff>152400</xdr:rowOff>
    </xdr:from>
    <xdr:to>
      <xdr:col>10</xdr:col>
      <xdr:colOff>2124075</xdr:colOff>
      <xdr:row>10</xdr:row>
      <xdr:rowOff>1095375</xdr:rowOff>
    </xdr:to>
    <xdr:pic>
      <xdr:nvPicPr>
        <xdr:cNvPr id="8272" name="Рисунок 5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5293" b="9079"/>
        <a:stretch>
          <a:fillRect/>
        </a:stretch>
      </xdr:blipFill>
      <xdr:spPr bwMode="auto">
        <a:xfrm>
          <a:off x="9953625" y="5724525"/>
          <a:ext cx="1800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1419225</xdr:colOff>
      <xdr:row>10</xdr:row>
      <xdr:rowOff>1000125</xdr:rowOff>
    </xdr:from>
    <xdr:to>
      <xdr:col>10</xdr:col>
      <xdr:colOff>2428875</xdr:colOff>
      <xdr:row>10</xdr:row>
      <xdr:rowOff>1647825</xdr:rowOff>
    </xdr:to>
    <xdr:pic>
      <xdr:nvPicPr>
        <xdr:cNvPr id="8273" name="Рисунок 15"/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128" b="10172"/>
        <a:stretch>
          <a:fillRect/>
        </a:stretch>
      </xdr:blipFill>
      <xdr:spPr bwMode="auto">
        <a:xfrm>
          <a:off x="11049000" y="6572250"/>
          <a:ext cx="1009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838200</xdr:colOff>
      <xdr:row>11</xdr:row>
      <xdr:rowOff>38100</xdr:rowOff>
    </xdr:from>
    <xdr:to>
      <xdr:col>10</xdr:col>
      <xdr:colOff>1543050</xdr:colOff>
      <xdr:row>11</xdr:row>
      <xdr:rowOff>971550</xdr:rowOff>
    </xdr:to>
    <xdr:pic>
      <xdr:nvPicPr>
        <xdr:cNvPr id="8274" name="Рисунок 100"/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67975" y="7315200"/>
          <a:ext cx="704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666750</xdr:colOff>
      <xdr:row>12</xdr:row>
      <xdr:rowOff>38100</xdr:rowOff>
    </xdr:from>
    <xdr:to>
      <xdr:col>10</xdr:col>
      <xdr:colOff>1990725</xdr:colOff>
      <xdr:row>13</xdr:row>
      <xdr:rowOff>28575</xdr:rowOff>
    </xdr:to>
    <xdr:pic>
      <xdr:nvPicPr>
        <xdr:cNvPr id="8275" name="Рисунок 5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296525" y="8324850"/>
          <a:ext cx="13239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219075</xdr:colOff>
      <xdr:row>13</xdr:row>
      <xdr:rowOff>114300</xdr:rowOff>
    </xdr:from>
    <xdr:to>
      <xdr:col>10</xdr:col>
      <xdr:colOff>2171700</xdr:colOff>
      <xdr:row>14</xdr:row>
      <xdr:rowOff>457200</xdr:rowOff>
    </xdr:to>
    <xdr:pic>
      <xdr:nvPicPr>
        <xdr:cNvPr id="827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848850" y="9544050"/>
          <a:ext cx="19526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190500</xdr:colOff>
      <xdr:row>15</xdr:row>
      <xdr:rowOff>104776</xdr:rowOff>
    </xdr:from>
    <xdr:to>
      <xdr:col>10</xdr:col>
      <xdr:colOff>2369190</xdr:colOff>
      <xdr:row>16</xdr:row>
      <xdr:rowOff>261376</xdr:rowOff>
    </xdr:to>
    <xdr:pic>
      <xdr:nvPicPr>
        <xdr:cNvPr id="104" name="Рисунок 11" descr="Безымянный.jpg"/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 flipH="1">
          <a:off x="9820275" y="10620376"/>
          <a:ext cx="2178690" cy="88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657225</xdr:colOff>
      <xdr:row>17</xdr:row>
      <xdr:rowOff>57150</xdr:rowOff>
    </xdr:from>
    <xdr:to>
      <xdr:col>10</xdr:col>
      <xdr:colOff>1971675</xdr:colOff>
      <xdr:row>17</xdr:row>
      <xdr:rowOff>847725</xdr:rowOff>
    </xdr:to>
    <xdr:pic>
      <xdr:nvPicPr>
        <xdr:cNvPr id="8278" name="Рисунок 11" descr="кров огр на фальц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287000" y="12058650"/>
          <a:ext cx="13144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19</xdr:row>
      <xdr:rowOff>590550</xdr:rowOff>
    </xdr:from>
    <xdr:to>
      <xdr:col>11</xdr:col>
      <xdr:colOff>19050</xdr:colOff>
      <xdr:row>20</xdr:row>
      <xdr:rowOff>333375</xdr:rowOff>
    </xdr:to>
    <xdr:pic>
      <xdr:nvPicPr>
        <xdr:cNvPr id="8279" name="Рисунок 10" descr="мостик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77400" y="14192250"/>
          <a:ext cx="243840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914400</xdr:colOff>
      <xdr:row>23</xdr:row>
      <xdr:rowOff>19050</xdr:rowOff>
    </xdr:from>
    <xdr:to>
      <xdr:col>10</xdr:col>
      <xdr:colOff>1619250</xdr:colOff>
      <xdr:row>29</xdr:row>
      <xdr:rowOff>19050</xdr:rowOff>
    </xdr:to>
    <xdr:pic>
      <xdr:nvPicPr>
        <xdr:cNvPr id="8280" name="Рисунок 12" descr="лестница на белом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44175" y="17792700"/>
          <a:ext cx="7048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47625</xdr:rowOff>
    </xdr:from>
    <xdr:to>
      <xdr:col>2</xdr:col>
      <xdr:colOff>2686050</xdr:colOff>
      <xdr:row>3</xdr:row>
      <xdr:rowOff>190500</xdr:rowOff>
    </xdr:to>
    <xdr:pic>
      <xdr:nvPicPr>
        <xdr:cNvPr id="9230" name="Kuva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238125"/>
          <a:ext cx="26289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B1:H22"/>
  <sheetViews>
    <sheetView workbookViewId="0">
      <selection activeCell="H21" sqref="H21"/>
    </sheetView>
  </sheetViews>
  <sheetFormatPr defaultRowHeight="15"/>
  <cols>
    <col min="2" max="2" width="33" customWidth="1"/>
    <col min="3" max="3" width="9.5703125" customWidth="1"/>
    <col min="4" max="4" width="10.7109375" customWidth="1"/>
    <col min="6" max="6" width="32.85546875" customWidth="1"/>
  </cols>
  <sheetData>
    <row r="1" spans="2:8" ht="15.75" thickBot="1"/>
    <row r="2" spans="2:8" ht="33.75" customHeight="1" thickBot="1">
      <c r="B2" s="1023" t="s">
        <v>23</v>
      </c>
      <c r="C2" s="5" t="s">
        <v>3</v>
      </c>
      <c r="D2" s="5" t="s">
        <v>1</v>
      </c>
      <c r="F2" s="1023" t="s">
        <v>22</v>
      </c>
      <c r="G2" s="5" t="s">
        <v>3</v>
      </c>
      <c r="H2" s="5" t="s">
        <v>1</v>
      </c>
    </row>
    <row r="3" spans="2:8" ht="15.75" thickBot="1">
      <c r="B3" s="1024"/>
      <c r="C3" s="9"/>
      <c r="D3" s="61">
        <v>0.41</v>
      </c>
      <c r="F3" s="1024"/>
      <c r="G3" s="7"/>
      <c r="H3" s="63"/>
    </row>
    <row r="4" spans="2:8" ht="15" customHeight="1">
      <c r="B4" s="23" t="s">
        <v>5</v>
      </c>
      <c r="C4" s="257">
        <v>865</v>
      </c>
      <c r="D4" s="256">
        <f>C4-(C4*$D$3)</f>
        <v>510.35</v>
      </c>
      <c r="F4" s="12" t="s">
        <v>5</v>
      </c>
      <c r="G4" s="17">
        <v>375</v>
      </c>
      <c r="H4" s="18">
        <v>248</v>
      </c>
    </row>
    <row r="5" spans="2:8" ht="12.75" customHeight="1">
      <c r="B5" s="24" t="s">
        <v>6</v>
      </c>
      <c r="C5" s="258">
        <v>120</v>
      </c>
      <c r="D5" s="8">
        <f t="shared" ref="D5:D19" si="0">C5-(C5*$D$3)</f>
        <v>70.800000000000011</v>
      </c>
      <c r="F5" s="13" t="s">
        <v>6</v>
      </c>
      <c r="G5" s="19">
        <v>120</v>
      </c>
      <c r="H5" s="20">
        <v>69</v>
      </c>
    </row>
    <row r="6" spans="2:8" ht="14.25" customHeight="1">
      <c r="B6" s="24" t="s">
        <v>7</v>
      </c>
      <c r="C6" s="258">
        <v>105</v>
      </c>
      <c r="D6" s="8">
        <f t="shared" si="0"/>
        <v>61.95</v>
      </c>
      <c r="F6" s="13" t="s">
        <v>7</v>
      </c>
      <c r="G6" s="19">
        <v>65</v>
      </c>
      <c r="H6" s="20">
        <v>40</v>
      </c>
    </row>
    <row r="7" spans="2:8" ht="15.75" customHeight="1">
      <c r="B7" s="24" t="s">
        <v>8</v>
      </c>
      <c r="C7" s="258">
        <v>105</v>
      </c>
      <c r="D7" s="8">
        <f t="shared" si="0"/>
        <v>61.95</v>
      </c>
      <c r="F7" s="13" t="s">
        <v>8</v>
      </c>
      <c r="G7" s="19">
        <v>65</v>
      </c>
      <c r="H7" s="20">
        <v>40</v>
      </c>
    </row>
    <row r="8" spans="2:8" ht="15" customHeight="1">
      <c r="B8" s="24" t="s">
        <v>9</v>
      </c>
      <c r="C8" s="258" t="s">
        <v>21</v>
      </c>
      <c r="D8" s="8" t="s">
        <v>21</v>
      </c>
      <c r="F8" s="13" t="s">
        <v>9</v>
      </c>
      <c r="G8" s="15" t="s">
        <v>21</v>
      </c>
      <c r="H8" s="16" t="s">
        <v>21</v>
      </c>
    </row>
    <row r="9" spans="2:8" ht="14.25" customHeight="1">
      <c r="B9" s="24" t="s">
        <v>10</v>
      </c>
      <c r="C9" s="258" t="s">
        <v>21</v>
      </c>
      <c r="D9" s="8" t="s">
        <v>21</v>
      </c>
      <c r="F9" s="13" t="s">
        <v>10</v>
      </c>
      <c r="G9" s="15" t="s">
        <v>21</v>
      </c>
      <c r="H9" s="16" t="s">
        <v>21</v>
      </c>
    </row>
    <row r="10" spans="2:8" ht="16.5" customHeight="1">
      <c r="B10" s="24" t="s">
        <v>11</v>
      </c>
      <c r="C10" s="258">
        <v>610</v>
      </c>
      <c r="D10" s="8">
        <f t="shared" si="0"/>
        <v>359.9</v>
      </c>
      <c r="F10" s="13" t="s">
        <v>11</v>
      </c>
      <c r="G10" s="19">
        <v>370</v>
      </c>
      <c r="H10" s="20">
        <v>237</v>
      </c>
    </row>
    <row r="11" spans="2:8" ht="13.5" customHeight="1">
      <c r="B11" s="24" t="s">
        <v>12</v>
      </c>
      <c r="C11" s="258">
        <v>535</v>
      </c>
      <c r="D11" s="8">
        <f t="shared" si="0"/>
        <v>315.64999999999998</v>
      </c>
      <c r="F11" s="13" t="s">
        <v>12</v>
      </c>
      <c r="G11" s="19">
        <v>320</v>
      </c>
      <c r="H11" s="20">
        <v>210</v>
      </c>
    </row>
    <row r="12" spans="2:8" ht="14.25" customHeight="1">
      <c r="B12" s="24" t="s">
        <v>13</v>
      </c>
      <c r="C12" s="258">
        <v>130</v>
      </c>
      <c r="D12" s="8">
        <f t="shared" si="0"/>
        <v>76.7</v>
      </c>
      <c r="F12" s="13" t="s">
        <v>13</v>
      </c>
      <c r="G12" s="19">
        <v>77</v>
      </c>
      <c r="H12" s="20">
        <v>50</v>
      </c>
    </row>
    <row r="13" spans="2:8" ht="13.5" customHeight="1">
      <c r="B13" s="24" t="s">
        <v>14</v>
      </c>
      <c r="C13" s="258">
        <v>1015</v>
      </c>
      <c r="D13" s="8">
        <f t="shared" si="0"/>
        <v>598.85</v>
      </c>
      <c r="F13" s="13" t="s">
        <v>14</v>
      </c>
      <c r="G13" s="19">
        <v>406</v>
      </c>
      <c r="H13" s="20">
        <v>305</v>
      </c>
    </row>
    <row r="14" spans="2:8" ht="16.5" customHeight="1">
      <c r="B14" s="24" t="s">
        <v>15</v>
      </c>
      <c r="C14" s="258">
        <v>685</v>
      </c>
      <c r="D14" s="8">
        <f t="shared" si="0"/>
        <v>404.15000000000003</v>
      </c>
      <c r="F14" s="13" t="s">
        <v>15</v>
      </c>
      <c r="G14" s="19">
        <v>266</v>
      </c>
      <c r="H14" s="20">
        <v>233</v>
      </c>
    </row>
    <row r="15" spans="2:8" ht="13.5" customHeight="1">
      <c r="B15" s="24" t="s">
        <v>16</v>
      </c>
      <c r="C15" s="258">
        <v>1140</v>
      </c>
      <c r="D15" s="8">
        <f t="shared" si="0"/>
        <v>672.6</v>
      </c>
      <c r="F15" s="13" t="s">
        <v>16</v>
      </c>
      <c r="G15" s="19">
        <v>483</v>
      </c>
      <c r="H15" s="20">
        <v>372</v>
      </c>
    </row>
    <row r="16" spans="2:8" ht="13.5" customHeight="1">
      <c r="B16" s="24" t="s">
        <v>17</v>
      </c>
      <c r="C16" s="258">
        <v>485</v>
      </c>
      <c r="D16" s="8">
        <f t="shared" si="0"/>
        <v>286.14999999999998</v>
      </c>
      <c r="F16" s="13" t="s">
        <v>17</v>
      </c>
      <c r="G16" s="19">
        <v>217</v>
      </c>
      <c r="H16" s="20">
        <v>165</v>
      </c>
    </row>
    <row r="17" spans="2:8" ht="16.5" customHeight="1">
      <c r="B17" s="24" t="s">
        <v>18</v>
      </c>
      <c r="C17" s="258">
        <v>155</v>
      </c>
      <c r="D17" s="8">
        <f t="shared" si="0"/>
        <v>91.45</v>
      </c>
      <c r="F17" s="13" t="s">
        <v>18</v>
      </c>
      <c r="G17" s="19">
        <v>57</v>
      </c>
      <c r="H17" s="20">
        <v>50</v>
      </c>
    </row>
    <row r="18" spans="2:8" ht="15.75" customHeight="1">
      <c r="B18" s="24" t="s">
        <v>19</v>
      </c>
      <c r="C18" s="258">
        <v>140</v>
      </c>
      <c r="D18" s="8">
        <f t="shared" si="0"/>
        <v>82.6</v>
      </c>
      <c r="F18" s="13" t="s">
        <v>19</v>
      </c>
      <c r="G18" s="19">
        <v>0</v>
      </c>
      <c r="H18" s="20">
        <v>0</v>
      </c>
    </row>
    <row r="19" spans="2:8" ht="15" customHeight="1" thickBot="1">
      <c r="B19" s="25" t="s">
        <v>20</v>
      </c>
      <c r="C19" s="259">
        <v>290</v>
      </c>
      <c r="D19" s="10">
        <f t="shared" si="0"/>
        <v>171.10000000000002</v>
      </c>
      <c r="F19" s="14" t="s">
        <v>20</v>
      </c>
      <c r="G19" s="21">
        <v>100</v>
      </c>
      <c r="H19" s="22">
        <v>80</v>
      </c>
    </row>
    <row r="20" spans="2:8" ht="15" customHeight="1"/>
    <row r="21" spans="2:8" ht="15.75" customHeight="1"/>
    <row r="22" spans="2:8" ht="16.5" customHeight="1"/>
  </sheetData>
  <sheetProtection formatCells="0" formatColumns="0" formatRows="0" insertColumns="0" insertRows="0" insertHyperlinks="0" deleteColumns="0" deleteRows="0" sort="0" autoFilter="0" pivotTables="0"/>
  <mergeCells count="2">
    <mergeCell ref="B2:B3"/>
    <mergeCell ref="F2:F3"/>
  </mergeCells>
  <pageMargins left="0.7" right="0.7" top="0.75" bottom="0.75" header="0.3" footer="0.3"/>
  <pageSetup paperSize="9" scale="8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U44"/>
  <sheetViews>
    <sheetView topLeftCell="A10" workbookViewId="0">
      <selection activeCell="B24" sqref="B24:I45"/>
    </sheetView>
  </sheetViews>
  <sheetFormatPr defaultRowHeight="15"/>
  <cols>
    <col min="2" max="2" width="49.5703125" customWidth="1"/>
    <col min="4" max="4" width="12.5703125" customWidth="1"/>
    <col min="5" max="5" width="9.28515625" customWidth="1"/>
    <col min="6" max="6" width="10.140625" customWidth="1"/>
    <col min="12" max="12" width="10.140625" bestFit="1" customWidth="1"/>
  </cols>
  <sheetData>
    <row r="1" spans="1:12" ht="26.25">
      <c r="B1" s="299" t="s">
        <v>991</v>
      </c>
    </row>
    <row r="2" spans="1:12" ht="26.25">
      <c r="A2" s="290"/>
      <c r="B2" s="1239" t="s">
        <v>969</v>
      </c>
      <c r="C2" s="1240"/>
      <c r="D2" s="1240"/>
      <c r="E2" s="1240"/>
      <c r="L2" s="352">
        <v>42103</v>
      </c>
    </row>
    <row r="3" spans="1:12">
      <c r="B3" s="1234" t="s">
        <v>232</v>
      </c>
      <c r="C3" s="1236" t="s">
        <v>233</v>
      </c>
      <c r="D3" s="1233" t="s">
        <v>968</v>
      </c>
      <c r="E3" s="1233"/>
      <c r="F3" s="1233"/>
      <c r="G3" s="1233"/>
      <c r="H3" s="1233"/>
      <c r="I3" s="1233"/>
      <c r="J3" s="1233"/>
      <c r="K3" s="1233"/>
      <c r="L3" s="1233"/>
    </row>
    <row r="4" spans="1:12" ht="15" customHeight="1">
      <c r="B4" s="1241"/>
      <c r="C4" s="1242"/>
      <c r="D4" s="1234" t="s">
        <v>208</v>
      </c>
      <c r="E4" s="1234" t="s">
        <v>1039</v>
      </c>
      <c r="F4" s="1213" t="s">
        <v>988</v>
      </c>
      <c r="G4" s="1236" t="s">
        <v>982</v>
      </c>
      <c r="H4" s="1236" t="s">
        <v>989</v>
      </c>
      <c r="I4" s="1213" t="s">
        <v>789</v>
      </c>
      <c r="J4" s="1236" t="s">
        <v>987</v>
      </c>
      <c r="K4" s="1213" t="s">
        <v>942</v>
      </c>
      <c r="L4" s="1234" t="s">
        <v>240</v>
      </c>
    </row>
    <row r="5" spans="1:12">
      <c r="B5" s="1235"/>
      <c r="C5" s="1237"/>
      <c r="D5" s="1235"/>
      <c r="E5" s="1235"/>
      <c r="F5" s="1215"/>
      <c r="G5" s="1237"/>
      <c r="H5" s="1237"/>
      <c r="I5" s="1215"/>
      <c r="J5" s="1237"/>
      <c r="K5" s="1215"/>
      <c r="L5" s="1235"/>
    </row>
    <row r="6" spans="1:12">
      <c r="B6" s="1233" t="s">
        <v>241</v>
      </c>
      <c r="C6" s="1233"/>
      <c r="D6" s="1233"/>
      <c r="E6" s="1233"/>
      <c r="F6" s="1233"/>
      <c r="G6" s="1233"/>
      <c r="H6" s="1233"/>
      <c r="I6" s="1233"/>
      <c r="J6" s="1233"/>
      <c r="K6" s="1233"/>
      <c r="L6" s="1233"/>
    </row>
    <row r="7" spans="1:12">
      <c r="A7">
        <v>330</v>
      </c>
      <c r="B7" s="281" t="s">
        <v>971</v>
      </c>
      <c r="C7" s="296" t="s">
        <v>178</v>
      </c>
      <c r="D7" s="355">
        <v>140</v>
      </c>
      <c r="E7" s="284">
        <v>200</v>
      </c>
      <c r="F7" s="284">
        <v>375</v>
      </c>
      <c r="G7" s="284">
        <v>290</v>
      </c>
      <c r="H7" s="284">
        <v>255</v>
      </c>
      <c r="I7" s="284">
        <v>290</v>
      </c>
      <c r="J7" s="284">
        <v>380</v>
      </c>
      <c r="K7" s="284">
        <v>390</v>
      </c>
      <c r="L7" s="284">
        <v>410</v>
      </c>
    </row>
    <row r="8" spans="1:12">
      <c r="A8">
        <v>410</v>
      </c>
      <c r="B8" s="197" t="s">
        <v>972</v>
      </c>
      <c r="C8" s="297" t="s">
        <v>178</v>
      </c>
      <c r="D8" s="356">
        <v>185</v>
      </c>
      <c r="E8" s="283">
        <v>272</v>
      </c>
      <c r="F8" s="283">
        <v>490</v>
      </c>
      <c r="G8" s="283">
        <v>375</v>
      </c>
      <c r="H8" s="283">
        <v>315</v>
      </c>
      <c r="I8" s="283">
        <v>375</v>
      </c>
      <c r="J8" s="283">
        <v>475</v>
      </c>
      <c r="K8" s="283">
        <v>475</v>
      </c>
      <c r="L8" s="283">
        <v>485</v>
      </c>
    </row>
    <row r="9" spans="1:12">
      <c r="A9">
        <v>220</v>
      </c>
      <c r="B9" s="282" t="s">
        <v>981</v>
      </c>
      <c r="C9" s="296" t="s">
        <v>178</v>
      </c>
      <c r="D9" s="357">
        <v>110</v>
      </c>
      <c r="E9" s="285">
        <v>165</v>
      </c>
      <c r="F9" s="285">
        <v>310</v>
      </c>
      <c r="G9" s="285">
        <v>240</v>
      </c>
      <c r="H9" s="285">
        <v>200</v>
      </c>
      <c r="I9" s="285">
        <v>240</v>
      </c>
      <c r="J9" s="285">
        <v>305</v>
      </c>
      <c r="K9" s="285">
        <v>305</v>
      </c>
      <c r="L9" s="285">
        <v>320</v>
      </c>
    </row>
    <row r="10" spans="1:12">
      <c r="A10">
        <v>330</v>
      </c>
      <c r="B10" s="197" t="s">
        <v>990</v>
      </c>
      <c r="C10" s="297" t="s">
        <v>178</v>
      </c>
      <c r="D10" s="356">
        <v>140</v>
      </c>
      <c r="E10" s="283">
        <v>200</v>
      </c>
      <c r="F10" s="283">
        <v>375</v>
      </c>
      <c r="G10" s="283">
        <v>290</v>
      </c>
      <c r="H10" s="283">
        <v>255</v>
      </c>
      <c r="I10" s="283">
        <v>290</v>
      </c>
      <c r="J10" s="283">
        <v>380</v>
      </c>
      <c r="K10" s="283">
        <v>390</v>
      </c>
      <c r="L10" s="283">
        <v>410</v>
      </c>
    </row>
    <row r="11" spans="1:12">
      <c r="A11">
        <v>600</v>
      </c>
      <c r="B11" s="282" t="s">
        <v>973</v>
      </c>
      <c r="C11" s="296" t="s">
        <v>178</v>
      </c>
      <c r="D11" s="357">
        <v>280</v>
      </c>
      <c r="E11" s="285">
        <v>395</v>
      </c>
      <c r="F11" s="285">
        <v>700</v>
      </c>
      <c r="G11" s="285">
        <v>520</v>
      </c>
      <c r="H11" s="285">
        <v>455</v>
      </c>
      <c r="I11" s="285">
        <v>520</v>
      </c>
      <c r="J11" s="285">
        <v>690</v>
      </c>
      <c r="K11" s="285">
        <v>690</v>
      </c>
      <c r="L11" s="285">
        <v>760</v>
      </c>
    </row>
    <row r="12" spans="1:12">
      <c r="A12">
        <v>180</v>
      </c>
      <c r="B12" s="197" t="s">
        <v>974</v>
      </c>
      <c r="C12" s="297" t="s">
        <v>178</v>
      </c>
      <c r="D12" s="356">
        <v>85</v>
      </c>
      <c r="E12" s="283">
        <v>115</v>
      </c>
      <c r="F12" s="283">
        <v>230</v>
      </c>
      <c r="G12" s="283">
        <v>170</v>
      </c>
      <c r="H12" s="283">
        <v>152</v>
      </c>
      <c r="I12" s="283">
        <v>170</v>
      </c>
      <c r="J12" s="283">
        <v>230</v>
      </c>
      <c r="K12" s="283">
        <v>230</v>
      </c>
      <c r="L12" s="283">
        <v>230</v>
      </c>
    </row>
    <row r="13" spans="1:12">
      <c r="A13">
        <v>220</v>
      </c>
      <c r="B13" s="282" t="s">
        <v>985</v>
      </c>
      <c r="C13" s="296" t="s">
        <v>178</v>
      </c>
      <c r="D13" s="357">
        <v>145</v>
      </c>
      <c r="E13" s="285">
        <v>205</v>
      </c>
      <c r="F13" s="285">
        <v>390</v>
      </c>
      <c r="G13" s="285">
        <v>345</v>
      </c>
      <c r="H13" s="285">
        <v>300</v>
      </c>
      <c r="I13" s="285">
        <v>345</v>
      </c>
      <c r="J13" s="285">
        <v>445</v>
      </c>
      <c r="K13" s="285">
        <v>445</v>
      </c>
      <c r="L13" s="285">
        <v>470</v>
      </c>
    </row>
    <row r="14" spans="1:12">
      <c r="A14">
        <v>80</v>
      </c>
      <c r="B14" s="197" t="s">
        <v>986</v>
      </c>
      <c r="C14" s="297" t="s">
        <v>178</v>
      </c>
      <c r="D14" s="356">
        <v>45</v>
      </c>
      <c r="E14" s="283" t="s">
        <v>21</v>
      </c>
      <c r="F14" s="283" t="s">
        <v>21</v>
      </c>
      <c r="G14" s="283" t="s">
        <v>21</v>
      </c>
      <c r="H14" s="283" t="s">
        <v>21</v>
      </c>
      <c r="I14" s="283" t="s">
        <v>21</v>
      </c>
      <c r="J14" s="283" t="s">
        <v>21</v>
      </c>
      <c r="K14" s="283" t="s">
        <v>21</v>
      </c>
      <c r="L14" s="283" t="s">
        <v>21</v>
      </c>
    </row>
    <row r="15" spans="1:12">
      <c r="A15">
        <v>310</v>
      </c>
      <c r="B15" s="282" t="s">
        <v>975</v>
      </c>
      <c r="C15" s="296" t="s">
        <v>178</v>
      </c>
      <c r="D15" s="357">
        <v>140</v>
      </c>
      <c r="E15" s="285">
        <v>200</v>
      </c>
      <c r="F15" s="285">
        <v>390</v>
      </c>
      <c r="G15" s="285">
        <v>290</v>
      </c>
      <c r="H15" s="285">
        <v>255</v>
      </c>
      <c r="I15" s="285">
        <v>290</v>
      </c>
      <c r="J15" s="285">
        <v>380</v>
      </c>
      <c r="K15" s="285">
        <v>390</v>
      </c>
      <c r="L15" s="285">
        <v>410</v>
      </c>
    </row>
    <row r="16" spans="1:12">
      <c r="A16">
        <v>130</v>
      </c>
      <c r="B16" s="197" t="s">
        <v>976</v>
      </c>
      <c r="C16" s="297" t="s">
        <v>178</v>
      </c>
      <c r="D16" s="297">
        <v>60</v>
      </c>
      <c r="E16" s="286">
        <v>85</v>
      </c>
      <c r="F16" s="286">
        <v>155</v>
      </c>
      <c r="G16" s="286">
        <v>125</v>
      </c>
      <c r="H16" s="286">
        <v>115</v>
      </c>
      <c r="I16" s="286">
        <v>125</v>
      </c>
      <c r="J16" s="286">
        <v>160</v>
      </c>
      <c r="K16" s="286">
        <v>160</v>
      </c>
      <c r="L16" s="286">
        <v>180</v>
      </c>
    </row>
    <row r="17" spans="1:21">
      <c r="A17">
        <v>180</v>
      </c>
      <c r="B17" s="282" t="s">
        <v>977</v>
      </c>
      <c r="C17" s="296" t="s">
        <v>178</v>
      </c>
      <c r="D17" s="357">
        <v>85</v>
      </c>
      <c r="E17" s="287">
        <v>120</v>
      </c>
      <c r="F17" s="287">
        <v>230</v>
      </c>
      <c r="G17" s="287">
        <v>170</v>
      </c>
      <c r="H17" s="285">
        <v>150</v>
      </c>
      <c r="I17" s="287">
        <v>170</v>
      </c>
      <c r="J17" s="287">
        <v>235</v>
      </c>
      <c r="K17" s="287">
        <v>235</v>
      </c>
      <c r="L17" s="287">
        <v>240</v>
      </c>
    </row>
    <row r="18" spans="1:21">
      <c r="A18">
        <v>94</v>
      </c>
      <c r="B18" s="197" t="s">
        <v>978</v>
      </c>
      <c r="C18" s="297" t="s">
        <v>178</v>
      </c>
      <c r="D18" s="297">
        <v>55</v>
      </c>
      <c r="E18" s="286">
        <v>70</v>
      </c>
      <c r="F18" s="286">
        <v>115</v>
      </c>
      <c r="G18" s="286">
        <v>95</v>
      </c>
      <c r="H18" s="286">
        <v>80</v>
      </c>
      <c r="I18" s="286">
        <v>95</v>
      </c>
      <c r="J18" s="286">
        <v>115</v>
      </c>
      <c r="K18" s="286">
        <v>115</v>
      </c>
      <c r="L18" s="286">
        <v>125</v>
      </c>
      <c r="P18" s="1"/>
    </row>
    <row r="19" spans="1:21">
      <c r="A19">
        <v>80</v>
      </c>
      <c r="B19" s="282" t="s">
        <v>979</v>
      </c>
      <c r="C19" s="296" t="s">
        <v>178</v>
      </c>
      <c r="D19" s="357">
        <v>40</v>
      </c>
      <c r="E19" s="288">
        <v>60</v>
      </c>
      <c r="F19" s="288">
        <v>100</v>
      </c>
      <c r="G19" s="285">
        <v>78</v>
      </c>
      <c r="H19" s="288">
        <v>85</v>
      </c>
      <c r="I19" s="285">
        <v>78</v>
      </c>
      <c r="J19" s="288">
        <v>100</v>
      </c>
      <c r="K19" s="288">
        <v>100</v>
      </c>
      <c r="L19" s="288">
        <v>110</v>
      </c>
    </row>
    <row r="20" spans="1:21">
      <c r="A20">
        <v>110</v>
      </c>
      <c r="B20" s="197" t="s">
        <v>980</v>
      </c>
      <c r="C20" s="297" t="s">
        <v>178</v>
      </c>
      <c r="D20" s="356">
        <v>65</v>
      </c>
      <c r="E20" s="286">
        <v>90</v>
      </c>
      <c r="F20" s="286">
        <v>155</v>
      </c>
      <c r="G20" s="283">
        <v>120</v>
      </c>
      <c r="H20" s="286">
        <v>110</v>
      </c>
      <c r="I20" s="283">
        <v>120</v>
      </c>
      <c r="J20" s="286">
        <v>155</v>
      </c>
      <c r="K20" s="286">
        <v>155</v>
      </c>
      <c r="L20" s="286">
        <v>165</v>
      </c>
      <c r="Q20" s="1"/>
      <c r="R20" s="1"/>
      <c r="S20" s="1"/>
      <c r="T20" s="1"/>
      <c r="U20" s="1"/>
    </row>
    <row r="21" spans="1:21">
      <c r="B21" s="195" t="s">
        <v>983</v>
      </c>
      <c r="C21" s="296" t="s">
        <v>984</v>
      </c>
      <c r="D21" s="357">
        <v>290</v>
      </c>
      <c r="E21" s="285">
        <v>430</v>
      </c>
      <c r="F21" s="285">
        <v>775</v>
      </c>
      <c r="G21" s="285">
        <v>570</v>
      </c>
      <c r="H21" s="362">
        <v>480</v>
      </c>
      <c r="I21" s="285">
        <v>570</v>
      </c>
      <c r="J21" s="285">
        <v>725</v>
      </c>
      <c r="K21" s="285">
        <v>755</v>
      </c>
      <c r="L21" s="285">
        <v>795</v>
      </c>
      <c r="Q21" s="1"/>
      <c r="R21" s="1"/>
      <c r="S21" s="1"/>
      <c r="T21" s="1"/>
      <c r="U21" s="1"/>
    </row>
    <row r="22" spans="1:21">
      <c r="Q22" s="1"/>
      <c r="R22" s="363"/>
      <c r="S22" s="1"/>
      <c r="T22" s="1"/>
      <c r="U22" s="1"/>
    </row>
    <row r="23" spans="1:21" ht="31.5">
      <c r="A23" s="289"/>
      <c r="B23" s="1238" t="s">
        <v>970</v>
      </c>
      <c r="C23" s="1238"/>
      <c r="D23" s="1238"/>
      <c r="E23" s="1238"/>
      <c r="F23" s="1238"/>
      <c r="G23" s="1238"/>
      <c r="H23" s="1238"/>
      <c r="I23" s="1238"/>
      <c r="J23" s="1238"/>
      <c r="K23" s="1238"/>
      <c r="L23" s="1238"/>
      <c r="Q23" s="1"/>
      <c r="R23" s="1"/>
      <c r="S23" s="1"/>
      <c r="T23" s="1"/>
      <c r="U23" s="1"/>
    </row>
    <row r="24" spans="1:21">
      <c r="B24" s="627"/>
      <c r="F24" s="501"/>
      <c r="Q24" s="1"/>
      <c r="R24" s="1"/>
      <c r="S24" s="1"/>
      <c r="T24" s="1"/>
      <c r="U24" s="1"/>
    </row>
    <row r="25" spans="1:21">
      <c r="B25" s="501"/>
      <c r="Q25" s="1"/>
      <c r="R25" s="1"/>
      <c r="S25" s="1"/>
      <c r="T25" s="1"/>
      <c r="U25" s="1"/>
    </row>
    <row r="26" spans="1:21">
      <c r="B26" s="501"/>
      <c r="Q26" s="1"/>
      <c r="R26" s="1"/>
      <c r="S26" s="1"/>
      <c r="T26" s="1"/>
      <c r="U26" s="1"/>
    </row>
    <row r="27" spans="1:21">
      <c r="B27" s="501"/>
      <c r="C27" s="501"/>
      <c r="Q27" s="1"/>
      <c r="R27" s="1"/>
      <c r="S27" s="1"/>
      <c r="U27" s="1"/>
    </row>
    <row r="28" spans="1:21">
      <c r="B28" s="501"/>
      <c r="C28" s="501"/>
      <c r="Q28" s="1"/>
      <c r="R28" s="1"/>
      <c r="S28" s="1"/>
      <c r="U28" s="1"/>
    </row>
    <row r="29" spans="1:21">
      <c r="B29" s="501"/>
      <c r="C29" s="501"/>
      <c r="Q29" s="1"/>
      <c r="R29" s="1"/>
      <c r="S29" s="1"/>
      <c r="U29" s="1"/>
    </row>
    <row r="30" spans="1:21">
      <c r="B30" s="501"/>
      <c r="C30" s="501"/>
      <c r="Q30" s="1"/>
      <c r="R30" s="1"/>
      <c r="S30" s="1"/>
      <c r="U30" s="1"/>
    </row>
    <row r="31" spans="1:21">
      <c r="B31" s="501"/>
      <c r="Q31" s="1"/>
      <c r="R31" s="1"/>
      <c r="S31" s="1"/>
      <c r="T31" s="1"/>
      <c r="U31" s="1"/>
    </row>
    <row r="32" spans="1:21" ht="18.75">
      <c r="C32" s="502"/>
      <c r="D32" s="502"/>
      <c r="E32" s="502"/>
      <c r="F32" s="502"/>
      <c r="G32" s="502"/>
    </row>
    <row r="35" spans="2:6">
      <c r="B35" s="627"/>
      <c r="F35" s="501"/>
    </row>
    <row r="36" spans="2:6">
      <c r="B36" s="501"/>
    </row>
    <row r="37" spans="2:6">
      <c r="B37" s="501"/>
    </row>
    <row r="38" spans="2:6">
      <c r="B38" s="501"/>
      <c r="C38" s="501"/>
    </row>
    <row r="39" spans="2:6">
      <c r="B39" s="501"/>
      <c r="C39" s="501"/>
    </row>
    <row r="40" spans="2:6">
      <c r="B40" s="501"/>
      <c r="C40" s="501"/>
    </row>
    <row r="41" spans="2:6">
      <c r="B41" s="501"/>
      <c r="C41" s="501"/>
    </row>
    <row r="42" spans="2:6">
      <c r="B42" s="501"/>
      <c r="C42" s="501"/>
    </row>
    <row r="43" spans="2:6">
      <c r="B43" s="501"/>
    </row>
    <row r="44" spans="2:6" ht="18.75">
      <c r="C44" s="502"/>
      <c r="D44" s="502"/>
      <c r="E44" s="502"/>
      <c r="F44" s="502"/>
    </row>
  </sheetData>
  <mergeCells count="15">
    <mergeCell ref="B23:L23"/>
    <mergeCell ref="B2:E2"/>
    <mergeCell ref="H4:H5"/>
    <mergeCell ref="I4:I5"/>
    <mergeCell ref="J4:J5"/>
    <mergeCell ref="K4:K5"/>
    <mergeCell ref="L4:L5"/>
    <mergeCell ref="B3:B5"/>
    <mergeCell ref="C3:C5"/>
    <mergeCell ref="D3:L3"/>
    <mergeCell ref="D4:D5"/>
    <mergeCell ref="E4:E5"/>
    <mergeCell ref="F4:F5"/>
    <mergeCell ref="G4:G5"/>
    <mergeCell ref="B6:L6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B2:S55"/>
  <sheetViews>
    <sheetView workbookViewId="0">
      <selection activeCell="D2" sqref="D2:E3"/>
    </sheetView>
  </sheetViews>
  <sheetFormatPr defaultRowHeight="15"/>
  <cols>
    <col min="1" max="1" width="4.140625" customWidth="1"/>
    <col min="2" max="2" width="42.85546875" customWidth="1"/>
    <col min="3" max="3" width="12.85546875" customWidth="1"/>
  </cols>
  <sheetData>
    <row r="2" spans="2:19">
      <c r="B2" s="93"/>
      <c r="C2" s="93" t="s">
        <v>131</v>
      </c>
      <c r="D2" s="93"/>
      <c r="E2" s="93"/>
    </row>
    <row r="3" spans="2:19">
      <c r="B3" s="93" t="s">
        <v>190</v>
      </c>
      <c r="C3" s="110">
        <v>0.48</v>
      </c>
      <c r="D3" s="110"/>
      <c r="E3" s="110"/>
    </row>
    <row r="5" spans="2:19">
      <c r="B5" s="593"/>
      <c r="C5" s="594"/>
      <c r="D5" s="594"/>
      <c r="E5" s="594"/>
      <c r="F5" s="594"/>
      <c r="G5" s="594"/>
      <c r="H5" s="594"/>
      <c r="I5" s="595"/>
      <c r="J5" s="595"/>
      <c r="K5" s="910"/>
      <c r="L5" s="595"/>
      <c r="M5" s="910"/>
      <c r="N5" s="594"/>
      <c r="O5" s="596" t="s">
        <v>310</v>
      </c>
      <c r="P5" s="594"/>
      <c r="Q5" s="909"/>
      <c r="R5" s="1307">
        <v>42235</v>
      </c>
      <c r="S5" s="1307"/>
    </row>
    <row r="6" spans="2:19">
      <c r="B6" s="1308" t="s">
        <v>232</v>
      </c>
      <c r="C6" s="1310" t="s">
        <v>233</v>
      </c>
      <c r="D6" s="1312" t="s">
        <v>177</v>
      </c>
      <c r="E6" s="1313"/>
      <c r="F6" s="1316" t="s">
        <v>234</v>
      </c>
      <c r="G6" s="1317"/>
      <c r="H6" s="1317"/>
      <c r="I6" s="1317"/>
      <c r="J6" s="1317"/>
      <c r="K6" s="1317"/>
      <c r="L6" s="1317"/>
      <c r="M6" s="1317"/>
      <c r="N6" s="1317"/>
      <c r="O6" s="1317"/>
      <c r="P6" s="1317"/>
      <c r="Q6" s="1317"/>
      <c r="R6" s="1317"/>
      <c r="S6" s="1318"/>
    </row>
    <row r="7" spans="2:19" ht="22.5">
      <c r="B7" s="1309"/>
      <c r="C7" s="1311"/>
      <c r="D7" s="1314"/>
      <c r="E7" s="1315"/>
      <c r="F7" s="866" t="s">
        <v>208</v>
      </c>
      <c r="G7" s="866" t="s">
        <v>235</v>
      </c>
      <c r="H7" s="867" t="s">
        <v>1650</v>
      </c>
      <c r="I7" s="1319" t="s">
        <v>237</v>
      </c>
      <c r="J7" s="1320"/>
      <c r="K7" s="911" t="s">
        <v>789</v>
      </c>
      <c r="L7" s="1321" t="s">
        <v>1651</v>
      </c>
      <c r="M7" s="1322"/>
      <c r="N7" s="866" t="s">
        <v>238</v>
      </c>
      <c r="O7" s="866" t="s">
        <v>239</v>
      </c>
      <c r="P7" s="1316" t="s">
        <v>236</v>
      </c>
      <c r="Q7" s="1318"/>
      <c r="R7" s="1316" t="s">
        <v>1009</v>
      </c>
      <c r="S7" s="1248"/>
    </row>
    <row r="8" spans="2:19">
      <c r="B8" s="1305" t="s">
        <v>241</v>
      </c>
      <c r="C8" s="1306"/>
      <c r="D8" s="1306"/>
      <c r="E8" s="1306"/>
      <c r="F8" s="1306"/>
      <c r="G8" s="1306"/>
      <c r="H8" s="1306"/>
      <c r="I8" s="1306"/>
      <c r="J8" s="1306"/>
      <c r="K8" s="1306"/>
      <c r="L8" s="1306"/>
      <c r="M8" s="1306"/>
      <c r="N8" s="1306"/>
      <c r="O8" s="1306"/>
      <c r="P8" s="1306"/>
      <c r="Q8" s="1306"/>
      <c r="R8" s="1306"/>
      <c r="S8" s="1306"/>
    </row>
    <row r="9" spans="2:19">
      <c r="B9" s="912" t="s">
        <v>1010</v>
      </c>
      <c r="C9" s="913" t="s">
        <v>223</v>
      </c>
      <c r="D9" s="1256" t="s">
        <v>242</v>
      </c>
      <c r="E9" s="1257"/>
      <c r="F9" s="914">
        <f>ROUND(225*(1-C77),2)</f>
        <v>225</v>
      </c>
      <c r="G9" s="914">
        <f>ROUND(284*(1-C77),2)</f>
        <v>284</v>
      </c>
      <c r="H9" s="915">
        <f>ROUND(311*(1-C77),2)</f>
        <v>311</v>
      </c>
      <c r="I9" s="1258">
        <f>ROUND(353*(1-C77),2)</f>
        <v>353</v>
      </c>
      <c r="J9" s="1292"/>
      <c r="K9" s="916">
        <f>ROUND(373*(1-C77),2)</f>
        <v>373</v>
      </c>
      <c r="L9" s="1243">
        <f>ROUND(432*(1-C77),2)</f>
        <v>432</v>
      </c>
      <c r="M9" s="1245"/>
      <c r="N9" s="914">
        <f>ROUND(298*(1-C77),2)</f>
        <v>298</v>
      </c>
      <c r="O9" s="916">
        <f>I9</f>
        <v>353</v>
      </c>
      <c r="P9" s="1243">
        <f>ROUND(470*(1-C77),2)</f>
        <v>470</v>
      </c>
      <c r="Q9" s="1245"/>
      <c r="R9" s="1243" t="s">
        <v>21</v>
      </c>
      <c r="S9" s="1245"/>
    </row>
    <row r="10" spans="2:19">
      <c r="B10" s="917" t="s">
        <v>243</v>
      </c>
      <c r="C10" s="918" t="s">
        <v>223</v>
      </c>
      <c r="D10" s="1262" t="s">
        <v>244</v>
      </c>
      <c r="E10" s="1263"/>
      <c r="F10" s="919">
        <f>ROUND(294*(1-C77),2)</f>
        <v>294</v>
      </c>
      <c r="G10" s="919">
        <f>ROUND(374*(1-C77),2)</f>
        <v>374</v>
      </c>
      <c r="H10" s="919">
        <f>ROUND(410*(1-C77),2)</f>
        <v>410</v>
      </c>
      <c r="I10" s="1303">
        <f>ROUND(465*(1-C77),2)</f>
        <v>465</v>
      </c>
      <c r="J10" s="1292"/>
      <c r="K10" s="920">
        <f>ROUND(491*(1-C77),2)</f>
        <v>491</v>
      </c>
      <c r="L10" s="1304">
        <f>ROUND(571*(1-C77),2)</f>
        <v>571</v>
      </c>
      <c r="M10" s="1245"/>
      <c r="N10" s="919">
        <f>ROUND(392*(1-C77),2)</f>
        <v>392</v>
      </c>
      <c r="O10" s="920">
        <f t="shared" ref="O10:O34" si="0">I10</f>
        <v>465</v>
      </c>
      <c r="P10" s="1304">
        <f>ROUND(621*(1-C77),2)</f>
        <v>621</v>
      </c>
      <c r="Q10" s="1245"/>
      <c r="R10" s="1304" t="s">
        <v>21</v>
      </c>
      <c r="S10" s="1245"/>
    </row>
    <row r="11" spans="2:19">
      <c r="B11" s="921" t="s">
        <v>1403</v>
      </c>
      <c r="C11" s="922" t="s">
        <v>223</v>
      </c>
      <c r="D11" s="1256" t="s">
        <v>244</v>
      </c>
      <c r="E11" s="1257"/>
      <c r="F11" s="923">
        <f>ROUND(225*(1-C77),2)</f>
        <v>225</v>
      </c>
      <c r="G11" s="923">
        <f>ROUND(284*(1-C77),2)</f>
        <v>284</v>
      </c>
      <c r="H11" s="923">
        <f>ROUND(311*(1-C77),2)</f>
        <v>311</v>
      </c>
      <c r="I11" s="1258">
        <f>ROUND(353*(1-C77),2)</f>
        <v>353</v>
      </c>
      <c r="J11" s="1292"/>
      <c r="K11" s="924">
        <f>ROUND(373*(1-C77),2)</f>
        <v>373</v>
      </c>
      <c r="L11" s="1243">
        <f>ROUND(432*(1-C77),2)</f>
        <v>432</v>
      </c>
      <c r="M11" s="1245"/>
      <c r="N11" s="923">
        <f>ROUND(298*(1-C77),2)</f>
        <v>298</v>
      </c>
      <c r="O11" s="924">
        <f t="shared" si="0"/>
        <v>353</v>
      </c>
      <c r="P11" s="1243">
        <f>ROUND(470*(1-C77),2)</f>
        <v>470</v>
      </c>
      <c r="Q11" s="1245"/>
      <c r="R11" s="1243" t="s">
        <v>21</v>
      </c>
      <c r="S11" s="1245"/>
    </row>
    <row r="12" spans="2:19">
      <c r="B12" s="917" t="s">
        <v>245</v>
      </c>
      <c r="C12" s="918" t="s">
        <v>223</v>
      </c>
      <c r="D12" s="1262" t="s">
        <v>242</v>
      </c>
      <c r="E12" s="1263"/>
      <c r="F12" s="919">
        <f>ROUND(225*(1-C77),2)</f>
        <v>225</v>
      </c>
      <c r="G12" s="919">
        <f>ROUND(284*(1-C77),2)</f>
        <v>284</v>
      </c>
      <c r="H12" s="919">
        <f>ROUND(311*(1-C77),2)</f>
        <v>311</v>
      </c>
      <c r="I12" s="1303">
        <f>ROUND(353*(1-C77),2)</f>
        <v>353</v>
      </c>
      <c r="J12" s="1292"/>
      <c r="K12" s="920">
        <f>ROUND(373*(1-C77),2)</f>
        <v>373</v>
      </c>
      <c r="L12" s="1304">
        <f>ROUND(432*(1-C77),2)</f>
        <v>432</v>
      </c>
      <c r="M12" s="1245"/>
      <c r="N12" s="919">
        <f>ROUND(298*(1-C77),2)</f>
        <v>298</v>
      </c>
      <c r="O12" s="920">
        <f t="shared" si="0"/>
        <v>353</v>
      </c>
      <c r="P12" s="1304">
        <f>ROUND(470*(1-C77),2)</f>
        <v>470</v>
      </c>
      <c r="Q12" s="1245"/>
      <c r="R12" s="1304" t="s">
        <v>21</v>
      </c>
      <c r="S12" s="1245"/>
    </row>
    <row r="13" spans="2:19">
      <c r="B13" s="921" t="s">
        <v>396</v>
      </c>
      <c r="C13" s="925" t="s">
        <v>223</v>
      </c>
      <c r="D13" s="1256" t="s">
        <v>242</v>
      </c>
      <c r="E13" s="1257"/>
      <c r="F13" s="923">
        <f>ROUND(294*(1-C77),2)</f>
        <v>294</v>
      </c>
      <c r="G13" s="923">
        <f>ROUND(374*(1-C77),2)</f>
        <v>374</v>
      </c>
      <c r="H13" s="923">
        <f>ROUND(410*(1-C77),2)</f>
        <v>410</v>
      </c>
      <c r="I13" s="1258">
        <f>ROUND(465*(1-C77),2)</f>
        <v>465</v>
      </c>
      <c r="J13" s="1292"/>
      <c r="K13" s="924">
        <f>ROUND(491*(1-C77),2)</f>
        <v>491</v>
      </c>
      <c r="L13" s="1243">
        <f>ROUND(571*(1-C77),2)</f>
        <v>571</v>
      </c>
      <c r="M13" s="1245"/>
      <c r="N13" s="923">
        <f>ROUND(392*(1-C77),2)</f>
        <v>392</v>
      </c>
      <c r="O13" s="924">
        <f t="shared" si="0"/>
        <v>465</v>
      </c>
      <c r="P13" s="1243">
        <f>ROUND(621*(1-C77),2)</f>
        <v>621</v>
      </c>
      <c r="Q13" s="1245"/>
      <c r="R13" s="1243" t="s">
        <v>21</v>
      </c>
      <c r="S13" s="1245"/>
    </row>
    <row r="14" spans="2:19">
      <c r="B14" s="917" t="s">
        <v>246</v>
      </c>
      <c r="C14" s="926" t="s">
        <v>223</v>
      </c>
      <c r="D14" s="1262" t="s">
        <v>242</v>
      </c>
      <c r="E14" s="1263"/>
      <c r="F14" s="919">
        <f>ROUND(294*(1-C77),2)</f>
        <v>294</v>
      </c>
      <c r="G14" s="919">
        <f>ROUND(374*(1-C77),2)</f>
        <v>374</v>
      </c>
      <c r="H14" s="919">
        <f>ROUND(410*(1-C77),2)</f>
        <v>410</v>
      </c>
      <c r="I14" s="1303">
        <f>ROUND(465*(1-C77),2)</f>
        <v>465</v>
      </c>
      <c r="J14" s="1292"/>
      <c r="K14" s="920">
        <f>ROUND(491*(1-C77),2)</f>
        <v>491</v>
      </c>
      <c r="L14" s="1304">
        <f>ROUND(571*(1-C77),2)</f>
        <v>571</v>
      </c>
      <c r="M14" s="1245"/>
      <c r="N14" s="919">
        <f>ROUND(392*(1-C77),2)</f>
        <v>392</v>
      </c>
      <c r="O14" s="920">
        <f t="shared" si="0"/>
        <v>465</v>
      </c>
      <c r="P14" s="1304">
        <f>ROUND(621*(1-C77),2)</f>
        <v>621</v>
      </c>
      <c r="Q14" s="1245"/>
      <c r="R14" s="1304" t="s">
        <v>21</v>
      </c>
      <c r="S14" s="1245"/>
    </row>
    <row r="15" spans="2:19">
      <c r="B15" s="921" t="s">
        <v>1404</v>
      </c>
      <c r="C15" s="925" t="s">
        <v>223</v>
      </c>
      <c r="D15" s="1256" t="s">
        <v>242</v>
      </c>
      <c r="E15" s="1257"/>
      <c r="F15" s="923">
        <f>ROUND(294*(1-C77),2)</f>
        <v>294</v>
      </c>
      <c r="G15" s="923">
        <f>ROUND(374*(1-C77),2)</f>
        <v>374</v>
      </c>
      <c r="H15" s="923">
        <f>ROUND(410*(1-C77),2)</f>
        <v>410</v>
      </c>
      <c r="I15" s="1258">
        <f>ROUND(465*(1-C77),2)</f>
        <v>465</v>
      </c>
      <c r="J15" s="1292"/>
      <c r="K15" s="924">
        <f>ROUND(491*(1-C77),2)</f>
        <v>491</v>
      </c>
      <c r="L15" s="1243">
        <f>ROUND(571*(1-C77),2)</f>
        <v>571</v>
      </c>
      <c r="M15" s="1245"/>
      <c r="N15" s="923">
        <f>ROUND(392*(1-C77),2)</f>
        <v>392</v>
      </c>
      <c r="O15" s="924">
        <f t="shared" si="0"/>
        <v>465</v>
      </c>
      <c r="P15" s="1243">
        <f>ROUND(621*(1-C77),2)</f>
        <v>621</v>
      </c>
      <c r="Q15" s="1245"/>
      <c r="R15" s="1243" t="s">
        <v>21</v>
      </c>
      <c r="S15" s="1245"/>
    </row>
    <row r="16" spans="2:19">
      <c r="B16" s="927" t="s">
        <v>247</v>
      </c>
      <c r="C16" s="918" t="s">
        <v>178</v>
      </c>
      <c r="D16" s="1301" t="s">
        <v>21</v>
      </c>
      <c r="E16" s="1302"/>
      <c r="F16" s="919" t="s">
        <v>21</v>
      </c>
      <c r="G16" s="919">
        <f>ROUND(279*(1-C77),2)</f>
        <v>279</v>
      </c>
      <c r="H16" s="919">
        <f>ROUND(361*(1-C77),2)</f>
        <v>361</v>
      </c>
      <c r="I16" s="1264">
        <f>ROUND(328*(1-C77),2)</f>
        <v>328</v>
      </c>
      <c r="J16" s="1292"/>
      <c r="K16" s="920">
        <f>ROUND(342*(1-C77),2)</f>
        <v>342</v>
      </c>
      <c r="L16" s="1266">
        <f>ROUND(317*(1-C77),2)</f>
        <v>317</v>
      </c>
      <c r="M16" s="1245"/>
      <c r="N16" s="919" t="s">
        <v>21</v>
      </c>
      <c r="O16" s="920">
        <f t="shared" si="0"/>
        <v>328</v>
      </c>
      <c r="P16" s="1266">
        <f>ROUND(335*(1-C77),2)</f>
        <v>335</v>
      </c>
      <c r="Q16" s="1245"/>
      <c r="R16" s="1266" t="s">
        <v>21</v>
      </c>
      <c r="S16" s="1245"/>
    </row>
    <row r="17" spans="2:19">
      <c r="B17" s="921" t="s">
        <v>248</v>
      </c>
      <c r="C17" s="925" t="s">
        <v>178</v>
      </c>
      <c r="D17" s="1256" t="s">
        <v>21</v>
      </c>
      <c r="E17" s="1257"/>
      <c r="F17" s="923" t="s">
        <v>21</v>
      </c>
      <c r="G17" s="923">
        <f>ROUND(628*(1-C77),2)</f>
        <v>628</v>
      </c>
      <c r="H17" s="923">
        <f>ROUND(819*(1-C77),2)</f>
        <v>819</v>
      </c>
      <c r="I17" s="1258">
        <f>ROUND(750*(1-C77),2)</f>
        <v>750</v>
      </c>
      <c r="J17" s="1292"/>
      <c r="K17" s="924">
        <f>ROUND(775*(1-C77),2)</f>
        <v>775</v>
      </c>
      <c r="L17" s="1243">
        <f>ROUND(721*(1-C77),2)</f>
        <v>721</v>
      </c>
      <c r="M17" s="1245"/>
      <c r="N17" s="923" t="s">
        <v>21</v>
      </c>
      <c r="O17" s="924">
        <f t="shared" si="0"/>
        <v>750</v>
      </c>
      <c r="P17" s="1243">
        <f>ROUND(759*(1-C77),2)</f>
        <v>759</v>
      </c>
      <c r="Q17" s="1245"/>
      <c r="R17" s="1243" t="s">
        <v>21</v>
      </c>
      <c r="S17" s="1245"/>
    </row>
    <row r="18" spans="2:19">
      <c r="B18" s="917" t="s">
        <v>391</v>
      </c>
      <c r="C18" s="918" t="s">
        <v>178</v>
      </c>
      <c r="D18" s="1301" t="s">
        <v>21</v>
      </c>
      <c r="E18" s="1302"/>
      <c r="F18" s="919" t="s">
        <v>21</v>
      </c>
      <c r="G18" s="928">
        <f>ROUND(229*(1-C77),2)</f>
        <v>229</v>
      </c>
      <c r="H18" s="928">
        <f>ROUND(299*(1-C77),2)</f>
        <v>299</v>
      </c>
      <c r="I18" s="1264">
        <f>ROUND(269*(1-C77),2)</f>
        <v>269</v>
      </c>
      <c r="J18" s="1292"/>
      <c r="K18" s="929">
        <f>ROUND(281*(1-C77),2)</f>
        <v>281</v>
      </c>
      <c r="L18" s="1266">
        <f>ROUND(264*(1-C77),2)</f>
        <v>264</v>
      </c>
      <c r="M18" s="1245"/>
      <c r="N18" s="919" t="s">
        <v>21</v>
      </c>
      <c r="O18" s="929">
        <f t="shared" si="0"/>
        <v>269</v>
      </c>
      <c r="P18" s="1266">
        <f>ROUND(277*(1-C77),2)</f>
        <v>277</v>
      </c>
      <c r="Q18" s="1245"/>
      <c r="R18" s="1266" t="s">
        <v>21</v>
      </c>
      <c r="S18" s="1245"/>
    </row>
    <row r="19" spans="2:19">
      <c r="B19" s="921" t="s">
        <v>392</v>
      </c>
      <c r="C19" s="925" t="s">
        <v>178</v>
      </c>
      <c r="D19" s="1256" t="s">
        <v>21</v>
      </c>
      <c r="E19" s="1257"/>
      <c r="F19" s="923" t="s">
        <v>21</v>
      </c>
      <c r="G19" s="923">
        <f>ROUND(519*(1-C77),2)</f>
        <v>519</v>
      </c>
      <c r="H19" s="923">
        <f>ROUND(670*(1-C77),2)</f>
        <v>670</v>
      </c>
      <c r="I19" s="1258">
        <f>ROUND(616*(1-C77),2)</f>
        <v>616</v>
      </c>
      <c r="J19" s="1292"/>
      <c r="K19" s="924">
        <f>ROUND(638*(1-C77),2)</f>
        <v>638</v>
      </c>
      <c r="L19" s="1243">
        <f>ROUND(590*(1-C77),2)</f>
        <v>590</v>
      </c>
      <c r="M19" s="1245"/>
      <c r="N19" s="923" t="s">
        <v>21</v>
      </c>
      <c r="O19" s="924">
        <f t="shared" si="0"/>
        <v>616</v>
      </c>
      <c r="P19" s="1243">
        <f>ROUND(620*(1-C77),2)</f>
        <v>620</v>
      </c>
      <c r="Q19" s="1245"/>
      <c r="R19" s="1243" t="s">
        <v>21</v>
      </c>
      <c r="S19" s="1245"/>
    </row>
    <row r="20" spans="2:19">
      <c r="B20" s="917" t="s">
        <v>1405</v>
      </c>
      <c r="C20" s="918" t="s">
        <v>178</v>
      </c>
      <c r="D20" s="1301" t="s">
        <v>21</v>
      </c>
      <c r="E20" s="1302"/>
      <c r="F20" s="919" t="s">
        <v>21</v>
      </c>
      <c r="G20" s="918">
        <f>ROUND(1873*(1-C77),2)</f>
        <v>1873</v>
      </c>
      <c r="H20" s="918">
        <f>ROUND(2859*(1-C77),2)</f>
        <v>2859</v>
      </c>
      <c r="I20" s="1264">
        <f>ROUND(2351*(1-C77),2)</f>
        <v>2351</v>
      </c>
      <c r="J20" s="1292"/>
      <c r="K20" s="930">
        <f>ROUND(2427*(1-C77),2)</f>
        <v>2427</v>
      </c>
      <c r="L20" s="1266">
        <f>ROUND(2713*(1-C77),2)</f>
        <v>2713</v>
      </c>
      <c r="M20" s="1245"/>
      <c r="N20" s="918">
        <f>ROUND(1957*(1-C77),2)</f>
        <v>1957</v>
      </c>
      <c r="O20" s="930">
        <f t="shared" si="0"/>
        <v>2351</v>
      </c>
      <c r="P20" s="1266">
        <f>ROUND(2707*(1-C77),2)</f>
        <v>2707</v>
      </c>
      <c r="Q20" s="1245"/>
      <c r="R20" s="1266" t="s">
        <v>21</v>
      </c>
      <c r="S20" s="1245"/>
    </row>
    <row r="21" spans="2:19">
      <c r="B21" s="921" t="s">
        <v>1406</v>
      </c>
      <c r="C21" s="925" t="s">
        <v>178</v>
      </c>
      <c r="D21" s="1297" t="s">
        <v>21</v>
      </c>
      <c r="E21" s="1298"/>
      <c r="F21" s="923" t="s">
        <v>21</v>
      </c>
      <c r="G21" s="923">
        <f>ROUND(1344*(1-C77),2)</f>
        <v>1344</v>
      </c>
      <c r="H21" s="923">
        <f>ROUND(1841*(1-C77),2)</f>
        <v>1841</v>
      </c>
      <c r="I21" s="1299">
        <f>ROUND(1631*(1-C77),2)</f>
        <v>1631</v>
      </c>
      <c r="J21" s="1285"/>
      <c r="K21" s="924">
        <f>ROUND(1678*(1-C77),2)</f>
        <v>1678</v>
      </c>
      <c r="L21" s="1300">
        <f>ROUND(1764*(1-C77),2)</f>
        <v>1764</v>
      </c>
      <c r="M21" s="1255"/>
      <c r="N21" s="923">
        <f>ROUND(1367*(1-C77),2)</f>
        <v>1367</v>
      </c>
      <c r="O21" s="924">
        <f t="shared" si="0"/>
        <v>1631</v>
      </c>
      <c r="P21" s="1300">
        <f>ROUND(1756*(1-C77),2)</f>
        <v>1756</v>
      </c>
      <c r="Q21" s="1255"/>
      <c r="R21" s="1300" t="s">
        <v>21</v>
      </c>
      <c r="S21" s="1255"/>
    </row>
    <row r="22" spans="2:19">
      <c r="B22" s="597" t="s">
        <v>1011</v>
      </c>
      <c r="C22" s="598" t="s">
        <v>223</v>
      </c>
      <c r="D22" s="1268" t="s">
        <v>242</v>
      </c>
      <c r="E22" s="1269"/>
      <c r="F22" s="599">
        <f>ROUND(183*(1-C77),2)</f>
        <v>183</v>
      </c>
      <c r="G22" s="599">
        <f>ROUND(231*(1-C77),2)</f>
        <v>231</v>
      </c>
      <c r="H22" s="599">
        <f>ROUND(252*(1-C77),2)</f>
        <v>252</v>
      </c>
      <c r="I22" s="1270">
        <f>ROUND(286*(1-C77),2)</f>
        <v>286</v>
      </c>
      <c r="J22" s="1284"/>
      <c r="K22" s="931">
        <f>ROUND(302*(1-C77),2)</f>
        <v>302</v>
      </c>
      <c r="L22" s="1246">
        <f>ROUND(349*(1-C77),2)</f>
        <v>349</v>
      </c>
      <c r="M22" s="1248"/>
      <c r="N22" s="600">
        <f>ROUND(242*(1-C77),2)</f>
        <v>242</v>
      </c>
      <c r="O22" s="931">
        <f t="shared" si="0"/>
        <v>286</v>
      </c>
      <c r="P22" s="1246">
        <f>ROUND(379*(1-C77),2)</f>
        <v>379</v>
      </c>
      <c r="Q22" s="1248"/>
      <c r="R22" s="1246" t="s">
        <v>21</v>
      </c>
      <c r="S22" s="1248"/>
    </row>
    <row r="23" spans="2:19">
      <c r="B23" s="921" t="s">
        <v>249</v>
      </c>
      <c r="C23" s="925" t="s">
        <v>223</v>
      </c>
      <c r="D23" s="1273" t="s">
        <v>242</v>
      </c>
      <c r="E23" s="1274"/>
      <c r="F23" s="923">
        <f>ROUND(135*(1-C77),2)</f>
        <v>135</v>
      </c>
      <c r="G23" s="923">
        <f>ROUND(169*(1-C77),2)</f>
        <v>169</v>
      </c>
      <c r="H23" s="923">
        <f>ROUND(185*(1-C77),2)</f>
        <v>185</v>
      </c>
      <c r="I23" s="1275">
        <f>ROUND(209*(1-C77),2)</f>
        <v>209</v>
      </c>
      <c r="J23" s="1276"/>
      <c r="K23" s="924">
        <f>ROUND(222*(1-C77),2)</f>
        <v>222</v>
      </c>
      <c r="L23" s="1277">
        <f>ROUND(254*(1-C77),2)</f>
        <v>254</v>
      </c>
      <c r="M23" s="1278"/>
      <c r="N23" s="923">
        <f>ROUND(177*(1-C77),2)</f>
        <v>177</v>
      </c>
      <c r="O23" s="924">
        <f t="shared" si="0"/>
        <v>209</v>
      </c>
      <c r="P23" s="1277">
        <f>ROUND(275*(1-C77),2)</f>
        <v>275</v>
      </c>
      <c r="Q23" s="1278"/>
      <c r="R23" s="1277" t="s">
        <v>21</v>
      </c>
      <c r="S23" s="1278"/>
    </row>
    <row r="24" spans="2:19">
      <c r="B24" s="932" t="s">
        <v>1012</v>
      </c>
      <c r="C24" s="933" t="s">
        <v>223</v>
      </c>
      <c r="D24" s="1293" t="s">
        <v>242</v>
      </c>
      <c r="E24" s="1294"/>
      <c r="F24" s="934">
        <f>ROUND(225*(1-C77),2)</f>
        <v>225</v>
      </c>
      <c r="G24" s="934">
        <f>ROUND(284*(1-C77),2)</f>
        <v>284</v>
      </c>
      <c r="H24" s="934">
        <f>ROUND(311*(1-C77),2)</f>
        <v>311</v>
      </c>
      <c r="I24" s="1295">
        <f>ROUND(353*(1-C77),2)</f>
        <v>353</v>
      </c>
      <c r="J24" s="1289"/>
      <c r="K24" s="935">
        <f>ROUND(373*(1-C77),2)</f>
        <v>373</v>
      </c>
      <c r="L24" s="1296">
        <f>ROUND(432*(1-C77),2)</f>
        <v>432</v>
      </c>
      <c r="M24" s="1291"/>
      <c r="N24" s="936">
        <f>ROUND(298*(1-C77),2)</f>
        <v>298</v>
      </c>
      <c r="O24" s="935">
        <f t="shared" si="0"/>
        <v>353</v>
      </c>
      <c r="P24" s="1296">
        <f>ROUND(470*(1-C77),2)</f>
        <v>470</v>
      </c>
      <c r="Q24" s="1291"/>
      <c r="R24" s="1296" t="s">
        <v>21</v>
      </c>
      <c r="S24" s="1291"/>
    </row>
    <row r="25" spans="2:19">
      <c r="B25" s="921" t="s">
        <v>250</v>
      </c>
      <c r="C25" s="925" t="s">
        <v>223</v>
      </c>
      <c r="D25" s="1256" t="s">
        <v>242</v>
      </c>
      <c r="E25" s="1257"/>
      <c r="F25" s="923">
        <f>ROUND(225*(1-C77),2)</f>
        <v>225</v>
      </c>
      <c r="G25" s="923">
        <f>ROUND(284*(1-C77),2)</f>
        <v>284</v>
      </c>
      <c r="H25" s="923">
        <f>ROUND(311*(1-C77),2)</f>
        <v>311</v>
      </c>
      <c r="I25" s="1258">
        <f>ROUND(353*(1-C77),2)</f>
        <v>353</v>
      </c>
      <c r="J25" s="1292"/>
      <c r="K25" s="924">
        <f>ROUND(373*(1-C77),2)</f>
        <v>373</v>
      </c>
      <c r="L25" s="1243">
        <f>ROUND(432*(1-C77),2)</f>
        <v>432</v>
      </c>
      <c r="M25" s="1245"/>
      <c r="N25" s="923">
        <f>ROUND(298*(1-C77),2)</f>
        <v>298</v>
      </c>
      <c r="O25" s="924">
        <f t="shared" si="0"/>
        <v>353</v>
      </c>
      <c r="P25" s="1243">
        <f>ROUND(470*(1-C77),2)</f>
        <v>470</v>
      </c>
      <c r="Q25" s="1245"/>
      <c r="R25" s="1243" t="s">
        <v>21</v>
      </c>
      <c r="S25" s="1245"/>
    </row>
    <row r="26" spans="2:19">
      <c r="B26" s="937" t="s">
        <v>251</v>
      </c>
      <c r="C26" s="938" t="s">
        <v>223</v>
      </c>
      <c r="D26" s="1249" t="s">
        <v>242</v>
      </c>
      <c r="E26" s="1250"/>
      <c r="F26" s="939">
        <f>ROUND(433*(1-C77),2)</f>
        <v>433</v>
      </c>
      <c r="G26" s="939">
        <f>ROUND(552*(1-C77),2)</f>
        <v>552</v>
      </c>
      <c r="H26" s="939">
        <f>ROUND(607*(1-C77),2)</f>
        <v>607</v>
      </c>
      <c r="I26" s="1251">
        <f>ROUND(689*(1-C77),2)</f>
        <v>689</v>
      </c>
      <c r="J26" s="1285"/>
      <c r="K26" s="940">
        <f>ROUND(727*(1-C77),2)</f>
        <v>727</v>
      </c>
      <c r="L26" s="1253">
        <f>ROUND(849*(1-C77),2)</f>
        <v>849</v>
      </c>
      <c r="M26" s="1255"/>
      <c r="N26" s="941">
        <f>ROUND(581*(1-C77),2)</f>
        <v>581</v>
      </c>
      <c r="O26" s="940">
        <f t="shared" si="0"/>
        <v>689</v>
      </c>
      <c r="P26" s="1253">
        <f>ROUND(923*(1-C77),2)</f>
        <v>923</v>
      </c>
      <c r="Q26" s="1255"/>
      <c r="R26" s="1253" t="s">
        <v>21</v>
      </c>
      <c r="S26" s="1255"/>
    </row>
    <row r="27" spans="2:19">
      <c r="B27" s="921" t="s">
        <v>252</v>
      </c>
      <c r="C27" s="925" t="s">
        <v>223</v>
      </c>
      <c r="D27" s="1286" t="s">
        <v>242</v>
      </c>
      <c r="E27" s="1287"/>
      <c r="F27" s="923">
        <f>ROUND(294*(1-C77),2)</f>
        <v>294</v>
      </c>
      <c r="G27" s="923">
        <f>ROUND(374*(1-C77),2)</f>
        <v>374</v>
      </c>
      <c r="H27" s="923">
        <f>ROUND(410*(1-C77),2)</f>
        <v>410</v>
      </c>
      <c r="I27" s="1288">
        <f>ROUND(465*(1-C77),2)</f>
        <v>465</v>
      </c>
      <c r="J27" s="1289"/>
      <c r="K27" s="924">
        <f>ROUND(491*(1-C77),2)</f>
        <v>491</v>
      </c>
      <c r="L27" s="1290">
        <f>ROUND(571*(1-C77),2)</f>
        <v>571</v>
      </c>
      <c r="M27" s="1291"/>
      <c r="N27" s="923">
        <f>ROUND(392*(1-C77),2)</f>
        <v>392</v>
      </c>
      <c r="O27" s="924">
        <f t="shared" si="0"/>
        <v>465</v>
      </c>
      <c r="P27" s="1290">
        <f>ROUND(621*(1-C77),2)</f>
        <v>621</v>
      </c>
      <c r="Q27" s="1291"/>
      <c r="R27" s="1290" t="s">
        <v>21</v>
      </c>
      <c r="S27" s="1291"/>
    </row>
    <row r="28" spans="2:19">
      <c r="B28" s="937" t="s">
        <v>253</v>
      </c>
      <c r="C28" s="938" t="s">
        <v>223</v>
      </c>
      <c r="D28" s="1249" t="s">
        <v>242</v>
      </c>
      <c r="E28" s="1250"/>
      <c r="F28" s="939">
        <f>ROUND(294*(1-C77),2)</f>
        <v>294</v>
      </c>
      <c r="G28" s="939">
        <f>ROUND(374*(1-C77),2)</f>
        <v>374</v>
      </c>
      <c r="H28" s="939">
        <f>ROUND(410*(1-C77),2)</f>
        <v>410</v>
      </c>
      <c r="I28" s="1251">
        <f>ROUND(465*(1-C77),2)</f>
        <v>465</v>
      </c>
      <c r="J28" s="1285"/>
      <c r="K28" s="940">
        <f>ROUND(491*(1-C77),2)</f>
        <v>491</v>
      </c>
      <c r="L28" s="1253">
        <f>ROUND(571*(1-C77),2)</f>
        <v>571</v>
      </c>
      <c r="M28" s="1255"/>
      <c r="N28" s="941">
        <f>ROUND(392*(1-C77),2)</f>
        <v>392</v>
      </c>
      <c r="O28" s="940">
        <f t="shared" si="0"/>
        <v>465</v>
      </c>
      <c r="P28" s="1253">
        <f>ROUND(621*(1-C77),2)</f>
        <v>621</v>
      </c>
      <c r="Q28" s="1255"/>
      <c r="R28" s="1253" t="s">
        <v>21</v>
      </c>
      <c r="S28" s="1255"/>
    </row>
    <row r="29" spans="2:19">
      <c r="B29" s="921" t="s">
        <v>254</v>
      </c>
      <c r="C29" s="925" t="s">
        <v>223</v>
      </c>
      <c r="D29" s="1286" t="s">
        <v>242</v>
      </c>
      <c r="E29" s="1287"/>
      <c r="F29" s="923">
        <f>ROUND(225*(1-C77),2)</f>
        <v>225</v>
      </c>
      <c r="G29" s="923">
        <f>ROUND(284*(1-C77),2)</f>
        <v>284</v>
      </c>
      <c r="H29" s="923">
        <f>ROUND(311*(1-C77),2)</f>
        <v>311</v>
      </c>
      <c r="I29" s="1288">
        <f>ROUND(353*(1-C77),2)</f>
        <v>353</v>
      </c>
      <c r="J29" s="1289"/>
      <c r="K29" s="924">
        <f>ROUND(373*(1-C77),2)</f>
        <v>373</v>
      </c>
      <c r="L29" s="1290">
        <f>ROUND(432*(1-C77),2)</f>
        <v>432</v>
      </c>
      <c r="M29" s="1291"/>
      <c r="N29" s="923">
        <f>ROUND(298*(1-C77),2)</f>
        <v>298</v>
      </c>
      <c r="O29" s="924">
        <f t="shared" si="0"/>
        <v>353</v>
      </c>
      <c r="P29" s="1290">
        <f>ROUND(470*(1-C77),2)</f>
        <v>470</v>
      </c>
      <c r="Q29" s="1291"/>
      <c r="R29" s="1290" t="s">
        <v>21</v>
      </c>
      <c r="S29" s="1291"/>
    </row>
    <row r="30" spans="2:19">
      <c r="B30" s="942" t="s">
        <v>255</v>
      </c>
      <c r="C30" s="938" t="s">
        <v>223</v>
      </c>
      <c r="D30" s="1249" t="s">
        <v>242</v>
      </c>
      <c r="E30" s="1250"/>
      <c r="F30" s="939">
        <f>ROUND(86*(1-C77),2)</f>
        <v>86</v>
      </c>
      <c r="G30" s="939">
        <f>ROUND(106*(1-C77),2)</f>
        <v>106</v>
      </c>
      <c r="H30" s="939">
        <f>ROUND(115*(1-C77),2)</f>
        <v>115</v>
      </c>
      <c r="I30" s="1251">
        <f>ROUND(130*(1-C77),2)</f>
        <v>130</v>
      </c>
      <c r="J30" s="1285"/>
      <c r="K30" s="940">
        <f>ROUND(136*(1-C77),2)</f>
        <v>136</v>
      </c>
      <c r="L30" s="1253">
        <f>ROUND(155*(1-C77),2)</f>
        <v>155</v>
      </c>
      <c r="M30" s="1255"/>
      <c r="N30" s="941">
        <f>ROUND(110*(1-C77),2)</f>
        <v>110</v>
      </c>
      <c r="O30" s="940">
        <f t="shared" si="0"/>
        <v>130</v>
      </c>
      <c r="P30" s="1253">
        <f>ROUND(167*(1-C77),2)</f>
        <v>167</v>
      </c>
      <c r="Q30" s="1255"/>
      <c r="R30" s="1253" t="s">
        <v>21</v>
      </c>
      <c r="S30" s="1255"/>
    </row>
    <row r="31" spans="2:19">
      <c r="B31" s="921" t="s">
        <v>256</v>
      </c>
      <c r="C31" s="925" t="s">
        <v>223</v>
      </c>
      <c r="D31" s="1273" t="s">
        <v>242</v>
      </c>
      <c r="E31" s="1274"/>
      <c r="F31" s="923">
        <f>ROUND(120*(1-C77),2)</f>
        <v>120</v>
      </c>
      <c r="G31" s="923">
        <f>ROUND(150*(1-C77),2)</f>
        <v>150</v>
      </c>
      <c r="H31" s="923">
        <f>ROUND(164*(1-C77),2)</f>
        <v>164</v>
      </c>
      <c r="I31" s="1275">
        <f>ROUND(186*(1-C77),2)</f>
        <v>186</v>
      </c>
      <c r="J31" s="1284"/>
      <c r="K31" s="924">
        <f>ROUND(195*(1-C77),2)</f>
        <v>195</v>
      </c>
      <c r="L31" s="1277">
        <f>ROUND(224*(1-C77),2)</f>
        <v>224</v>
      </c>
      <c r="M31" s="1248"/>
      <c r="N31" s="923">
        <f>ROUND(157*(1-C77),2)</f>
        <v>157</v>
      </c>
      <c r="O31" s="924">
        <f t="shared" si="0"/>
        <v>186</v>
      </c>
      <c r="P31" s="1277">
        <f>ROUND(243*(1-C77),2)</f>
        <v>243</v>
      </c>
      <c r="Q31" s="1248"/>
      <c r="R31" s="1277" t="s">
        <v>21</v>
      </c>
      <c r="S31" s="1248"/>
    </row>
    <row r="32" spans="2:19">
      <c r="B32" s="597" t="s">
        <v>257</v>
      </c>
      <c r="C32" s="598" t="s">
        <v>223</v>
      </c>
      <c r="D32" s="1268" t="s">
        <v>242</v>
      </c>
      <c r="E32" s="1269"/>
      <c r="F32" s="599">
        <f>ROUND(100*(1-C77),2)</f>
        <v>100</v>
      </c>
      <c r="G32" s="599">
        <f>ROUND(123*(1-C77),2)</f>
        <v>123</v>
      </c>
      <c r="H32" s="599">
        <f>ROUND(134*(1-C77),2)</f>
        <v>134</v>
      </c>
      <c r="I32" s="1270">
        <f>ROUND(151*(1-C77),2)</f>
        <v>151</v>
      </c>
      <c r="J32" s="1284"/>
      <c r="K32" s="931">
        <f>ROUND(160*(1-C77),2)</f>
        <v>160</v>
      </c>
      <c r="L32" s="1246">
        <f>ROUND(183*(1-C77),2)</f>
        <v>183</v>
      </c>
      <c r="M32" s="1248"/>
      <c r="N32" s="600">
        <f>ROUND(129*(1-C77),2)</f>
        <v>129</v>
      </c>
      <c r="O32" s="931">
        <f t="shared" si="0"/>
        <v>151</v>
      </c>
      <c r="P32" s="1246">
        <f>ROUND(197*(1-C77),2)</f>
        <v>197</v>
      </c>
      <c r="Q32" s="1248"/>
      <c r="R32" s="1246" t="s">
        <v>21</v>
      </c>
      <c r="S32" s="1248"/>
    </row>
    <row r="33" spans="2:19">
      <c r="B33" s="921" t="s">
        <v>258</v>
      </c>
      <c r="C33" s="925" t="s">
        <v>223</v>
      </c>
      <c r="D33" s="1273" t="s">
        <v>242</v>
      </c>
      <c r="E33" s="1274"/>
      <c r="F33" s="943">
        <f>ROUND(183*(1-C77),2)</f>
        <v>183</v>
      </c>
      <c r="G33" s="943">
        <f>ROUND(231*(1-C77),2)</f>
        <v>231</v>
      </c>
      <c r="H33" s="943">
        <f>ROUND(252*(1-C77),2)</f>
        <v>252</v>
      </c>
      <c r="I33" s="1275">
        <f>ROUND(286*(1-C77),2)</f>
        <v>286</v>
      </c>
      <c r="J33" s="1284"/>
      <c r="K33" s="944">
        <f>ROUND(302*(1-C77),2)</f>
        <v>302</v>
      </c>
      <c r="L33" s="1277">
        <f>ROUND(349*(1-C77),2)</f>
        <v>349</v>
      </c>
      <c r="M33" s="1248"/>
      <c r="N33" s="943">
        <f>ROUND(242*(1-C77),2)</f>
        <v>242</v>
      </c>
      <c r="O33" s="944">
        <f t="shared" si="0"/>
        <v>286</v>
      </c>
      <c r="P33" s="1277">
        <f>ROUND(379*(1-C77),2)</f>
        <v>379</v>
      </c>
      <c r="Q33" s="1248"/>
      <c r="R33" s="1277" t="s">
        <v>21</v>
      </c>
      <c r="S33" s="1248"/>
    </row>
    <row r="34" spans="2:19">
      <c r="B34" s="945" t="s">
        <v>1652</v>
      </c>
      <c r="C34" s="598" t="s">
        <v>223</v>
      </c>
      <c r="D34" s="1268" t="s">
        <v>242</v>
      </c>
      <c r="E34" s="1269"/>
      <c r="F34" s="599">
        <f>ROUND(120*(1-C77),2)</f>
        <v>120</v>
      </c>
      <c r="G34" s="599">
        <f>ROUND(150*(1-C77),2)</f>
        <v>150</v>
      </c>
      <c r="H34" s="599">
        <f>ROUND(164*(1-C77),2)</f>
        <v>164</v>
      </c>
      <c r="I34" s="1270">
        <f>ROUND(186*(1-C77),2)</f>
        <v>186</v>
      </c>
      <c r="J34" s="1284"/>
      <c r="K34" s="931">
        <f>ROUND(195*(1-C77),2)</f>
        <v>195</v>
      </c>
      <c r="L34" s="1246">
        <f>ROUND(224*(1-C77),2)</f>
        <v>224</v>
      </c>
      <c r="M34" s="1248"/>
      <c r="N34" s="600">
        <f>ROUND(157*(1-C77),2)</f>
        <v>157</v>
      </c>
      <c r="O34" s="931">
        <f t="shared" si="0"/>
        <v>186</v>
      </c>
      <c r="P34" s="1246">
        <f>ROUND(243*(1-C77),2)</f>
        <v>243</v>
      </c>
      <c r="Q34" s="1248"/>
      <c r="R34" s="1246" t="s">
        <v>21</v>
      </c>
      <c r="S34" s="1248"/>
    </row>
    <row r="35" spans="2:19">
      <c r="B35" s="1260" t="s">
        <v>259</v>
      </c>
      <c r="C35" s="1261"/>
      <c r="D35" s="1261"/>
      <c r="E35" s="1261"/>
      <c r="F35" s="1261"/>
      <c r="G35" s="1261"/>
      <c r="H35" s="1261"/>
      <c r="I35" s="1261"/>
      <c r="J35" s="1261"/>
      <c r="K35" s="1261"/>
      <c r="L35" s="1261"/>
      <c r="M35" s="1261"/>
      <c r="N35" s="1261"/>
      <c r="O35" s="1261"/>
      <c r="P35" s="1261"/>
      <c r="Q35" s="1261"/>
      <c r="R35" s="1261"/>
      <c r="S35" s="1261"/>
    </row>
    <row r="36" spans="2:19">
      <c r="B36" s="946" t="s">
        <v>1653</v>
      </c>
      <c r="C36" s="947" t="s">
        <v>223</v>
      </c>
      <c r="D36" s="1249" t="s">
        <v>397</v>
      </c>
      <c r="E36" s="1250"/>
      <c r="F36" s="948" t="s">
        <v>21</v>
      </c>
      <c r="G36" s="948">
        <f>ROUND(150*(1-C77),2)</f>
        <v>150</v>
      </c>
      <c r="H36" s="949" t="s">
        <v>21</v>
      </c>
      <c r="I36" s="1251" t="s">
        <v>21</v>
      </c>
      <c r="J36" s="1252"/>
      <c r="K36" s="950" t="s">
        <v>21</v>
      </c>
      <c r="L36" s="1253" t="s">
        <v>21</v>
      </c>
      <c r="M36" s="1254"/>
      <c r="N36" s="948" t="s">
        <v>21</v>
      </c>
      <c r="O36" s="950" t="s">
        <v>21</v>
      </c>
      <c r="P36" s="1253" t="s">
        <v>21</v>
      </c>
      <c r="Q36" s="1254"/>
      <c r="R36" s="1253" t="s">
        <v>21</v>
      </c>
      <c r="S36" s="1255"/>
    </row>
    <row r="37" spans="2:19">
      <c r="B37" s="921" t="s">
        <v>1040</v>
      </c>
      <c r="C37" s="925" t="s">
        <v>223</v>
      </c>
      <c r="D37" s="1273" t="s">
        <v>242</v>
      </c>
      <c r="E37" s="1274"/>
      <c r="F37" s="923">
        <f>ROUND(225*(1-C77),2)</f>
        <v>225</v>
      </c>
      <c r="G37" s="923">
        <f>ROUND(284*(1-C77),2)</f>
        <v>284</v>
      </c>
      <c r="H37" s="923">
        <f>ROUND(311*(1-C77),2)</f>
        <v>311</v>
      </c>
      <c r="I37" s="1275">
        <f>ROUND(353*(1-C77),2)</f>
        <v>353</v>
      </c>
      <c r="J37" s="1276"/>
      <c r="K37" s="951">
        <f>ROUND(373*(1-C77),2)</f>
        <v>373</v>
      </c>
      <c r="L37" s="1277">
        <f>ROUND(432*(1-C77),2)</f>
        <v>432</v>
      </c>
      <c r="M37" s="1278"/>
      <c r="N37" s="923">
        <f>ROUND(298*(1-C77),2)</f>
        <v>298</v>
      </c>
      <c r="O37" s="951">
        <f>I37</f>
        <v>353</v>
      </c>
      <c r="P37" s="1277">
        <f>ROUND(470*(1-C77),2)</f>
        <v>470</v>
      </c>
      <c r="Q37" s="1278"/>
      <c r="R37" s="1277" t="s">
        <v>21</v>
      </c>
      <c r="S37" s="1278"/>
    </row>
    <row r="38" spans="2:19">
      <c r="B38" s="597" t="s">
        <v>398</v>
      </c>
      <c r="C38" s="598" t="s">
        <v>223</v>
      </c>
      <c r="D38" s="1268" t="s">
        <v>242</v>
      </c>
      <c r="E38" s="1269"/>
      <c r="F38" s="599">
        <f>ROUND(155*(1-C77),2)</f>
        <v>155</v>
      </c>
      <c r="G38" s="599">
        <f>ROUND(195*(1-C77),2)</f>
        <v>195</v>
      </c>
      <c r="H38" s="599">
        <f>ROUND(213*(1-C77),2)</f>
        <v>213</v>
      </c>
      <c r="I38" s="1270">
        <f>ROUND(241*(1-C77),2)</f>
        <v>241</v>
      </c>
      <c r="J38" s="1271"/>
      <c r="K38" s="952">
        <f>ROUND(254*(1-C77),2)</f>
        <v>254</v>
      </c>
      <c r="L38" s="1246">
        <f>ROUND(294*(1-C77),2)</f>
        <v>294</v>
      </c>
      <c r="M38" s="1247"/>
      <c r="N38" s="601">
        <f>ROUND(204*(1-C77),2)</f>
        <v>204</v>
      </c>
      <c r="O38" s="952">
        <f t="shared" ref="O38:O45" si="1">I38</f>
        <v>241</v>
      </c>
      <c r="P38" s="1246">
        <f>ROUND(318*(1-C77),2)</f>
        <v>318</v>
      </c>
      <c r="Q38" s="1247"/>
      <c r="R38" s="1246" t="s">
        <v>21</v>
      </c>
      <c r="S38" s="1248"/>
    </row>
    <row r="39" spans="2:19">
      <c r="B39" s="921" t="s">
        <v>373</v>
      </c>
      <c r="C39" s="925" t="s">
        <v>223</v>
      </c>
      <c r="D39" s="1273" t="s">
        <v>242</v>
      </c>
      <c r="E39" s="1274"/>
      <c r="F39" s="923">
        <f>ROUND(183*(1-C77),2)</f>
        <v>183</v>
      </c>
      <c r="G39" s="923">
        <f>ROUND(231*(1-C77),2)</f>
        <v>231</v>
      </c>
      <c r="H39" s="923">
        <f>ROUND(252*(1-C77),2)</f>
        <v>252</v>
      </c>
      <c r="I39" s="1275">
        <f>ROUND(286*(1-C77),2)</f>
        <v>286</v>
      </c>
      <c r="J39" s="1276"/>
      <c r="K39" s="951">
        <f>ROUND(302*(1-C77),2)</f>
        <v>302</v>
      </c>
      <c r="L39" s="1277">
        <f>ROUND(349*(1-C77),2)</f>
        <v>349</v>
      </c>
      <c r="M39" s="1278"/>
      <c r="N39" s="923">
        <f>ROUND(242*(1-C77),2)</f>
        <v>242</v>
      </c>
      <c r="O39" s="951">
        <f t="shared" si="1"/>
        <v>286</v>
      </c>
      <c r="P39" s="1277">
        <f>ROUND(379*(1-C77),2)</f>
        <v>379</v>
      </c>
      <c r="Q39" s="1278"/>
      <c r="R39" s="1277" t="s">
        <v>21</v>
      </c>
      <c r="S39" s="1248"/>
    </row>
    <row r="40" spans="2:19">
      <c r="B40" s="597" t="s">
        <v>1654</v>
      </c>
      <c r="C40" s="598" t="s">
        <v>223</v>
      </c>
      <c r="D40" s="1268" t="s">
        <v>242</v>
      </c>
      <c r="E40" s="1269"/>
      <c r="F40" s="599">
        <f>ROUND(183*(1-C77),2)</f>
        <v>183</v>
      </c>
      <c r="G40" s="599">
        <f>ROUND(231*(1-C77),2)</f>
        <v>231</v>
      </c>
      <c r="H40" s="599">
        <f>ROUND(252*(1-C77),2)</f>
        <v>252</v>
      </c>
      <c r="I40" s="1270">
        <f>ROUND(286*(1-C77),2)</f>
        <v>286</v>
      </c>
      <c r="J40" s="1271"/>
      <c r="K40" s="952">
        <f>ROUND(302*(1-C77),2)</f>
        <v>302</v>
      </c>
      <c r="L40" s="1246">
        <f>ROUND(349*(1-C77),2)</f>
        <v>349</v>
      </c>
      <c r="M40" s="1247"/>
      <c r="N40" s="601">
        <f>ROUND(242*(1-C77),2)</f>
        <v>242</v>
      </c>
      <c r="O40" s="952">
        <f t="shared" si="1"/>
        <v>286</v>
      </c>
      <c r="P40" s="1246">
        <f>ROUND(379*(1-C77),2)</f>
        <v>379</v>
      </c>
      <c r="Q40" s="1247"/>
      <c r="R40" s="1246" t="s">
        <v>21</v>
      </c>
      <c r="S40" s="1248"/>
    </row>
    <row r="41" spans="2:19">
      <c r="B41" s="921" t="s">
        <v>1655</v>
      </c>
      <c r="C41" s="925" t="s">
        <v>223</v>
      </c>
      <c r="D41" s="1273" t="s">
        <v>242</v>
      </c>
      <c r="E41" s="1274"/>
      <c r="F41" s="923">
        <f>ROUND(80*(1-C77),2)</f>
        <v>80</v>
      </c>
      <c r="G41" s="923">
        <f>ROUND(99*(1-C77),2)</f>
        <v>99</v>
      </c>
      <c r="H41" s="923">
        <f>ROUND(107*(1-C77),2)</f>
        <v>107</v>
      </c>
      <c r="I41" s="1275">
        <f>ROUND(121*(1-C77),2)</f>
        <v>121</v>
      </c>
      <c r="J41" s="1276"/>
      <c r="K41" s="951">
        <f>ROUND(127*(1-C77),2)</f>
        <v>127</v>
      </c>
      <c r="L41" s="1277">
        <f>ROUND(144*(1-C77),2)</f>
        <v>144</v>
      </c>
      <c r="M41" s="1278"/>
      <c r="N41" s="923">
        <f>ROUND(103*(1-C77),2)</f>
        <v>103</v>
      </c>
      <c r="O41" s="951">
        <f t="shared" si="1"/>
        <v>121</v>
      </c>
      <c r="P41" s="1277">
        <f>ROUND(156*(1-C77),2)</f>
        <v>156</v>
      </c>
      <c r="Q41" s="1278"/>
      <c r="R41" s="1277" t="s">
        <v>21</v>
      </c>
      <c r="S41" s="1248"/>
    </row>
    <row r="42" spans="2:19">
      <c r="B42" s="945" t="s">
        <v>1656</v>
      </c>
      <c r="C42" s="953" t="s">
        <v>223</v>
      </c>
      <c r="D42" s="1268" t="s">
        <v>242</v>
      </c>
      <c r="E42" s="1269"/>
      <c r="F42" s="954">
        <f>ROUND(183*(1-C77),2)</f>
        <v>183</v>
      </c>
      <c r="G42" s="954">
        <f>ROUND(231*(1-C77),2)</f>
        <v>231</v>
      </c>
      <c r="H42" s="954">
        <f>ROUND(252*(1-C77),2)</f>
        <v>252</v>
      </c>
      <c r="I42" s="1270">
        <f>ROUND(286*(1-C77),2)</f>
        <v>286</v>
      </c>
      <c r="J42" s="1271"/>
      <c r="K42" s="952">
        <f>ROUND(302*(1-C77),2)</f>
        <v>302</v>
      </c>
      <c r="L42" s="1246">
        <f>ROUND(349*(1-C77),2)</f>
        <v>349</v>
      </c>
      <c r="M42" s="1247"/>
      <c r="N42" s="955">
        <f>ROUND(242*(1-C77),2)</f>
        <v>242</v>
      </c>
      <c r="O42" s="952">
        <f t="shared" si="1"/>
        <v>286</v>
      </c>
      <c r="P42" s="1246">
        <f>ROUND(379*(1-C77),2)</f>
        <v>379</v>
      </c>
      <c r="Q42" s="1247"/>
      <c r="R42" s="1246" t="s">
        <v>21</v>
      </c>
      <c r="S42" s="1248"/>
    </row>
    <row r="43" spans="2:19">
      <c r="B43" s="602" t="s">
        <v>1657</v>
      </c>
      <c r="C43" s="603" t="s">
        <v>223</v>
      </c>
      <c r="D43" s="1273" t="s">
        <v>242</v>
      </c>
      <c r="E43" s="1274"/>
      <c r="F43" s="604">
        <f>ROUND(294*(1-C77),2)</f>
        <v>294</v>
      </c>
      <c r="G43" s="604">
        <f>ROUND(374*(1-C77),2)</f>
        <v>374</v>
      </c>
      <c r="H43" s="604">
        <f>ROUND(410*(1-C77),2)</f>
        <v>410</v>
      </c>
      <c r="I43" s="1275">
        <f>ROUND(465*(1-C77),2)</f>
        <v>465</v>
      </c>
      <c r="J43" s="1276"/>
      <c r="K43" s="951">
        <f>ROUND(491*(1-C77),2)</f>
        <v>491</v>
      </c>
      <c r="L43" s="1277">
        <f>ROUND(571*(1-C77),2)</f>
        <v>571</v>
      </c>
      <c r="M43" s="1278"/>
      <c r="N43" s="604">
        <f>ROUND(392*(1-C77),2)</f>
        <v>392</v>
      </c>
      <c r="O43" s="951">
        <f t="shared" si="1"/>
        <v>465</v>
      </c>
      <c r="P43" s="1277">
        <f>ROUND(621*(1-C77),2)</f>
        <v>621</v>
      </c>
      <c r="Q43" s="1278"/>
      <c r="R43" s="1277" t="s">
        <v>21</v>
      </c>
      <c r="S43" s="1248"/>
    </row>
    <row r="44" spans="2:19">
      <c r="B44" s="946" t="s">
        <v>1658</v>
      </c>
      <c r="C44" s="947" t="s">
        <v>223</v>
      </c>
      <c r="D44" s="1268" t="s">
        <v>242</v>
      </c>
      <c r="E44" s="1269"/>
      <c r="F44" s="948">
        <f>ROUND(294*(1-C77),2)</f>
        <v>294</v>
      </c>
      <c r="G44" s="948">
        <f>ROUND(374*(1-C77),2)</f>
        <v>374</v>
      </c>
      <c r="H44" s="948">
        <f>ROUND(410*(1-C77),2)</f>
        <v>410</v>
      </c>
      <c r="I44" s="1270">
        <f>ROUND(465*(1-C77),2)</f>
        <v>465</v>
      </c>
      <c r="J44" s="1271"/>
      <c r="K44" s="952">
        <f>ROUND(491*(1-C77),2)</f>
        <v>491</v>
      </c>
      <c r="L44" s="1246">
        <f>ROUND(571*(1-C77),2)</f>
        <v>571</v>
      </c>
      <c r="M44" s="1247"/>
      <c r="N44" s="956">
        <f>ROUND(392*(1-C77),2)</f>
        <v>392</v>
      </c>
      <c r="O44" s="952">
        <f t="shared" si="1"/>
        <v>465</v>
      </c>
      <c r="P44" s="1246">
        <f>ROUND(621*(1-C77),2)</f>
        <v>621</v>
      </c>
      <c r="Q44" s="1247"/>
      <c r="R44" s="1246" t="s">
        <v>21</v>
      </c>
      <c r="S44" s="1248"/>
    </row>
    <row r="45" spans="2:19">
      <c r="B45" s="921" t="s">
        <v>1659</v>
      </c>
      <c r="C45" s="925" t="s">
        <v>223</v>
      </c>
      <c r="D45" s="1273" t="s">
        <v>242</v>
      </c>
      <c r="E45" s="1274"/>
      <c r="F45" s="923">
        <f>ROUND(183*(1-C77),2)</f>
        <v>183</v>
      </c>
      <c r="G45" s="923">
        <f>ROUND(231*(1-C77),2)</f>
        <v>231</v>
      </c>
      <c r="H45" s="923">
        <f>ROUND(252*(1-C77),2)</f>
        <v>252</v>
      </c>
      <c r="I45" s="1275">
        <f>ROUND(286*(1-C77),2)</f>
        <v>286</v>
      </c>
      <c r="J45" s="1276"/>
      <c r="K45" s="951">
        <f>ROUND(302*(1-C77),2)</f>
        <v>302</v>
      </c>
      <c r="L45" s="1277">
        <f>ROUND(349*(1-C77),2)</f>
        <v>349</v>
      </c>
      <c r="M45" s="1278"/>
      <c r="N45" s="923">
        <f>ROUND(242*(1-C77),2)</f>
        <v>242</v>
      </c>
      <c r="O45" s="951">
        <f t="shared" si="1"/>
        <v>286</v>
      </c>
      <c r="P45" s="1277">
        <f>ROUND(379*(1-C77),2)</f>
        <v>379</v>
      </c>
      <c r="Q45" s="1278"/>
      <c r="R45" s="1277" t="s">
        <v>21</v>
      </c>
      <c r="S45" s="1248"/>
    </row>
    <row r="46" spans="2:19">
      <c r="B46" s="1281" t="s">
        <v>375</v>
      </c>
      <c r="C46" s="1282"/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  <c r="O46" s="1282"/>
      <c r="P46" s="1282"/>
      <c r="Q46" s="1282"/>
      <c r="R46" s="1282"/>
      <c r="S46" s="1283"/>
    </row>
    <row r="47" spans="2:19">
      <c r="B47" s="597" t="s">
        <v>260</v>
      </c>
      <c r="C47" s="598" t="s">
        <v>223</v>
      </c>
      <c r="D47" s="1268" t="s">
        <v>242</v>
      </c>
      <c r="E47" s="1269"/>
      <c r="F47" s="599">
        <f>ROUND(155*(1-C77),2)</f>
        <v>155</v>
      </c>
      <c r="G47" s="599">
        <f>ROUND(195*(1-C77),2)</f>
        <v>195</v>
      </c>
      <c r="H47" s="599">
        <f>ROUND(213*(1-C77),2)</f>
        <v>213</v>
      </c>
      <c r="I47" s="1270">
        <f>ROUND(241*(1-C77),2)</f>
        <v>241</v>
      </c>
      <c r="J47" s="1271"/>
      <c r="K47" s="931">
        <f>ROUND(254*(1-C77),2)</f>
        <v>254</v>
      </c>
      <c r="L47" s="1246">
        <f>ROUND(294*(1-C77),2)</f>
        <v>294</v>
      </c>
      <c r="M47" s="1247"/>
      <c r="N47" s="956">
        <f>ROUND(204*(1-C77),2)</f>
        <v>204</v>
      </c>
      <c r="O47" s="931">
        <f>I47</f>
        <v>241</v>
      </c>
      <c r="P47" s="1246">
        <f>ROUND(318*(1-C77),2)</f>
        <v>318</v>
      </c>
      <c r="Q47" s="1247"/>
      <c r="R47" s="1272" t="s">
        <v>21</v>
      </c>
      <c r="S47" s="1272"/>
    </row>
    <row r="48" spans="2:19">
      <c r="B48" s="912" t="s">
        <v>261</v>
      </c>
      <c r="C48" s="957" t="s">
        <v>223</v>
      </c>
      <c r="D48" s="1273" t="s">
        <v>242</v>
      </c>
      <c r="E48" s="1274"/>
      <c r="F48" s="914">
        <f>ROUND(183*(1-C77),2)</f>
        <v>183</v>
      </c>
      <c r="G48" s="914">
        <f>ROUND(231*(1-C77),2)</f>
        <v>231</v>
      </c>
      <c r="H48" s="914">
        <f>ROUND(252*(1-C77),2)</f>
        <v>252</v>
      </c>
      <c r="I48" s="1275">
        <f>ROUND(286*(1-C77),2)</f>
        <v>286</v>
      </c>
      <c r="J48" s="1276"/>
      <c r="K48" s="958">
        <f>ROUND(302*(1-C77),2)</f>
        <v>302</v>
      </c>
      <c r="L48" s="1277">
        <f>ROUND(349*(1-C77),2)</f>
        <v>349</v>
      </c>
      <c r="M48" s="1278"/>
      <c r="N48" s="923">
        <f>ROUND(242*(1-C77),2)</f>
        <v>242</v>
      </c>
      <c r="O48" s="958">
        <f>I48</f>
        <v>286</v>
      </c>
      <c r="P48" s="1277">
        <f>ROUND(379*(1-C77),2)</f>
        <v>379</v>
      </c>
      <c r="Q48" s="1278"/>
      <c r="R48" s="1279" t="s">
        <v>21</v>
      </c>
      <c r="S48" s="1280"/>
    </row>
    <row r="49" spans="2:19">
      <c r="B49" s="597" t="s">
        <v>262</v>
      </c>
      <c r="C49" s="598" t="s">
        <v>223</v>
      </c>
      <c r="D49" s="1268" t="s">
        <v>242</v>
      </c>
      <c r="E49" s="1269"/>
      <c r="F49" s="599">
        <f>ROUND(225*(1-C77),2)</f>
        <v>225</v>
      </c>
      <c r="G49" s="599">
        <f>ROUND(284*(1-C77),2)</f>
        <v>284</v>
      </c>
      <c r="H49" s="599">
        <f>ROUND(311*(1-C77),2)</f>
        <v>311</v>
      </c>
      <c r="I49" s="1270">
        <f>ROUND(353*(1-C77),2)</f>
        <v>353</v>
      </c>
      <c r="J49" s="1271"/>
      <c r="K49" s="931">
        <f>ROUND(373*(1-C77),2)</f>
        <v>373</v>
      </c>
      <c r="L49" s="1246">
        <f>ROUND(432*(1-C77),2)</f>
        <v>432</v>
      </c>
      <c r="M49" s="1247"/>
      <c r="N49" s="601">
        <f>ROUND(298*(1-C77),2)</f>
        <v>298</v>
      </c>
      <c r="O49" s="931">
        <f>I49</f>
        <v>353</v>
      </c>
      <c r="P49" s="1246">
        <f>ROUND(470*(1-C77),2)</f>
        <v>470</v>
      </c>
      <c r="Q49" s="1247"/>
      <c r="R49" s="1246" t="s">
        <v>21</v>
      </c>
      <c r="S49" s="1247"/>
    </row>
    <row r="50" spans="2:19">
      <c r="B50" s="921" t="s">
        <v>263</v>
      </c>
      <c r="C50" s="925" t="s">
        <v>223</v>
      </c>
      <c r="D50" s="1273" t="s">
        <v>242</v>
      </c>
      <c r="E50" s="1274"/>
      <c r="F50" s="923">
        <f>ROUND(135*(1-C77),2)</f>
        <v>135</v>
      </c>
      <c r="G50" s="923">
        <f>ROUND(169*(1-C77),2)</f>
        <v>169</v>
      </c>
      <c r="H50" s="923">
        <f>ROUND(185*(1-C77),2)</f>
        <v>185</v>
      </c>
      <c r="I50" s="1275">
        <f>ROUND(209*(1-C77),2)</f>
        <v>209</v>
      </c>
      <c r="J50" s="1276"/>
      <c r="K50" s="924">
        <f>ROUND(222*(1-C77),2)</f>
        <v>222</v>
      </c>
      <c r="L50" s="1277">
        <f>ROUND(254*(1-C77),2)</f>
        <v>254</v>
      </c>
      <c r="M50" s="1278"/>
      <c r="N50" s="923">
        <f>ROUND(177*(1-C77),2)</f>
        <v>177</v>
      </c>
      <c r="O50" s="924">
        <f>I50</f>
        <v>209</v>
      </c>
      <c r="P50" s="1277">
        <f>ROUND(275*(1-C77),2)</f>
        <v>275</v>
      </c>
      <c r="Q50" s="1278"/>
      <c r="R50" s="1277" t="s">
        <v>21</v>
      </c>
      <c r="S50" s="1248"/>
    </row>
    <row r="51" spans="2:19">
      <c r="B51" s="597" t="s">
        <v>264</v>
      </c>
      <c r="C51" s="598" t="s">
        <v>223</v>
      </c>
      <c r="D51" s="1268" t="s">
        <v>242</v>
      </c>
      <c r="E51" s="1269"/>
      <c r="F51" s="599">
        <f>ROUND(155*(1-C77),2)</f>
        <v>155</v>
      </c>
      <c r="G51" s="599">
        <f>ROUND(195*(1-C77),2)</f>
        <v>195</v>
      </c>
      <c r="H51" s="599">
        <f>ROUND(213*(1-C77),2)</f>
        <v>213</v>
      </c>
      <c r="I51" s="1270">
        <f>ROUND(241*(1-C77),2)</f>
        <v>241</v>
      </c>
      <c r="J51" s="1271"/>
      <c r="K51" s="931">
        <f>ROUND(254*(1-C77),2)</f>
        <v>254</v>
      </c>
      <c r="L51" s="1246">
        <f>ROUND(294*(1-C77),2)</f>
        <v>294</v>
      </c>
      <c r="M51" s="1247"/>
      <c r="N51" s="601">
        <f>ROUND(204*(1-C77),2)</f>
        <v>204</v>
      </c>
      <c r="O51" s="931">
        <f>I51</f>
        <v>241</v>
      </c>
      <c r="P51" s="1246">
        <f>ROUND(318*(1-C77),2)</f>
        <v>318</v>
      </c>
      <c r="Q51" s="1247"/>
      <c r="R51" s="1246" t="s">
        <v>21</v>
      </c>
      <c r="S51" s="1248"/>
    </row>
    <row r="52" spans="2:19">
      <c r="B52" s="1260" t="s">
        <v>374</v>
      </c>
      <c r="C52" s="1261"/>
      <c r="D52" s="1261"/>
      <c r="E52" s="1261"/>
      <c r="F52" s="1261"/>
      <c r="G52" s="1261"/>
      <c r="H52" s="1261"/>
      <c r="I52" s="1261"/>
      <c r="J52" s="1261"/>
      <c r="K52" s="1261"/>
      <c r="L52" s="1261"/>
      <c r="M52" s="1261"/>
      <c r="N52" s="1261"/>
      <c r="O52" s="1261"/>
      <c r="P52" s="1261"/>
      <c r="Q52" s="1261"/>
      <c r="R52" s="1261"/>
      <c r="S52" s="1261"/>
    </row>
    <row r="53" spans="2:19">
      <c r="B53" s="959" t="s">
        <v>1660</v>
      </c>
      <c r="C53" s="960" t="s">
        <v>160</v>
      </c>
      <c r="D53" s="1262" t="s">
        <v>21</v>
      </c>
      <c r="E53" s="1263"/>
      <c r="F53" s="961" t="s">
        <v>21</v>
      </c>
      <c r="G53" s="961">
        <f>ROUND(537*(1-F77),2)</f>
        <v>537</v>
      </c>
      <c r="H53" s="962" t="s">
        <v>21</v>
      </c>
      <c r="I53" s="1264" t="s">
        <v>21</v>
      </c>
      <c r="J53" s="1265"/>
      <c r="K53" s="963" t="s">
        <v>21</v>
      </c>
      <c r="L53" s="1266" t="s">
        <v>21</v>
      </c>
      <c r="M53" s="1267"/>
      <c r="N53" s="961" t="s">
        <v>21</v>
      </c>
      <c r="O53" s="963" t="s">
        <v>21</v>
      </c>
      <c r="P53" s="1266" t="s">
        <v>21</v>
      </c>
      <c r="Q53" s="1267"/>
      <c r="R53" s="1266" t="s">
        <v>21</v>
      </c>
      <c r="S53" s="1245"/>
    </row>
    <row r="54" spans="2:19">
      <c r="B54" s="921" t="s">
        <v>265</v>
      </c>
      <c r="C54" s="925" t="s">
        <v>223</v>
      </c>
      <c r="D54" s="1256" t="s">
        <v>242</v>
      </c>
      <c r="E54" s="1257"/>
      <c r="F54" s="923">
        <f>ROUND(72*(1-C77),2)</f>
        <v>72</v>
      </c>
      <c r="G54" s="923">
        <f>ROUND(88*(1-C77),2)</f>
        <v>88</v>
      </c>
      <c r="H54" s="923">
        <f>ROUND(95*(1-C77),2)</f>
        <v>95</v>
      </c>
      <c r="I54" s="1258">
        <f>ROUND(107*(1-C77),2)</f>
        <v>107</v>
      </c>
      <c r="J54" s="1259"/>
      <c r="K54" s="924">
        <f>ROUND(113*(1-C77),2)</f>
        <v>113</v>
      </c>
      <c r="L54" s="1243">
        <f>ROUND(127*(1-C77),2)</f>
        <v>127</v>
      </c>
      <c r="M54" s="1244"/>
      <c r="N54" s="923">
        <f>ROUND(91*(1-C77),2)</f>
        <v>91</v>
      </c>
      <c r="O54" s="924">
        <f>I54</f>
        <v>107</v>
      </c>
      <c r="P54" s="1243">
        <f>ROUND(137*(1-C77),2)</f>
        <v>137</v>
      </c>
      <c r="Q54" s="1244"/>
      <c r="R54" s="1243">
        <f>ROUND(178*(1-C77),2)</f>
        <v>178</v>
      </c>
      <c r="S54" s="1245"/>
    </row>
    <row r="55" spans="2:19">
      <c r="B55" s="946" t="s">
        <v>266</v>
      </c>
      <c r="C55" s="947" t="s">
        <v>223</v>
      </c>
      <c r="D55" s="1249" t="s">
        <v>242</v>
      </c>
      <c r="E55" s="1250"/>
      <c r="F55" s="939">
        <f>ROUND(76*(1-C77),2)</f>
        <v>76</v>
      </c>
      <c r="G55" s="939">
        <f>ROUND(93*(1-C77),2)</f>
        <v>93</v>
      </c>
      <c r="H55" s="939">
        <f>ROUND(101*(1-C77),2)</f>
        <v>101</v>
      </c>
      <c r="I55" s="1251">
        <f>ROUND(113*(1-C77),2)</f>
        <v>113</v>
      </c>
      <c r="J55" s="1252"/>
      <c r="K55" s="940">
        <f>ROUND(119*(1-C77),2)</f>
        <v>119</v>
      </c>
      <c r="L55" s="1253">
        <f>ROUND(135*(1-C77),2)</f>
        <v>135</v>
      </c>
      <c r="M55" s="1254"/>
      <c r="N55" s="964">
        <f>ROUND(97*(1-C77),2)</f>
        <v>97</v>
      </c>
      <c r="O55" s="940">
        <f>I55</f>
        <v>113</v>
      </c>
      <c r="P55" s="1253">
        <f>ROUND(146*(1-C77),2)</f>
        <v>146</v>
      </c>
      <c r="Q55" s="1254"/>
      <c r="R55" s="1253">
        <f>ROUND(190*(1-C77),2)</f>
        <v>190</v>
      </c>
      <c r="S55" s="1255"/>
    </row>
  </sheetData>
  <mergeCells count="233">
    <mergeCell ref="B8:S8"/>
    <mergeCell ref="R5:S5"/>
    <mergeCell ref="B6:B7"/>
    <mergeCell ref="C6:C7"/>
    <mergeCell ref="D6:E7"/>
    <mergeCell ref="F6:S6"/>
    <mergeCell ref="I7:J7"/>
    <mergeCell ref="L7:M7"/>
    <mergeCell ref="P7:Q7"/>
    <mergeCell ref="R7:S7"/>
    <mergeCell ref="D10:E10"/>
    <mergeCell ref="I10:J10"/>
    <mergeCell ref="L10:M10"/>
    <mergeCell ref="P10:Q10"/>
    <mergeCell ref="R10:S10"/>
    <mergeCell ref="D9:E9"/>
    <mergeCell ref="I9:J9"/>
    <mergeCell ref="L9:M9"/>
    <mergeCell ref="P9:Q9"/>
    <mergeCell ref="R9:S9"/>
    <mergeCell ref="D12:E12"/>
    <mergeCell ref="I12:J12"/>
    <mergeCell ref="L12:M12"/>
    <mergeCell ref="P12:Q12"/>
    <mergeCell ref="R12:S12"/>
    <mergeCell ref="D11:E11"/>
    <mergeCell ref="I11:J11"/>
    <mergeCell ref="L11:M11"/>
    <mergeCell ref="P11:Q11"/>
    <mergeCell ref="R11:S11"/>
    <mergeCell ref="D14:E14"/>
    <mergeCell ref="I14:J14"/>
    <mergeCell ref="L14:M14"/>
    <mergeCell ref="P14:Q14"/>
    <mergeCell ref="R14:S14"/>
    <mergeCell ref="D13:E13"/>
    <mergeCell ref="I13:J13"/>
    <mergeCell ref="L13:M13"/>
    <mergeCell ref="P13:Q13"/>
    <mergeCell ref="R13:S13"/>
    <mergeCell ref="D16:E16"/>
    <mergeCell ref="I16:J16"/>
    <mergeCell ref="L16:M16"/>
    <mergeCell ref="P16:Q16"/>
    <mergeCell ref="R16:S16"/>
    <mergeCell ref="D15:E15"/>
    <mergeCell ref="I15:J15"/>
    <mergeCell ref="L15:M15"/>
    <mergeCell ref="P15:Q15"/>
    <mergeCell ref="R15:S15"/>
    <mergeCell ref="D18:E18"/>
    <mergeCell ref="I18:J18"/>
    <mergeCell ref="L18:M18"/>
    <mergeCell ref="P18:Q18"/>
    <mergeCell ref="R18:S18"/>
    <mergeCell ref="D17:E17"/>
    <mergeCell ref="I17:J17"/>
    <mergeCell ref="L17:M17"/>
    <mergeCell ref="P17:Q17"/>
    <mergeCell ref="R17:S17"/>
    <mergeCell ref="D20:E20"/>
    <mergeCell ref="I20:J20"/>
    <mergeCell ref="L20:M20"/>
    <mergeCell ref="P20:Q20"/>
    <mergeCell ref="R20:S20"/>
    <mergeCell ref="D19:E19"/>
    <mergeCell ref="I19:J19"/>
    <mergeCell ref="L19:M19"/>
    <mergeCell ref="P19:Q19"/>
    <mergeCell ref="R19:S19"/>
    <mergeCell ref="D22:E22"/>
    <mergeCell ref="I22:J22"/>
    <mergeCell ref="L22:M22"/>
    <mergeCell ref="P22:Q22"/>
    <mergeCell ref="R22:S22"/>
    <mergeCell ref="D21:E21"/>
    <mergeCell ref="I21:J21"/>
    <mergeCell ref="L21:M21"/>
    <mergeCell ref="P21:Q21"/>
    <mergeCell ref="R21:S21"/>
    <mergeCell ref="D24:E24"/>
    <mergeCell ref="I24:J24"/>
    <mergeCell ref="L24:M24"/>
    <mergeCell ref="P24:Q24"/>
    <mergeCell ref="R24:S24"/>
    <mergeCell ref="D23:E23"/>
    <mergeCell ref="I23:J23"/>
    <mergeCell ref="L23:M23"/>
    <mergeCell ref="P23:Q23"/>
    <mergeCell ref="R23:S23"/>
    <mergeCell ref="D26:E26"/>
    <mergeCell ref="I26:J26"/>
    <mergeCell ref="L26:M26"/>
    <mergeCell ref="P26:Q26"/>
    <mergeCell ref="R26:S26"/>
    <mergeCell ref="D25:E25"/>
    <mergeCell ref="I25:J25"/>
    <mergeCell ref="L25:M25"/>
    <mergeCell ref="P25:Q25"/>
    <mergeCell ref="R25:S25"/>
    <mergeCell ref="D28:E28"/>
    <mergeCell ref="I28:J28"/>
    <mergeCell ref="L28:M28"/>
    <mergeCell ref="P28:Q28"/>
    <mergeCell ref="R28:S28"/>
    <mergeCell ref="D27:E27"/>
    <mergeCell ref="I27:J27"/>
    <mergeCell ref="L27:M27"/>
    <mergeCell ref="P27:Q27"/>
    <mergeCell ref="R27:S27"/>
    <mergeCell ref="D30:E30"/>
    <mergeCell ref="I30:J30"/>
    <mergeCell ref="L30:M30"/>
    <mergeCell ref="P30:Q30"/>
    <mergeCell ref="R30:S30"/>
    <mergeCell ref="D29:E29"/>
    <mergeCell ref="I29:J29"/>
    <mergeCell ref="L29:M29"/>
    <mergeCell ref="P29:Q29"/>
    <mergeCell ref="R29:S29"/>
    <mergeCell ref="D32:E32"/>
    <mergeCell ref="I32:J32"/>
    <mergeCell ref="L32:M32"/>
    <mergeCell ref="P32:Q32"/>
    <mergeCell ref="R32:S32"/>
    <mergeCell ref="D31:E31"/>
    <mergeCell ref="I31:J31"/>
    <mergeCell ref="L31:M31"/>
    <mergeCell ref="P31:Q31"/>
    <mergeCell ref="R31:S31"/>
    <mergeCell ref="D34:E34"/>
    <mergeCell ref="I34:J34"/>
    <mergeCell ref="L34:M34"/>
    <mergeCell ref="P34:Q34"/>
    <mergeCell ref="R34:S34"/>
    <mergeCell ref="D33:E33"/>
    <mergeCell ref="I33:J33"/>
    <mergeCell ref="L33:M33"/>
    <mergeCell ref="P33:Q33"/>
    <mergeCell ref="R33:S33"/>
    <mergeCell ref="D37:E37"/>
    <mergeCell ref="I37:J37"/>
    <mergeCell ref="L37:M37"/>
    <mergeCell ref="P37:Q37"/>
    <mergeCell ref="R37:S37"/>
    <mergeCell ref="B35:S35"/>
    <mergeCell ref="D36:E36"/>
    <mergeCell ref="I36:J36"/>
    <mergeCell ref="L36:M36"/>
    <mergeCell ref="P36:Q36"/>
    <mergeCell ref="R36:S36"/>
    <mergeCell ref="D39:E39"/>
    <mergeCell ref="I39:J39"/>
    <mergeCell ref="L39:M39"/>
    <mergeCell ref="P39:Q39"/>
    <mergeCell ref="R39:S39"/>
    <mergeCell ref="D38:E38"/>
    <mergeCell ref="I38:J38"/>
    <mergeCell ref="L38:M38"/>
    <mergeCell ref="P38:Q38"/>
    <mergeCell ref="R38:S38"/>
    <mergeCell ref="D41:E41"/>
    <mergeCell ref="I41:J41"/>
    <mergeCell ref="L41:M41"/>
    <mergeCell ref="P41:Q41"/>
    <mergeCell ref="R41:S41"/>
    <mergeCell ref="D40:E40"/>
    <mergeCell ref="I40:J40"/>
    <mergeCell ref="L40:M40"/>
    <mergeCell ref="P40:Q40"/>
    <mergeCell ref="R40:S40"/>
    <mergeCell ref="D43:E43"/>
    <mergeCell ref="I43:J43"/>
    <mergeCell ref="L43:M43"/>
    <mergeCell ref="P43:Q43"/>
    <mergeCell ref="R43:S43"/>
    <mergeCell ref="D42:E42"/>
    <mergeCell ref="I42:J42"/>
    <mergeCell ref="L42:M42"/>
    <mergeCell ref="P42:Q42"/>
    <mergeCell ref="R42:S42"/>
    <mergeCell ref="D45:E45"/>
    <mergeCell ref="I45:J45"/>
    <mergeCell ref="L45:M45"/>
    <mergeCell ref="P45:Q45"/>
    <mergeCell ref="R45:S45"/>
    <mergeCell ref="D44:E44"/>
    <mergeCell ref="I44:J44"/>
    <mergeCell ref="L44:M44"/>
    <mergeCell ref="P44:Q44"/>
    <mergeCell ref="R44:S44"/>
    <mergeCell ref="D48:E48"/>
    <mergeCell ref="I48:J48"/>
    <mergeCell ref="L48:M48"/>
    <mergeCell ref="P48:Q48"/>
    <mergeCell ref="R48:S48"/>
    <mergeCell ref="B46:S46"/>
    <mergeCell ref="D47:E47"/>
    <mergeCell ref="I47:J47"/>
    <mergeCell ref="L47:M47"/>
    <mergeCell ref="P47:Q47"/>
    <mergeCell ref="R47:S47"/>
    <mergeCell ref="D50:E50"/>
    <mergeCell ref="I50:J50"/>
    <mergeCell ref="L50:M50"/>
    <mergeCell ref="P50:Q50"/>
    <mergeCell ref="R50:S50"/>
    <mergeCell ref="D49:E49"/>
    <mergeCell ref="I49:J49"/>
    <mergeCell ref="L49:M49"/>
    <mergeCell ref="P49:Q49"/>
    <mergeCell ref="R49:S49"/>
    <mergeCell ref="B52:S52"/>
    <mergeCell ref="D53:E53"/>
    <mergeCell ref="I53:J53"/>
    <mergeCell ref="L53:M53"/>
    <mergeCell ref="P53:Q53"/>
    <mergeCell ref="R53:S53"/>
    <mergeCell ref="D51:E51"/>
    <mergeCell ref="I51:J51"/>
    <mergeCell ref="D55:E55"/>
    <mergeCell ref="I55:J55"/>
    <mergeCell ref="L55:M55"/>
    <mergeCell ref="P55:Q55"/>
    <mergeCell ref="R55:S55"/>
    <mergeCell ref="D54:E54"/>
    <mergeCell ref="I54:J54"/>
    <mergeCell ref="L54:M54"/>
    <mergeCell ref="P54:Q54"/>
    <mergeCell ref="R54:S54"/>
    <mergeCell ref="L51:M51"/>
    <mergeCell ref="P51:Q51"/>
    <mergeCell ref="R51:S51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7030A0"/>
  </sheetPr>
  <dimension ref="A2:Q56"/>
  <sheetViews>
    <sheetView workbookViewId="0">
      <selection activeCell="D2" sqref="D2:E3"/>
    </sheetView>
  </sheetViews>
  <sheetFormatPr defaultRowHeight="15"/>
  <cols>
    <col min="1" max="1" width="3.28515625" customWidth="1"/>
    <col min="2" max="2" width="50.42578125" customWidth="1"/>
    <col min="5" max="15" width="9.28515625" bestFit="1" customWidth="1"/>
    <col min="16" max="16" width="10.140625" bestFit="1" customWidth="1"/>
  </cols>
  <sheetData>
    <row r="2" spans="1:17">
      <c r="B2" s="93"/>
      <c r="C2" s="93" t="s">
        <v>131</v>
      </c>
      <c r="D2" s="93"/>
      <c r="E2" s="93"/>
    </row>
    <row r="3" spans="1:17">
      <c r="B3" s="93" t="s">
        <v>190</v>
      </c>
      <c r="C3" s="110">
        <v>0.48</v>
      </c>
      <c r="D3" s="110"/>
      <c r="E3" s="110"/>
    </row>
    <row r="5" spans="1:17">
      <c r="A5" s="92"/>
      <c r="B5" s="200"/>
      <c r="C5" s="359"/>
      <c r="D5" s="359"/>
      <c r="E5" s="359"/>
      <c r="F5" s="359"/>
      <c r="G5" s="359"/>
      <c r="H5" s="201"/>
      <c r="I5" s="201"/>
      <c r="J5" s="201"/>
      <c r="K5" s="359"/>
      <c r="L5" s="260" t="s">
        <v>310</v>
      </c>
      <c r="M5" s="965"/>
      <c r="N5" s="966">
        <v>42235</v>
      </c>
      <c r="O5" s="92"/>
      <c r="P5" s="92"/>
      <c r="Q5" s="92"/>
    </row>
    <row r="6" spans="1:17">
      <c r="A6" s="92"/>
      <c r="B6" s="1234" t="s">
        <v>232</v>
      </c>
      <c r="C6" s="1236" t="s">
        <v>233</v>
      </c>
      <c r="D6" s="1234" t="s">
        <v>177</v>
      </c>
      <c r="E6" s="1327" t="s">
        <v>234</v>
      </c>
      <c r="F6" s="1328"/>
      <c r="G6" s="1328"/>
      <c r="H6" s="1328"/>
      <c r="I6" s="1328"/>
      <c r="J6" s="1328"/>
      <c r="K6" s="1328"/>
      <c r="L6" s="1328"/>
      <c r="M6" s="1328"/>
      <c r="N6" s="1329"/>
      <c r="O6" s="92"/>
      <c r="P6" s="92"/>
      <c r="Q6" s="92"/>
    </row>
    <row r="7" spans="1:17" ht="22.5">
      <c r="A7" s="92"/>
      <c r="B7" s="1241"/>
      <c r="C7" s="1242"/>
      <c r="D7" s="1241"/>
      <c r="E7" s="865" t="s">
        <v>208</v>
      </c>
      <c r="F7" s="865" t="s">
        <v>235</v>
      </c>
      <c r="G7" s="867" t="s">
        <v>1650</v>
      </c>
      <c r="H7" s="865" t="s">
        <v>237</v>
      </c>
      <c r="I7" s="863" t="s">
        <v>789</v>
      </c>
      <c r="J7" s="862" t="s">
        <v>1651</v>
      </c>
      <c r="K7" s="865" t="s">
        <v>238</v>
      </c>
      <c r="L7" s="865" t="s">
        <v>239</v>
      </c>
      <c r="M7" s="865" t="s">
        <v>236</v>
      </c>
      <c r="N7" s="865" t="s">
        <v>1009</v>
      </c>
      <c r="O7" s="92"/>
      <c r="P7" s="92"/>
      <c r="Q7" s="92"/>
    </row>
    <row r="8" spans="1:17">
      <c r="A8" s="92"/>
      <c r="B8" s="1323" t="s">
        <v>267</v>
      </c>
      <c r="C8" s="1324"/>
      <c r="D8" s="1324"/>
      <c r="E8" s="1324"/>
      <c r="F8" s="1324"/>
      <c r="G8" s="1324"/>
      <c r="H8" s="1324"/>
      <c r="I8" s="1324"/>
      <c r="J8" s="1324"/>
      <c r="K8" s="1324"/>
      <c r="L8" s="1324"/>
      <c r="M8" s="1324"/>
      <c r="N8" s="1330"/>
      <c r="O8" s="92"/>
      <c r="P8" s="92"/>
      <c r="Q8" s="92"/>
    </row>
    <row r="9" spans="1:17">
      <c r="A9" s="92"/>
      <c r="B9" s="202" t="s">
        <v>366</v>
      </c>
      <c r="C9" s="203" t="s">
        <v>223</v>
      </c>
      <c r="D9" s="203" t="s">
        <v>242</v>
      </c>
      <c r="E9" s="967">
        <f>ROUND(92*(1-D74),2)</f>
        <v>92</v>
      </c>
      <c r="F9" s="194">
        <f>ROUND(114*(1-D74),2)</f>
        <v>114</v>
      </c>
      <c r="G9" s="194">
        <f>ROUND(124*(1-D74),2)</f>
        <v>124</v>
      </c>
      <c r="H9" s="968">
        <f>ROUND(140*(1-D74),2)</f>
        <v>140</v>
      </c>
      <c r="I9" s="968">
        <f>ROUND(143*(1-D74),2)</f>
        <v>143</v>
      </c>
      <c r="J9" s="969">
        <f>ROUND(168*(1-D74),2)</f>
        <v>168</v>
      </c>
      <c r="K9" s="970">
        <f>ROUND(119*(1-D74),2)</f>
        <v>119</v>
      </c>
      <c r="L9" s="968">
        <f>H9</f>
        <v>140</v>
      </c>
      <c r="M9" s="194">
        <f>ROUND(181*(1-D74),2)</f>
        <v>181</v>
      </c>
      <c r="N9" s="194">
        <f>ROUND(237*(1-D74),2)</f>
        <v>237</v>
      </c>
      <c r="O9" s="92"/>
      <c r="P9" s="92"/>
      <c r="Q9" s="92"/>
    </row>
    <row r="10" spans="1:17">
      <c r="A10" s="92"/>
      <c r="B10" s="204" t="s">
        <v>1661</v>
      </c>
      <c r="C10" s="205" t="s">
        <v>223</v>
      </c>
      <c r="D10" s="205" t="s">
        <v>242</v>
      </c>
      <c r="E10" s="196">
        <f>ROUND(51*(1-D74),2)</f>
        <v>51</v>
      </c>
      <c r="F10" s="196">
        <f>ROUND(61*(1-D74),2)</f>
        <v>61</v>
      </c>
      <c r="G10" s="196">
        <f>ROUND(65*(1-D74),2)</f>
        <v>65</v>
      </c>
      <c r="H10" s="971">
        <f>ROUND(74*(1-D74),2)</f>
        <v>74</v>
      </c>
      <c r="I10" s="971">
        <f>ROUND(75*(1-D74),2)</f>
        <v>75</v>
      </c>
      <c r="J10" s="972">
        <f>ROUND(86*(1-D74),2)</f>
        <v>86</v>
      </c>
      <c r="K10" s="205">
        <f>ROUND(63*(1-D74),2)</f>
        <v>63</v>
      </c>
      <c r="L10" s="971">
        <f t="shared" ref="L10:L32" si="0">H10</f>
        <v>74</v>
      </c>
      <c r="M10" s="196">
        <f>ROUND(92*(1-D74),2)</f>
        <v>92</v>
      </c>
      <c r="N10" s="196">
        <f>ROUND(118*(1-D74),2)</f>
        <v>118</v>
      </c>
      <c r="O10" s="92"/>
      <c r="P10" s="92"/>
      <c r="Q10" s="92"/>
    </row>
    <row r="11" spans="1:17">
      <c r="A11" s="92"/>
      <c r="B11" s="206" t="s">
        <v>268</v>
      </c>
      <c r="C11" s="207" t="s">
        <v>223</v>
      </c>
      <c r="D11" s="207" t="s">
        <v>242</v>
      </c>
      <c r="E11" s="973">
        <f>ROUND(100*(1-D74),2)</f>
        <v>100</v>
      </c>
      <c r="F11" s="141">
        <f>ROUND(123*(1-D74),2)</f>
        <v>123</v>
      </c>
      <c r="G11" s="141">
        <f>ROUND(134*(1-D74),2)</f>
        <v>134</v>
      </c>
      <c r="H11" s="974">
        <f>ROUND(151*(1-D74),2)</f>
        <v>151</v>
      </c>
      <c r="I11" s="974">
        <f>ROUND(156*(1-D74),2)</f>
        <v>156</v>
      </c>
      <c r="J11" s="975">
        <f>ROUND(183*(1-D74),2)</f>
        <v>183</v>
      </c>
      <c r="K11" s="976">
        <f>ROUND(129*(1-D74),2)</f>
        <v>129</v>
      </c>
      <c r="L11" s="974">
        <f t="shared" si="0"/>
        <v>151</v>
      </c>
      <c r="M11" s="141">
        <f>ROUND(197*(1-D74),2)</f>
        <v>197</v>
      </c>
      <c r="N11" s="141">
        <f>ROUND(259*(1-D74),2)</f>
        <v>259</v>
      </c>
      <c r="O11" s="92"/>
      <c r="P11" s="92"/>
      <c r="Q11" s="92"/>
    </row>
    <row r="12" spans="1:17">
      <c r="A12" s="92"/>
      <c r="B12" s="208" t="s">
        <v>269</v>
      </c>
      <c r="C12" s="209" t="s">
        <v>223</v>
      </c>
      <c r="D12" s="209" t="s">
        <v>242</v>
      </c>
      <c r="E12" s="151">
        <f>ROUND(155*(1-D74),2)</f>
        <v>155</v>
      </c>
      <c r="F12" s="151">
        <f>ROUND(195*(1-D74),2)</f>
        <v>195</v>
      </c>
      <c r="G12" s="151">
        <f>ROUND(213*(1-D74),2)</f>
        <v>213</v>
      </c>
      <c r="H12" s="977">
        <f>ROUND(241*(1-D74),2)</f>
        <v>241</v>
      </c>
      <c r="I12" s="977">
        <f>ROUND(248*(1-D74),2)</f>
        <v>248</v>
      </c>
      <c r="J12" s="978">
        <f>ROUND(294*(1-D74),2)</f>
        <v>294</v>
      </c>
      <c r="K12" s="209">
        <f>ROUND(204*(1-D74),2)</f>
        <v>204</v>
      </c>
      <c r="L12" s="977">
        <f t="shared" si="0"/>
        <v>241</v>
      </c>
      <c r="M12" s="151">
        <f>ROUND(318*(1-D74),2)</f>
        <v>318</v>
      </c>
      <c r="N12" s="151">
        <f>ROUND(422*(1-D74),2)</f>
        <v>422</v>
      </c>
      <c r="O12" s="92"/>
      <c r="P12" s="92"/>
      <c r="Q12" s="92"/>
    </row>
    <row r="13" spans="1:17">
      <c r="A13" s="92"/>
      <c r="B13" s="210" t="s">
        <v>270</v>
      </c>
      <c r="C13" s="211" t="s">
        <v>223</v>
      </c>
      <c r="D13" s="211" t="s">
        <v>242</v>
      </c>
      <c r="E13" s="979">
        <f>ROUND(100*(1-D74),2)</f>
        <v>100</v>
      </c>
      <c r="F13" s="142">
        <f>ROUND(123*(1-D74),2)</f>
        <v>123</v>
      </c>
      <c r="G13" s="142">
        <f>ROUND(134*(1-D74),2)</f>
        <v>134</v>
      </c>
      <c r="H13" s="980">
        <f>ROUND(151*(1-D74),2)</f>
        <v>151</v>
      </c>
      <c r="I13" s="980">
        <f>ROUND(156*(1-D74),2)</f>
        <v>156</v>
      </c>
      <c r="J13" s="981">
        <f>ROUND(183*(1-D74),2)</f>
        <v>183</v>
      </c>
      <c r="K13" s="982">
        <f>ROUND(129*(1-D74),2)</f>
        <v>129</v>
      </c>
      <c r="L13" s="980">
        <f t="shared" si="0"/>
        <v>151</v>
      </c>
      <c r="M13" s="142">
        <f>ROUND(197*(1-D74),2)</f>
        <v>197</v>
      </c>
      <c r="N13" s="142">
        <f>ROUND(259*(1-D74),2)</f>
        <v>259</v>
      </c>
      <c r="O13" s="92"/>
      <c r="P13" s="92"/>
      <c r="Q13" s="92"/>
    </row>
    <row r="14" spans="1:17">
      <c r="A14" s="92"/>
      <c r="B14" s="212" t="s">
        <v>271</v>
      </c>
      <c r="C14" s="213" t="s">
        <v>223</v>
      </c>
      <c r="D14" s="213" t="s">
        <v>242</v>
      </c>
      <c r="E14" s="150">
        <f>ROUND(225*(1-D74),2)</f>
        <v>225</v>
      </c>
      <c r="F14" s="150">
        <f>ROUND(284*(1-D74),2)</f>
        <v>284</v>
      </c>
      <c r="G14" s="150">
        <f>ROUND(311*(1-D74),2)</f>
        <v>311</v>
      </c>
      <c r="H14" s="983">
        <f>ROUND(353*(1-D74),2)</f>
        <v>353</v>
      </c>
      <c r="I14" s="983">
        <f>ROUND(363*(1-D74),2)</f>
        <v>363</v>
      </c>
      <c r="J14" s="984">
        <f>ROUND(432*(1-D74),2)</f>
        <v>432</v>
      </c>
      <c r="K14" s="213">
        <f>ROUND(298*(1-D74),2)</f>
        <v>298</v>
      </c>
      <c r="L14" s="983">
        <f t="shared" si="0"/>
        <v>353</v>
      </c>
      <c r="M14" s="150">
        <f>ROUND(470*(1-D74),2)</f>
        <v>470</v>
      </c>
      <c r="N14" s="150">
        <f>ROUND(624*(1-D74),2)</f>
        <v>624</v>
      </c>
      <c r="O14" s="92"/>
      <c r="P14" s="92"/>
      <c r="Q14" s="92"/>
    </row>
    <row r="15" spans="1:17">
      <c r="A15" s="92"/>
      <c r="B15" s="214" t="s">
        <v>272</v>
      </c>
      <c r="C15" s="215" t="s">
        <v>223</v>
      </c>
      <c r="D15" s="215" t="s">
        <v>242</v>
      </c>
      <c r="E15" s="985">
        <f>ROUND(72*(1-D74),2)</f>
        <v>72</v>
      </c>
      <c r="F15" s="143">
        <f>ROUND(88*(1-D74),2)</f>
        <v>88</v>
      </c>
      <c r="G15" s="143">
        <f>ROUND(95*(1-D74),2)</f>
        <v>95</v>
      </c>
      <c r="H15" s="986">
        <f>ROUND(108*(1-D74),2)</f>
        <v>108</v>
      </c>
      <c r="I15" s="986">
        <f>ROUND(110*(1-D74),2)</f>
        <v>110</v>
      </c>
      <c r="J15" s="987">
        <f>ROUND(127*(1-D74),2)</f>
        <v>127</v>
      </c>
      <c r="K15" s="988">
        <f>ROUND(91*(1-D74),2)</f>
        <v>91</v>
      </c>
      <c r="L15" s="986">
        <f t="shared" si="0"/>
        <v>108</v>
      </c>
      <c r="M15" s="143">
        <f>ROUND(137*(1-D74),2)</f>
        <v>137</v>
      </c>
      <c r="N15" s="143">
        <f>ROUND(178*(1-D74),2)</f>
        <v>178</v>
      </c>
      <c r="O15" s="92"/>
      <c r="P15" s="92"/>
      <c r="Q15" s="92"/>
    </row>
    <row r="16" spans="1:17">
      <c r="A16" s="92"/>
      <c r="B16" s="204" t="s">
        <v>273</v>
      </c>
      <c r="C16" s="205" t="s">
        <v>223</v>
      </c>
      <c r="D16" s="205" t="s">
        <v>242</v>
      </c>
      <c r="E16" s="196">
        <f>ROUND(72*(1-D74),2)</f>
        <v>72</v>
      </c>
      <c r="F16" s="196">
        <f>ROUND(88*(1-D74),2)</f>
        <v>88</v>
      </c>
      <c r="G16" s="196">
        <f>ROUND(95*(1-D74),2)</f>
        <v>95</v>
      </c>
      <c r="H16" s="971">
        <f>ROUND(108*(1-D74),2)</f>
        <v>108</v>
      </c>
      <c r="I16" s="971">
        <f>ROUND(110*(1-D74),2)</f>
        <v>110</v>
      </c>
      <c r="J16" s="972">
        <f>ROUND(127*(1-D74),2)</f>
        <v>127</v>
      </c>
      <c r="K16" s="205">
        <f>ROUND(91*(1-D74),2)</f>
        <v>91</v>
      </c>
      <c r="L16" s="971">
        <f t="shared" si="0"/>
        <v>108</v>
      </c>
      <c r="M16" s="196">
        <f>ROUND(137*(1-D74),2)</f>
        <v>137</v>
      </c>
      <c r="N16" s="196">
        <f>ROUND(178*(1-D74),2)</f>
        <v>178</v>
      </c>
      <c r="O16" s="92"/>
      <c r="P16" s="92"/>
      <c r="Q16" s="92"/>
    </row>
    <row r="17" spans="1:17">
      <c r="A17" s="92"/>
      <c r="B17" s="214" t="s">
        <v>1013</v>
      </c>
      <c r="C17" s="215" t="s">
        <v>223</v>
      </c>
      <c r="D17" s="215" t="s">
        <v>242</v>
      </c>
      <c r="E17" s="985">
        <f>ROUND(155*(1-D74),2)</f>
        <v>155</v>
      </c>
      <c r="F17" s="143">
        <f>ROUND(195*(1-D74),2)</f>
        <v>195</v>
      </c>
      <c r="G17" s="143">
        <f>ROUND(213*(1-D74),2)</f>
        <v>213</v>
      </c>
      <c r="H17" s="986">
        <f>ROUND(241*(1-D74),2)</f>
        <v>241</v>
      </c>
      <c r="I17" s="986">
        <f>ROUND(248*(1-D74),2)</f>
        <v>248</v>
      </c>
      <c r="J17" s="987">
        <f>ROUND(294*(1-D74),2)</f>
        <v>294</v>
      </c>
      <c r="K17" s="988">
        <f>ROUND(204*(1-D74),2)</f>
        <v>204</v>
      </c>
      <c r="L17" s="986">
        <f t="shared" si="0"/>
        <v>241</v>
      </c>
      <c r="M17" s="143">
        <f>ROUND(318*(1-D74),2)</f>
        <v>318</v>
      </c>
      <c r="N17" s="143">
        <f>ROUND(422*(1-D74),2)</f>
        <v>422</v>
      </c>
      <c r="O17" s="92"/>
      <c r="P17" s="92"/>
      <c r="Q17" s="92"/>
    </row>
    <row r="18" spans="1:17">
      <c r="A18" s="92"/>
      <c r="B18" s="198" t="s">
        <v>274</v>
      </c>
      <c r="C18" s="199" t="s">
        <v>223</v>
      </c>
      <c r="D18" s="199" t="s">
        <v>242</v>
      </c>
      <c r="E18" s="989">
        <f>ROUND(183*(1-D74),2)</f>
        <v>183</v>
      </c>
      <c r="F18" s="989">
        <f>ROUND(231*(1-D74),2)</f>
        <v>231</v>
      </c>
      <c r="G18" s="989">
        <f>ROUND(252*(1-D74),2)</f>
        <v>252</v>
      </c>
      <c r="H18" s="990">
        <f>ROUND(286*(1-D74),2)</f>
        <v>286</v>
      </c>
      <c r="I18" s="990">
        <f>ROUND(294*(1-D74),2)</f>
        <v>294</v>
      </c>
      <c r="J18" s="991">
        <f>ROUND(349*(1-D74),2)</f>
        <v>349</v>
      </c>
      <c r="K18" s="221">
        <f>ROUND(242*(1-D74),2)</f>
        <v>242</v>
      </c>
      <c r="L18" s="990">
        <f t="shared" si="0"/>
        <v>286</v>
      </c>
      <c r="M18" s="989">
        <f>ROUND(379*(1-D74),2)</f>
        <v>379</v>
      </c>
      <c r="N18" s="989">
        <f>ROUND(503*(1-D74),2)</f>
        <v>503</v>
      </c>
      <c r="O18" s="92"/>
      <c r="P18" s="92"/>
      <c r="Q18" s="92"/>
    </row>
    <row r="19" spans="1:17">
      <c r="A19" s="92"/>
      <c r="B19" s="216" t="s">
        <v>275</v>
      </c>
      <c r="C19" s="217" t="s">
        <v>223</v>
      </c>
      <c r="D19" s="217" t="s">
        <v>242</v>
      </c>
      <c r="E19" s="979">
        <f>ROUND(72*(1-D74),2)</f>
        <v>72</v>
      </c>
      <c r="F19" s="142">
        <f>ROUND(88*(1-D74),2)</f>
        <v>88</v>
      </c>
      <c r="G19" s="142">
        <f>ROUND(95*(1-D74),2)</f>
        <v>95</v>
      </c>
      <c r="H19" s="980">
        <f>ROUND(108*(1-D74),2)</f>
        <v>108</v>
      </c>
      <c r="I19" s="980">
        <f>ROUND(110*(1-D74),2)</f>
        <v>110</v>
      </c>
      <c r="J19" s="981">
        <f>ROUND(127*(1-D74),2)</f>
        <v>127</v>
      </c>
      <c r="K19" s="982">
        <f>ROUND(91*(1-D74),2)</f>
        <v>91</v>
      </c>
      <c r="L19" s="980">
        <f t="shared" si="0"/>
        <v>108</v>
      </c>
      <c r="M19" s="142">
        <f>ROUND(137*(1-D74),2)</f>
        <v>137</v>
      </c>
      <c r="N19" s="142">
        <f>ROUND(178*(1-D74),2)</f>
        <v>178</v>
      </c>
      <c r="O19" s="92"/>
      <c r="P19" s="92"/>
      <c r="Q19" s="92"/>
    </row>
    <row r="20" spans="1:17">
      <c r="A20" s="92"/>
      <c r="B20" s="191" t="s">
        <v>276</v>
      </c>
      <c r="C20" s="193" t="s">
        <v>223</v>
      </c>
      <c r="D20" s="192" t="s">
        <v>242</v>
      </c>
      <c r="E20" s="992">
        <f>ROUND(183*(1-D74),2)</f>
        <v>183</v>
      </c>
      <c r="F20" s="992">
        <f>ROUND(231*(1-D74),2)</f>
        <v>231</v>
      </c>
      <c r="G20" s="992">
        <f>ROUND(252*(1-D74),2)</f>
        <v>252</v>
      </c>
      <c r="H20" s="993">
        <f>ROUND(286*(1-D74),2)</f>
        <v>286</v>
      </c>
      <c r="I20" s="993">
        <f>ROUND(294*(1-D74),2)</f>
        <v>294</v>
      </c>
      <c r="J20" s="994">
        <f>ROUND(349*(1-D74),2)</f>
        <v>349</v>
      </c>
      <c r="K20" s="995">
        <f>ROUND(242*(1-D74),2)</f>
        <v>242</v>
      </c>
      <c r="L20" s="993">
        <f t="shared" si="0"/>
        <v>286</v>
      </c>
      <c r="M20" s="992">
        <f>ROUND(379*(1-D74),2)</f>
        <v>379</v>
      </c>
      <c r="N20" s="992">
        <f>ROUND(503*(1-D74),2)</f>
        <v>503</v>
      </c>
      <c r="O20" s="92"/>
      <c r="P20" s="92"/>
      <c r="Q20" s="92"/>
    </row>
    <row r="21" spans="1:17">
      <c r="A21" s="92"/>
      <c r="B21" s="218" t="s">
        <v>277</v>
      </c>
      <c r="C21" s="219" t="s">
        <v>223</v>
      </c>
      <c r="D21" s="219" t="s">
        <v>242</v>
      </c>
      <c r="E21" s="996">
        <f>ROUND(72*(1-D74),2)</f>
        <v>72</v>
      </c>
      <c r="F21" s="997">
        <f>ROUND(88*(1-D74),2)</f>
        <v>88</v>
      </c>
      <c r="G21" s="997">
        <f>ROUND(95*(1-D74),2)</f>
        <v>95</v>
      </c>
      <c r="H21" s="998">
        <f>ROUND(108*(1-D74),2)</f>
        <v>108</v>
      </c>
      <c r="I21" s="998">
        <f>ROUND(110*(1-D74),2)</f>
        <v>110</v>
      </c>
      <c r="J21" s="999">
        <f>ROUND(127*(1-D74),2)</f>
        <v>127</v>
      </c>
      <c r="K21" s="1000">
        <f>ROUND(91*(1-D74),2)</f>
        <v>91</v>
      </c>
      <c r="L21" s="998">
        <f t="shared" si="0"/>
        <v>108</v>
      </c>
      <c r="M21" s="997">
        <f>ROUND(137*(1-D74),2)</f>
        <v>137</v>
      </c>
      <c r="N21" s="997">
        <f>ROUND(178*(1-D74),2)</f>
        <v>178</v>
      </c>
      <c r="O21" s="92"/>
      <c r="P21" s="92"/>
      <c r="Q21" s="92"/>
    </row>
    <row r="22" spans="1:17">
      <c r="A22" s="92"/>
      <c r="B22" s="220" t="s">
        <v>278</v>
      </c>
      <c r="C22" s="221" t="s">
        <v>223</v>
      </c>
      <c r="D22" s="221" t="s">
        <v>242</v>
      </c>
      <c r="E22" s="989">
        <f>ROUND(225*(1-D74),2)</f>
        <v>225</v>
      </c>
      <c r="F22" s="989">
        <f>ROUND(284*(1-D74),2)</f>
        <v>284</v>
      </c>
      <c r="G22" s="989">
        <f>ROUND(311*(1-D74),2)</f>
        <v>311</v>
      </c>
      <c r="H22" s="990">
        <f>ROUND(353*(1-D74),2)</f>
        <v>353</v>
      </c>
      <c r="I22" s="990">
        <f>ROUND(363*(1-D74),2)</f>
        <v>363</v>
      </c>
      <c r="J22" s="991">
        <f>ROUND(432*(1-D74),2)</f>
        <v>432</v>
      </c>
      <c r="K22" s="221">
        <f>ROUND(298*(1-D74),2)</f>
        <v>298</v>
      </c>
      <c r="L22" s="990">
        <f t="shared" si="0"/>
        <v>353</v>
      </c>
      <c r="M22" s="989">
        <f>ROUND(470*(1-D74),2)</f>
        <v>470</v>
      </c>
      <c r="N22" s="989">
        <f>ROUND(624*(1-D74),2)</f>
        <v>624</v>
      </c>
      <c r="O22" s="92"/>
      <c r="P22" s="92"/>
      <c r="Q22" s="92"/>
    </row>
    <row r="23" spans="1:17">
      <c r="A23" s="92"/>
      <c r="B23" s="210" t="s">
        <v>279</v>
      </c>
      <c r="C23" s="211" t="s">
        <v>223</v>
      </c>
      <c r="D23" s="211" t="s">
        <v>242</v>
      </c>
      <c r="E23" s="979">
        <f>ROUND(225*(1-D74),2)</f>
        <v>225</v>
      </c>
      <c r="F23" s="142">
        <f>ROUND(284*(1-D74),2)</f>
        <v>284</v>
      </c>
      <c r="G23" s="142">
        <f>ROUND(311*(1-D74),2)</f>
        <v>311</v>
      </c>
      <c r="H23" s="980">
        <f>ROUND(353*(1-D74),2)</f>
        <v>353</v>
      </c>
      <c r="I23" s="980">
        <f>ROUND(363*(1-D74),2)</f>
        <v>363</v>
      </c>
      <c r="J23" s="981">
        <f>ROUND(432*(1-D74),2)</f>
        <v>432</v>
      </c>
      <c r="K23" s="982">
        <f>ROUND(298*(1-D74),2)</f>
        <v>298</v>
      </c>
      <c r="L23" s="980">
        <f t="shared" si="0"/>
        <v>353</v>
      </c>
      <c r="M23" s="142">
        <f>ROUND(470*(1-D74),2)</f>
        <v>470</v>
      </c>
      <c r="N23" s="142">
        <f>ROUND(624*(1-D74),2)</f>
        <v>624</v>
      </c>
      <c r="O23" s="92"/>
      <c r="P23" s="92"/>
      <c r="Q23" s="92"/>
    </row>
    <row r="24" spans="1:17">
      <c r="A24" s="92"/>
      <c r="B24" s="208" t="s">
        <v>280</v>
      </c>
      <c r="C24" s="209" t="s">
        <v>223</v>
      </c>
      <c r="D24" s="209" t="s">
        <v>242</v>
      </c>
      <c r="E24" s="151">
        <f>ROUND(225*(1-D74),2)</f>
        <v>225</v>
      </c>
      <c r="F24" s="151">
        <f>ROUND(284*(1-D74),2)</f>
        <v>284</v>
      </c>
      <c r="G24" s="151">
        <f>ROUND(311*(1-D74),2)</f>
        <v>311</v>
      </c>
      <c r="H24" s="977">
        <f>ROUND(353*(1-D74),2)</f>
        <v>353</v>
      </c>
      <c r="I24" s="977">
        <f>ROUND(363*(1-D74),2)</f>
        <v>363</v>
      </c>
      <c r="J24" s="978">
        <f>ROUND(432*(1-D74),2)</f>
        <v>432</v>
      </c>
      <c r="K24" s="209">
        <f>ROUND(298*(1-D74),2)</f>
        <v>298</v>
      </c>
      <c r="L24" s="977">
        <f t="shared" si="0"/>
        <v>353</v>
      </c>
      <c r="M24" s="151">
        <f>ROUND(470*(1-D74),2)</f>
        <v>470</v>
      </c>
      <c r="N24" s="151">
        <f>ROUND(624*(1-D74),2)</f>
        <v>624</v>
      </c>
      <c r="O24" s="92"/>
      <c r="P24" s="92"/>
      <c r="Q24" s="92"/>
    </row>
    <row r="25" spans="1:17">
      <c r="A25" s="92"/>
      <c r="B25" s="210" t="s">
        <v>281</v>
      </c>
      <c r="C25" s="211" t="s">
        <v>223</v>
      </c>
      <c r="D25" s="211" t="s">
        <v>242</v>
      </c>
      <c r="E25" s="979">
        <f>ROUND(294*(1-D74),2)</f>
        <v>294</v>
      </c>
      <c r="F25" s="142">
        <f>ROUND(374*(1-D74),2)</f>
        <v>374</v>
      </c>
      <c r="G25" s="142">
        <f>ROUND(410*(1-D74),2)</f>
        <v>410</v>
      </c>
      <c r="H25" s="980">
        <f>ROUND(464*(1-D74),2)</f>
        <v>464</v>
      </c>
      <c r="I25" s="980">
        <f>ROUND(478*(1-D74),2)</f>
        <v>478</v>
      </c>
      <c r="J25" s="981">
        <f>ROUND(571*(1-D74),2)</f>
        <v>571</v>
      </c>
      <c r="K25" s="982">
        <f>ROUND(392*(1-D74),2)</f>
        <v>392</v>
      </c>
      <c r="L25" s="980">
        <f t="shared" si="0"/>
        <v>464</v>
      </c>
      <c r="M25" s="142">
        <f>ROUND(621*(1-D74),2)</f>
        <v>621</v>
      </c>
      <c r="N25" s="142">
        <f>ROUND(827*(1-D74),2)</f>
        <v>827</v>
      </c>
      <c r="O25" s="92"/>
      <c r="P25" s="92"/>
      <c r="Q25" s="92"/>
    </row>
    <row r="26" spans="1:17">
      <c r="A26" s="92"/>
      <c r="B26" s="220" t="s">
        <v>288</v>
      </c>
      <c r="C26" s="221" t="s">
        <v>223</v>
      </c>
      <c r="D26" s="221" t="s">
        <v>242</v>
      </c>
      <c r="E26" s="989">
        <f>ROUND(225*(1-D74),2)</f>
        <v>225</v>
      </c>
      <c r="F26" s="989">
        <f>ROUND(284*(1-D74),2)</f>
        <v>284</v>
      </c>
      <c r="G26" s="989">
        <f>ROUND(311*(1-D74),2)</f>
        <v>311</v>
      </c>
      <c r="H26" s="990">
        <f>ROUND(353*(1-D74),2)</f>
        <v>353</v>
      </c>
      <c r="I26" s="990">
        <f>ROUND(363*(1-D74),2)</f>
        <v>363</v>
      </c>
      <c r="J26" s="991">
        <f>ROUND(432*(1-D74),2)</f>
        <v>432</v>
      </c>
      <c r="K26" s="221">
        <f>ROUND(298*(1-D74),2)</f>
        <v>298</v>
      </c>
      <c r="L26" s="990">
        <f t="shared" si="0"/>
        <v>353</v>
      </c>
      <c r="M26" s="989">
        <f>ROUND(470*(1-D74),2)</f>
        <v>470</v>
      </c>
      <c r="N26" s="989">
        <f>ROUND(624*(1-D74),2)</f>
        <v>624</v>
      </c>
      <c r="O26" s="92"/>
      <c r="P26" s="92"/>
      <c r="Q26" s="92"/>
    </row>
    <row r="27" spans="1:17">
      <c r="A27" s="92"/>
      <c r="B27" s="222" t="s">
        <v>289</v>
      </c>
      <c r="C27" s="223" t="s">
        <v>223</v>
      </c>
      <c r="D27" s="223" t="s">
        <v>242</v>
      </c>
      <c r="E27" s="996">
        <f>ROUND(225*(1-D74),2)</f>
        <v>225</v>
      </c>
      <c r="F27" s="997">
        <f>ROUND(284*(1-D74),2)</f>
        <v>284</v>
      </c>
      <c r="G27" s="997">
        <f>ROUND(311*(1-D74),2)</f>
        <v>311</v>
      </c>
      <c r="H27" s="998">
        <f>ROUND(353*(1-D74),2)</f>
        <v>353</v>
      </c>
      <c r="I27" s="998">
        <f>ROUND(363*(1-D74),2)</f>
        <v>363</v>
      </c>
      <c r="J27" s="999">
        <f>ROUND(432*(1-D74),2)</f>
        <v>432</v>
      </c>
      <c r="K27" s="1000">
        <f>ROUND(298*(1-D74),2)</f>
        <v>298</v>
      </c>
      <c r="L27" s="998">
        <f t="shared" si="0"/>
        <v>353</v>
      </c>
      <c r="M27" s="997">
        <f>ROUND(470*(1-D74),2)</f>
        <v>470</v>
      </c>
      <c r="N27" s="997">
        <f>ROUND(624*(1-D74),2)</f>
        <v>624</v>
      </c>
      <c r="O27" s="92"/>
      <c r="P27" s="92"/>
      <c r="Q27" s="92"/>
    </row>
    <row r="28" spans="1:17">
      <c r="A28" s="92"/>
      <c r="B28" s="220" t="s">
        <v>290</v>
      </c>
      <c r="C28" s="221" t="s">
        <v>223</v>
      </c>
      <c r="D28" s="221" t="s">
        <v>242</v>
      </c>
      <c r="E28" s="989">
        <f>ROUND(135*(1-D74),2)</f>
        <v>135</v>
      </c>
      <c r="F28" s="989">
        <f>ROUND(169*(1-D74),2)</f>
        <v>169</v>
      </c>
      <c r="G28" s="989">
        <f>ROUND(185*(1-D74),2)</f>
        <v>185</v>
      </c>
      <c r="H28" s="990">
        <f>ROUND(209*(1-D74),2)</f>
        <v>209</v>
      </c>
      <c r="I28" s="990">
        <f>ROUND(216*(1-D74),2)</f>
        <v>216</v>
      </c>
      <c r="J28" s="991">
        <f>ROUND(254*(1-D74),2)</f>
        <v>254</v>
      </c>
      <c r="K28" s="221">
        <f>ROUND(177*(1-D74),2)</f>
        <v>177</v>
      </c>
      <c r="L28" s="990">
        <f t="shared" si="0"/>
        <v>209</v>
      </c>
      <c r="M28" s="989">
        <f>ROUND(275*(1-D74),2)</f>
        <v>275</v>
      </c>
      <c r="N28" s="989">
        <f>ROUND(364*(1-D74),2)</f>
        <v>364</v>
      </c>
      <c r="O28" s="92"/>
      <c r="P28" s="92"/>
      <c r="Q28" s="92"/>
    </row>
    <row r="29" spans="1:17">
      <c r="A29" s="92"/>
      <c r="B29" s="210" t="s">
        <v>291</v>
      </c>
      <c r="C29" s="211" t="s">
        <v>223</v>
      </c>
      <c r="D29" s="211" t="s">
        <v>242</v>
      </c>
      <c r="E29" s="979">
        <f>ROUND(183*(1-D74),2)</f>
        <v>183</v>
      </c>
      <c r="F29" s="979">
        <f>ROUND(231*(1-D74),2)</f>
        <v>231</v>
      </c>
      <c r="G29" s="979">
        <f>ROUND(252*(1-D74),2)</f>
        <v>252</v>
      </c>
      <c r="H29" s="1001">
        <f>ROUND(286*(1-D74),2)</f>
        <v>286</v>
      </c>
      <c r="I29" s="1001">
        <f>ROUND(294*(1-D74),2)</f>
        <v>294</v>
      </c>
      <c r="J29" s="1002">
        <f>ROUND(349*(1-D74),2)</f>
        <v>349</v>
      </c>
      <c r="K29" s="211">
        <f>ROUND(242*(1-D74),2)</f>
        <v>242</v>
      </c>
      <c r="L29" s="1001">
        <f t="shared" si="0"/>
        <v>286</v>
      </c>
      <c r="M29" s="979">
        <f>ROUND(379*(1-D74),2)</f>
        <v>379</v>
      </c>
      <c r="N29" s="979">
        <f>ROUND(503*(1-D74),2)</f>
        <v>503</v>
      </c>
      <c r="O29" s="92"/>
      <c r="P29" s="92"/>
      <c r="Q29" s="92"/>
    </row>
    <row r="30" spans="1:17">
      <c r="A30" s="92"/>
      <c r="B30" s="208" t="s">
        <v>292</v>
      </c>
      <c r="C30" s="209" t="s">
        <v>223</v>
      </c>
      <c r="D30" s="209" t="s">
        <v>242</v>
      </c>
      <c r="E30" s="151">
        <f>ROUND(183*(1-D74),2)</f>
        <v>183</v>
      </c>
      <c r="F30" s="151">
        <f>ROUND(231*(1-D74),2)</f>
        <v>231</v>
      </c>
      <c r="G30" s="151">
        <f>ROUND(252*(1-D74),2)</f>
        <v>252</v>
      </c>
      <c r="H30" s="977">
        <f>ROUND(286*(1-D74),2)</f>
        <v>286</v>
      </c>
      <c r="I30" s="977">
        <f>ROUND(294*(1-D74),2)</f>
        <v>294</v>
      </c>
      <c r="J30" s="978">
        <f>ROUND(349*(1-D74),2)</f>
        <v>349</v>
      </c>
      <c r="K30" s="209">
        <f>ROUND(242*(1-D74),2)</f>
        <v>242</v>
      </c>
      <c r="L30" s="977">
        <f t="shared" si="0"/>
        <v>286</v>
      </c>
      <c r="M30" s="151">
        <f>ROUND(379*(1-D74),2)</f>
        <v>379</v>
      </c>
      <c r="N30" s="151">
        <f>ROUND(503*(1-D74),2)</f>
        <v>503</v>
      </c>
      <c r="O30" s="92"/>
      <c r="P30" s="92"/>
      <c r="Q30" s="92"/>
    </row>
    <row r="31" spans="1:17">
      <c r="A31" s="92"/>
      <c r="B31" s="224" t="s">
        <v>293</v>
      </c>
      <c r="C31" s="225" t="s">
        <v>223</v>
      </c>
      <c r="D31" s="225" t="s">
        <v>242</v>
      </c>
      <c r="E31" s="1003">
        <f>ROUND(225*(1-D74),2)</f>
        <v>225</v>
      </c>
      <c r="F31" s="1003">
        <f>ROUND(284*(1-D74),2)</f>
        <v>284</v>
      </c>
      <c r="G31" s="1003">
        <f>ROUND(311*(1-D74),2)</f>
        <v>311</v>
      </c>
      <c r="H31" s="1004">
        <f>ROUND(353*(1-D74),2)</f>
        <v>353</v>
      </c>
      <c r="I31" s="1004">
        <f>ROUND(363*(1-D74),2)</f>
        <v>363</v>
      </c>
      <c r="J31" s="1005">
        <f>ROUND(432*(1-D74),2)</f>
        <v>432</v>
      </c>
      <c r="K31" s="225">
        <f>ROUND(298*(1-D74),2)</f>
        <v>298</v>
      </c>
      <c r="L31" s="1004">
        <f t="shared" si="0"/>
        <v>353</v>
      </c>
      <c r="M31" s="1003">
        <f>ROUND(470*(1-D74),2)</f>
        <v>470</v>
      </c>
      <c r="N31" s="1003">
        <f>ROUND(624*(1-D74),2)</f>
        <v>624</v>
      </c>
      <c r="O31" s="92"/>
      <c r="P31" s="92"/>
      <c r="Q31" s="92"/>
    </row>
    <row r="32" spans="1:17">
      <c r="A32" s="92"/>
      <c r="B32" s="208" t="s">
        <v>790</v>
      </c>
      <c r="C32" s="209" t="s">
        <v>223</v>
      </c>
      <c r="D32" s="209" t="s">
        <v>242</v>
      </c>
      <c r="E32" s="150">
        <f>ROUND(255*(1-D74),2)</f>
        <v>255</v>
      </c>
      <c r="F32" s="150">
        <f>ROUND(284*(1-D74),2)</f>
        <v>284</v>
      </c>
      <c r="G32" s="150">
        <f>ROUND(311*(1-D74),2)</f>
        <v>311</v>
      </c>
      <c r="H32" s="983">
        <f>ROUND(353*(1-D74),2)</f>
        <v>353</v>
      </c>
      <c r="I32" s="983">
        <f>ROUND(363*(1-D74),2)</f>
        <v>363</v>
      </c>
      <c r="J32" s="984">
        <f>ROUND(432*(1-D74),2)</f>
        <v>432</v>
      </c>
      <c r="K32" s="213">
        <f>ROUND(298*(1-D74),2)</f>
        <v>298</v>
      </c>
      <c r="L32" s="150">
        <f t="shared" si="0"/>
        <v>353</v>
      </c>
      <c r="M32" s="150">
        <f>ROUND(470*(1-D74),2)</f>
        <v>470</v>
      </c>
      <c r="N32" s="150">
        <f>ROUND(624*(1-D74),2)</f>
        <v>624</v>
      </c>
      <c r="O32" s="92"/>
      <c r="P32" s="92"/>
      <c r="Q32" s="92"/>
    </row>
    <row r="33" spans="1:17">
      <c r="A33" s="92"/>
      <c r="B33" s="1323" t="s">
        <v>376</v>
      </c>
      <c r="C33" s="1324"/>
      <c r="D33" s="1324"/>
      <c r="E33" s="1324"/>
      <c r="F33" s="1324"/>
      <c r="G33" s="1324"/>
      <c r="H33" s="1324"/>
      <c r="I33" s="1324"/>
      <c r="J33" s="1324"/>
      <c r="K33" s="1324"/>
      <c r="L33" s="1324"/>
      <c r="M33" s="1324"/>
      <c r="N33" s="1324"/>
      <c r="O33" s="92"/>
      <c r="P33" s="92"/>
      <c r="Q33" s="92"/>
    </row>
    <row r="34" spans="1:17">
      <c r="A34" s="92"/>
      <c r="B34" s="210" t="s">
        <v>282</v>
      </c>
      <c r="C34" s="211" t="s">
        <v>223</v>
      </c>
      <c r="D34" s="211" t="s">
        <v>242</v>
      </c>
      <c r="E34" s="979">
        <f>ROUND(294*(1-D74),2)</f>
        <v>294</v>
      </c>
      <c r="F34" s="142">
        <f>ROUND(374*(1-D74),2)</f>
        <v>374</v>
      </c>
      <c r="G34" s="142">
        <f>ROUND(410*(1-D74),2)</f>
        <v>410</v>
      </c>
      <c r="H34" s="980">
        <f>ROUND(464*(1-D74),2)</f>
        <v>464</v>
      </c>
      <c r="I34" s="980">
        <f>ROUND(478*(1-D74),2)</f>
        <v>478</v>
      </c>
      <c r="J34" s="981">
        <f>ROUND(571*(1-D74),2)</f>
        <v>571</v>
      </c>
      <c r="K34" s="982">
        <f>ROUND(392*(1-D74),2)</f>
        <v>392</v>
      </c>
      <c r="L34" s="980">
        <f t="shared" ref="L34:L39" si="1">H34</f>
        <v>464</v>
      </c>
      <c r="M34" s="142">
        <f>ROUND(621*(1-D74),2)</f>
        <v>621</v>
      </c>
      <c r="N34" s="142">
        <f>ROUND(827*(1-D74),2)</f>
        <v>827</v>
      </c>
      <c r="O34" s="92"/>
      <c r="P34" s="92"/>
      <c r="Q34" s="92"/>
    </row>
    <row r="35" spans="1:17">
      <c r="A35" s="92"/>
      <c r="B35" s="208" t="s">
        <v>283</v>
      </c>
      <c r="C35" s="209" t="s">
        <v>223</v>
      </c>
      <c r="D35" s="209" t="s">
        <v>242</v>
      </c>
      <c r="E35" s="151">
        <f>ROUND(294*(1-D74),2)</f>
        <v>294</v>
      </c>
      <c r="F35" s="151">
        <f>ROUND(374*(1-D74),2)</f>
        <v>374</v>
      </c>
      <c r="G35" s="151">
        <f>ROUND(410*(1-D74),2)</f>
        <v>410</v>
      </c>
      <c r="H35" s="977">
        <f>ROUND(464*(1-D74),2)</f>
        <v>464</v>
      </c>
      <c r="I35" s="977">
        <f>ROUND(478*(1-D74),2)</f>
        <v>478</v>
      </c>
      <c r="J35" s="151">
        <f>ROUND(571*(1-D74),2)</f>
        <v>571</v>
      </c>
      <c r="K35" s="209">
        <f>ROUND(392*(1-D74),2)</f>
        <v>392</v>
      </c>
      <c r="L35" s="977">
        <f t="shared" si="1"/>
        <v>464</v>
      </c>
      <c r="M35" s="151">
        <f>ROUND(621*(1-D74),2)</f>
        <v>621</v>
      </c>
      <c r="N35" s="151">
        <f>ROUND(827*(1-D74),2)</f>
        <v>827</v>
      </c>
      <c r="O35" s="92"/>
      <c r="P35" s="92"/>
      <c r="Q35" s="92"/>
    </row>
    <row r="36" spans="1:17">
      <c r="A36" s="92"/>
      <c r="B36" s="210" t="s">
        <v>284</v>
      </c>
      <c r="C36" s="211" t="s">
        <v>223</v>
      </c>
      <c r="D36" s="211" t="s">
        <v>242</v>
      </c>
      <c r="E36" s="979">
        <f>ROUND(294*(1-D74),2)</f>
        <v>294</v>
      </c>
      <c r="F36" s="142">
        <f>ROUND(374*(1-D74),2)</f>
        <v>374</v>
      </c>
      <c r="G36" s="142">
        <f>ROUND(410*(1-D74),2)</f>
        <v>410</v>
      </c>
      <c r="H36" s="980">
        <f>ROUND(464*(1-D74),2)</f>
        <v>464</v>
      </c>
      <c r="I36" s="980">
        <f>ROUND(478*(1-D74),2)</f>
        <v>478</v>
      </c>
      <c r="J36" s="981">
        <f>ROUND(571*(1-D74),2)</f>
        <v>571</v>
      </c>
      <c r="K36" s="982">
        <f>ROUND(392*(1-D74),2)</f>
        <v>392</v>
      </c>
      <c r="L36" s="980">
        <f t="shared" si="1"/>
        <v>464</v>
      </c>
      <c r="M36" s="142">
        <f>ROUND(621*(1-D74),2)</f>
        <v>621</v>
      </c>
      <c r="N36" s="142">
        <f>ROUND(827*(1-D74),2)</f>
        <v>827</v>
      </c>
      <c r="O36" s="92"/>
      <c r="P36" s="92"/>
      <c r="Q36" s="92"/>
    </row>
    <row r="37" spans="1:17">
      <c r="A37" s="92"/>
      <c r="B37" s="208" t="s">
        <v>285</v>
      </c>
      <c r="C37" s="209" t="s">
        <v>223</v>
      </c>
      <c r="D37" s="209" t="s">
        <v>242</v>
      </c>
      <c r="E37" s="151">
        <f>ROUND(294*(1-D74),2)</f>
        <v>294</v>
      </c>
      <c r="F37" s="151">
        <f>ROUND(374*(1-D74),2)</f>
        <v>374</v>
      </c>
      <c r="G37" s="151">
        <f>ROUND(410*(1-D74),2)</f>
        <v>410</v>
      </c>
      <c r="H37" s="977">
        <f>ROUND(464*(1-D74),2)</f>
        <v>464</v>
      </c>
      <c r="I37" s="977">
        <f>ROUND(478*(1-D74),2)</f>
        <v>478</v>
      </c>
      <c r="J37" s="151">
        <f>ROUND(571*(1-D74),2)</f>
        <v>571</v>
      </c>
      <c r="K37" s="209">
        <f>ROUND(392*(1-D74),2)</f>
        <v>392</v>
      </c>
      <c r="L37" s="977">
        <f t="shared" si="1"/>
        <v>464</v>
      </c>
      <c r="M37" s="151">
        <f>ROUND(621*(1-D74),2)</f>
        <v>621</v>
      </c>
      <c r="N37" s="151">
        <f>ROUND(827*(1-D74),2)</f>
        <v>827</v>
      </c>
      <c r="O37" s="92"/>
      <c r="P37" s="92"/>
      <c r="Q37" s="92"/>
    </row>
    <row r="38" spans="1:17">
      <c r="A38" s="92"/>
      <c r="B38" s="210" t="s">
        <v>286</v>
      </c>
      <c r="C38" s="211" t="s">
        <v>223</v>
      </c>
      <c r="D38" s="211" t="s">
        <v>242</v>
      </c>
      <c r="E38" s="979">
        <f>ROUND(294*(1-D74),2)</f>
        <v>294</v>
      </c>
      <c r="F38" s="142">
        <f>ROUND(374*(1-D74),2)</f>
        <v>374</v>
      </c>
      <c r="G38" s="142">
        <f>ROUND(410*(1-D74),2)</f>
        <v>410</v>
      </c>
      <c r="H38" s="980">
        <f>ROUND(464*(1-D74),2)</f>
        <v>464</v>
      </c>
      <c r="I38" s="980">
        <f>ROUND(478*(1-D74),2)</f>
        <v>478</v>
      </c>
      <c r="J38" s="981">
        <f>ROUND(571*(1-D74),2)</f>
        <v>571</v>
      </c>
      <c r="K38" s="982">
        <f>ROUND(392*(1-D74),2)</f>
        <v>392</v>
      </c>
      <c r="L38" s="980">
        <f t="shared" si="1"/>
        <v>464</v>
      </c>
      <c r="M38" s="142">
        <f>ROUND(621*(1-D74),2)</f>
        <v>621</v>
      </c>
      <c r="N38" s="142">
        <f>ROUND(827*(1-D74),2)</f>
        <v>827</v>
      </c>
      <c r="O38" s="92"/>
      <c r="P38" s="92"/>
      <c r="Q38" s="92"/>
    </row>
    <row r="39" spans="1:17">
      <c r="A39" s="92"/>
      <c r="B39" s="212" t="s">
        <v>287</v>
      </c>
      <c r="C39" s="213" t="s">
        <v>223</v>
      </c>
      <c r="D39" s="213" t="s">
        <v>242</v>
      </c>
      <c r="E39" s="150">
        <f>ROUND(294*(1-D74),2)</f>
        <v>294</v>
      </c>
      <c r="F39" s="150">
        <f>ROUND(374*(1-D74),2)</f>
        <v>374</v>
      </c>
      <c r="G39" s="150">
        <f>ROUND(410*(1-D74),2)</f>
        <v>410</v>
      </c>
      <c r="H39" s="150">
        <f>ROUND(464*(1-D74),2)</f>
        <v>464</v>
      </c>
      <c r="I39" s="983">
        <f>ROUND(478*(1-D74),2)</f>
        <v>478</v>
      </c>
      <c r="J39" s="151">
        <f>ROUND(571*(1-D74),2)</f>
        <v>571</v>
      </c>
      <c r="K39" s="213">
        <f>ROUND(392*(1-D74),2)</f>
        <v>392</v>
      </c>
      <c r="L39" s="983">
        <f t="shared" si="1"/>
        <v>464</v>
      </c>
      <c r="M39" s="150">
        <f>ROUND(621*(1-D74),2)</f>
        <v>621</v>
      </c>
      <c r="N39" s="150">
        <f>ROUND(827*(1-D74),2)</f>
        <v>827</v>
      </c>
      <c r="O39" s="92"/>
      <c r="P39" s="92"/>
      <c r="Q39" s="92"/>
    </row>
    <row r="40" spans="1:17">
      <c r="A40" s="92"/>
      <c r="B40" s="1323" t="s">
        <v>294</v>
      </c>
      <c r="C40" s="1324"/>
      <c r="D40" s="1324"/>
      <c r="E40" s="1324"/>
      <c r="F40" s="1324"/>
      <c r="G40" s="1324"/>
      <c r="H40" s="1324"/>
      <c r="I40" s="1324"/>
      <c r="J40" s="1324"/>
      <c r="K40" s="1324"/>
      <c r="L40" s="1324"/>
      <c r="M40" s="1324"/>
      <c r="N40" s="1324"/>
      <c r="O40" s="92"/>
      <c r="P40" s="92"/>
      <c r="Q40" s="92"/>
    </row>
    <row r="41" spans="1:17">
      <c r="A41" s="92"/>
      <c r="B41" s="226" t="s">
        <v>295</v>
      </c>
      <c r="C41" s="203" t="s">
        <v>223</v>
      </c>
      <c r="D41" s="203" t="s">
        <v>242</v>
      </c>
      <c r="E41" s="194" t="s">
        <v>21</v>
      </c>
      <c r="F41" s="194">
        <f>ROUND(114*(1-D74),2)</f>
        <v>114</v>
      </c>
      <c r="G41" s="194">
        <f>ROUND(124*(1-D74),2)</f>
        <v>124</v>
      </c>
      <c r="H41" s="194" t="s">
        <v>21</v>
      </c>
      <c r="I41" s="968">
        <f>ROUND(143*(1-D74),2)</f>
        <v>143</v>
      </c>
      <c r="J41" s="194">
        <f>ROUND(168*(1-D74),2)</f>
        <v>168</v>
      </c>
      <c r="K41" s="194" t="s">
        <v>21</v>
      </c>
      <c r="L41" s="1006">
        <f>ROUND(140*(1-D74),2)</f>
        <v>140</v>
      </c>
      <c r="M41" s="194">
        <f>ROUND(181*(1-D74),2)</f>
        <v>181</v>
      </c>
      <c r="N41" s="194">
        <f>ROUND(237*(1-D74),2)</f>
        <v>237</v>
      </c>
      <c r="O41" s="92"/>
      <c r="P41" s="92"/>
      <c r="Q41" s="92"/>
    </row>
    <row r="42" spans="1:17">
      <c r="A42" s="92"/>
      <c r="B42" s="227" t="s">
        <v>296</v>
      </c>
      <c r="C42" s="205" t="s">
        <v>223</v>
      </c>
      <c r="D42" s="205" t="s">
        <v>242</v>
      </c>
      <c r="E42" s="196" t="s">
        <v>21</v>
      </c>
      <c r="F42" s="196">
        <f>ROUND(114*(1-D74),2)</f>
        <v>114</v>
      </c>
      <c r="G42" s="196">
        <f>ROUND(124*(1-D74),2)</f>
        <v>124</v>
      </c>
      <c r="H42" s="196" t="s">
        <v>21</v>
      </c>
      <c r="I42" s="971">
        <f>ROUND(143*(1-D74),2)</f>
        <v>143</v>
      </c>
      <c r="J42" s="196">
        <f>ROUND(168*(1-E74),2)</f>
        <v>168</v>
      </c>
      <c r="K42" s="196" t="s">
        <v>21</v>
      </c>
      <c r="L42" s="1007">
        <f>ROUND(140*(1-D74),2)</f>
        <v>140</v>
      </c>
      <c r="M42" s="196">
        <f>ROUND(181*(1-D74),2)</f>
        <v>181</v>
      </c>
      <c r="N42" s="196">
        <f>ROUND(237*(1-D74),2)</f>
        <v>237</v>
      </c>
      <c r="O42" s="92"/>
      <c r="P42" s="92"/>
      <c r="Q42" s="92"/>
    </row>
    <row r="43" spans="1:17">
      <c r="A43" s="92"/>
      <c r="B43" s="228" t="s">
        <v>297</v>
      </c>
      <c r="C43" s="207" t="s">
        <v>223</v>
      </c>
      <c r="D43" s="207" t="s">
        <v>242</v>
      </c>
      <c r="E43" s="141" t="s">
        <v>21</v>
      </c>
      <c r="F43" s="141">
        <f>ROUND(169*(1-D74),2)</f>
        <v>169</v>
      </c>
      <c r="G43" s="141">
        <f>ROUND(185*(1-D74),2)</f>
        <v>185</v>
      </c>
      <c r="H43" s="141" t="s">
        <v>21</v>
      </c>
      <c r="I43" s="974">
        <f>ROUND(216*(1-D74),2)</f>
        <v>216</v>
      </c>
      <c r="J43" s="141">
        <f>ROUND(254*(1-E74),2)</f>
        <v>254</v>
      </c>
      <c r="K43" s="141" t="s">
        <v>21</v>
      </c>
      <c r="L43" s="1008">
        <f>ROUND(209*(1-D74),2)</f>
        <v>209</v>
      </c>
      <c r="M43" s="141">
        <f>ROUND(275*(1-D74),2)</f>
        <v>275</v>
      </c>
      <c r="N43" s="141">
        <f>ROUND(364*(1-D74),2)</f>
        <v>364</v>
      </c>
      <c r="O43" s="92"/>
      <c r="P43" s="92"/>
      <c r="Q43" s="92"/>
    </row>
    <row r="44" spans="1:17">
      <c r="B44" s="229" t="s">
        <v>298</v>
      </c>
      <c r="C44" s="213" t="s">
        <v>223</v>
      </c>
      <c r="D44" s="213" t="s">
        <v>242</v>
      </c>
      <c r="E44" s="150" t="s">
        <v>21</v>
      </c>
      <c r="F44" s="150">
        <f>ROUND(114*(1-D74),2)</f>
        <v>114</v>
      </c>
      <c r="G44" s="150">
        <f>ROUND(124*(1-D74),2)</f>
        <v>124</v>
      </c>
      <c r="H44" s="150" t="s">
        <v>21</v>
      </c>
      <c r="I44" s="983">
        <f>ROUND(143*(1-D74),2)</f>
        <v>143</v>
      </c>
      <c r="J44" s="150">
        <f>ROUND(168*(1-E74),2)</f>
        <v>168</v>
      </c>
      <c r="K44" s="150" t="s">
        <v>21</v>
      </c>
      <c r="L44" s="1009">
        <f>ROUND(140*(1-D74),2)</f>
        <v>140</v>
      </c>
      <c r="M44" s="150">
        <f>ROUND(181*(1-D74),2)</f>
        <v>181</v>
      </c>
      <c r="N44" s="150">
        <f>ROUND(237*(1-D74),2)</f>
        <v>237</v>
      </c>
    </row>
    <row r="45" spans="1:17">
      <c r="B45" s="228" t="s">
        <v>299</v>
      </c>
      <c r="C45" s="207" t="s">
        <v>223</v>
      </c>
      <c r="D45" s="207" t="s">
        <v>242</v>
      </c>
      <c r="E45" s="141" t="s">
        <v>21</v>
      </c>
      <c r="F45" s="141">
        <f>ROUND(231*(1-D74),2)</f>
        <v>231</v>
      </c>
      <c r="G45" s="141">
        <f>ROUND(252*(1-D74),2)</f>
        <v>252</v>
      </c>
      <c r="H45" s="141" t="s">
        <v>21</v>
      </c>
      <c r="I45" s="974">
        <f>ROUND(294*(1-D74),2)</f>
        <v>294</v>
      </c>
      <c r="J45" s="141">
        <f>ROUND(346*(1-E74),2)</f>
        <v>346</v>
      </c>
      <c r="K45" s="141" t="s">
        <v>21</v>
      </c>
      <c r="L45" s="1008">
        <f>ROUND(286*(1-D74),2)</f>
        <v>286</v>
      </c>
      <c r="M45" s="141">
        <f>ROUND(379*(1-D74),2)</f>
        <v>379</v>
      </c>
      <c r="N45" s="141">
        <f>ROUND(503*(1-D74),2)</f>
        <v>503</v>
      </c>
    </row>
    <row r="46" spans="1:17">
      <c r="B46" s="230" t="s">
        <v>300</v>
      </c>
      <c r="C46" s="209" t="s">
        <v>223</v>
      </c>
      <c r="D46" s="209" t="s">
        <v>242</v>
      </c>
      <c r="E46" s="151" t="s">
        <v>21</v>
      </c>
      <c r="F46" s="151">
        <f>ROUND(150*(1-D74),2)</f>
        <v>150</v>
      </c>
      <c r="G46" s="151">
        <f>ROUND(164*(1-D74),2)</f>
        <v>164</v>
      </c>
      <c r="H46" s="151" t="s">
        <v>21</v>
      </c>
      <c r="I46" s="977">
        <f>ROUND(190*(1-D74),2)</f>
        <v>190</v>
      </c>
      <c r="J46" s="151">
        <f>ROUND(222*(1-E74),2)</f>
        <v>222</v>
      </c>
      <c r="K46" s="151" t="s">
        <v>21</v>
      </c>
      <c r="L46" s="1010">
        <f>ROUND(185*(1-D74),2)</f>
        <v>185</v>
      </c>
      <c r="M46" s="151">
        <f>ROUND(243*(1-D74),2)</f>
        <v>243</v>
      </c>
      <c r="N46" s="151">
        <f>ROUND(320*(1-D74),2)</f>
        <v>320</v>
      </c>
    </row>
    <row r="47" spans="1:17">
      <c r="B47" s="231" t="s">
        <v>301</v>
      </c>
      <c r="C47" s="211" t="s">
        <v>223</v>
      </c>
      <c r="D47" s="211" t="s">
        <v>242</v>
      </c>
      <c r="E47" s="142" t="s">
        <v>21</v>
      </c>
      <c r="F47" s="142">
        <f>ROUND(169*(1-D74),2)</f>
        <v>169</v>
      </c>
      <c r="G47" s="142">
        <f>ROUND(185*(1-D74),2)</f>
        <v>185</v>
      </c>
      <c r="H47" s="142" t="s">
        <v>21</v>
      </c>
      <c r="I47" s="980">
        <f>ROUND(216*(1-D74),2)</f>
        <v>216</v>
      </c>
      <c r="J47" s="142">
        <f>ROUND(254*(1-E74),2)</f>
        <v>254</v>
      </c>
      <c r="K47" s="142" t="s">
        <v>21</v>
      </c>
      <c r="L47" s="1011">
        <f>ROUND(209*(1-D74),2)</f>
        <v>209</v>
      </c>
      <c r="M47" s="142">
        <f>ROUND(275*(1-D74),2)</f>
        <v>275</v>
      </c>
      <c r="N47" s="142">
        <f>ROUND(364*(1-D74),2)</f>
        <v>364</v>
      </c>
    </row>
    <row r="48" spans="1:17">
      <c r="B48" s="229" t="s">
        <v>302</v>
      </c>
      <c r="C48" s="213" t="s">
        <v>223</v>
      </c>
      <c r="D48" s="213" t="s">
        <v>242</v>
      </c>
      <c r="E48" s="150" t="s">
        <v>21</v>
      </c>
      <c r="F48" s="150">
        <f>ROUND(169*(1-D74),2)</f>
        <v>169</v>
      </c>
      <c r="G48" s="150">
        <f>ROUND(185*(1-D74),2)</f>
        <v>185</v>
      </c>
      <c r="H48" s="150" t="s">
        <v>21</v>
      </c>
      <c r="I48" s="983">
        <f>ROUND(216*(1-D74),2)</f>
        <v>216</v>
      </c>
      <c r="J48" s="150">
        <f>ROUND(254*(1-E74),2)</f>
        <v>254</v>
      </c>
      <c r="K48" s="150" t="s">
        <v>21</v>
      </c>
      <c r="L48" s="1009">
        <f>ROUND(209*(1-D74),2)</f>
        <v>209</v>
      </c>
      <c r="M48" s="150">
        <f>ROUND(275*(1-D74),2)</f>
        <v>275</v>
      </c>
      <c r="N48" s="150">
        <f>ROUND(364*(1-D74),2)</f>
        <v>364</v>
      </c>
    </row>
    <row r="49" spans="2:14">
      <c r="B49" s="1323" t="s">
        <v>303</v>
      </c>
      <c r="C49" s="1324"/>
      <c r="D49" s="1324"/>
      <c r="E49" s="1324"/>
      <c r="F49" s="1324"/>
      <c r="G49" s="1324"/>
      <c r="H49" s="1324"/>
      <c r="I49" s="1324"/>
      <c r="J49" s="1324"/>
      <c r="K49" s="1324"/>
      <c r="L49" s="1324"/>
      <c r="M49" s="1324"/>
      <c r="N49" s="1324"/>
    </row>
    <row r="50" spans="2:14">
      <c r="B50" s="202" t="s">
        <v>304</v>
      </c>
      <c r="C50" s="139" t="s">
        <v>223</v>
      </c>
      <c r="D50" s="203" t="s">
        <v>242</v>
      </c>
      <c r="E50" s="194" t="s">
        <v>21</v>
      </c>
      <c r="F50" s="194">
        <f>ROUND(114*(1-D74),2)</f>
        <v>114</v>
      </c>
      <c r="G50" s="194">
        <f>ROUND(124*(1-D74),2)</f>
        <v>124</v>
      </c>
      <c r="H50" s="968">
        <f>ROUND(140*(1-D74),2)</f>
        <v>140</v>
      </c>
      <c r="I50" s="968">
        <f>ROUND(143*(1-D74),2)</f>
        <v>143</v>
      </c>
      <c r="J50" s="194">
        <f>ROUND(168*(1-E74),2)</f>
        <v>168</v>
      </c>
      <c r="K50" s="194" t="s">
        <v>21</v>
      </c>
      <c r="L50" s="968">
        <f>H50</f>
        <v>140</v>
      </c>
      <c r="M50" s="194">
        <f>ROUND(181*(1-D74),2)</f>
        <v>181</v>
      </c>
      <c r="N50" s="194">
        <f>ROUND(237*(1-D74),2)</f>
        <v>237</v>
      </c>
    </row>
    <row r="51" spans="2:14">
      <c r="B51" s="204" t="s">
        <v>305</v>
      </c>
      <c r="C51" s="149" t="s">
        <v>223</v>
      </c>
      <c r="D51" s="205" t="s">
        <v>242</v>
      </c>
      <c r="E51" s="196" t="s">
        <v>21</v>
      </c>
      <c r="F51" s="196">
        <f>ROUND(114*(1-D74),2)</f>
        <v>114</v>
      </c>
      <c r="G51" s="196">
        <f>ROUND(124*(1-D74),2)</f>
        <v>124</v>
      </c>
      <c r="H51" s="971">
        <f>ROUND(140*(1-D74),2)</f>
        <v>140</v>
      </c>
      <c r="I51" s="971">
        <f>ROUND(143*(1-D74),2)</f>
        <v>143</v>
      </c>
      <c r="J51" s="196">
        <f>ROUND(168*(1-E74),2)</f>
        <v>168</v>
      </c>
      <c r="K51" s="196" t="s">
        <v>21</v>
      </c>
      <c r="L51" s="971">
        <f>H51</f>
        <v>140</v>
      </c>
      <c r="M51" s="196">
        <f>ROUND(181*(1-D74),2)</f>
        <v>181</v>
      </c>
      <c r="N51" s="196">
        <f>ROUND(237*(1-D74),2)</f>
        <v>237</v>
      </c>
    </row>
    <row r="52" spans="2:14">
      <c r="B52" s="214" t="s">
        <v>306</v>
      </c>
      <c r="C52" s="140" t="s">
        <v>223</v>
      </c>
      <c r="D52" s="215" t="s">
        <v>242</v>
      </c>
      <c r="E52" s="143" t="s">
        <v>21</v>
      </c>
      <c r="F52" s="143">
        <f>ROUND(195*(1-D74),2)</f>
        <v>195</v>
      </c>
      <c r="G52" s="143">
        <f>ROUND(213*(1-D74),2)</f>
        <v>213</v>
      </c>
      <c r="H52" s="986">
        <f>ROUND(241*(1-D74),2)</f>
        <v>241</v>
      </c>
      <c r="I52" s="986">
        <f>ROUND(248*(1-D74),2)</f>
        <v>248</v>
      </c>
      <c r="J52" s="143">
        <f>ROUND(294*(1-E74),2)</f>
        <v>294</v>
      </c>
      <c r="K52" s="143" t="s">
        <v>21</v>
      </c>
      <c r="L52" s="986">
        <f>H52</f>
        <v>241</v>
      </c>
      <c r="M52" s="143">
        <f>ROUND(318*(1-D74),2)</f>
        <v>318</v>
      </c>
      <c r="N52" s="143">
        <f>ROUND(422*(1-D74),2)</f>
        <v>422</v>
      </c>
    </row>
    <row r="53" spans="2:14">
      <c r="B53" s="232" t="s">
        <v>307</v>
      </c>
      <c r="C53" s="152" t="s">
        <v>223</v>
      </c>
      <c r="D53" s="233" t="s">
        <v>242</v>
      </c>
      <c r="E53" s="153" t="s">
        <v>21</v>
      </c>
      <c r="F53" s="153">
        <f>ROUND(284*(1-D74),2)</f>
        <v>284</v>
      </c>
      <c r="G53" s="153">
        <f>ROUND(311*(1-D74),2)</f>
        <v>311</v>
      </c>
      <c r="H53" s="1012">
        <f>ROUND(353*(1-D74),2)</f>
        <v>353</v>
      </c>
      <c r="I53" s="1012">
        <f>ROUND(363*(1-D74),2)</f>
        <v>363</v>
      </c>
      <c r="J53" s="153">
        <f>ROUND(432*(1-E74),2)</f>
        <v>432</v>
      </c>
      <c r="K53" s="153" t="s">
        <v>21</v>
      </c>
      <c r="L53" s="1012">
        <f>H53</f>
        <v>353</v>
      </c>
      <c r="M53" s="153">
        <f>ROUND(470*(1-D74),2)</f>
        <v>470</v>
      </c>
      <c r="N53" s="153">
        <f>ROUND(624*(1-D74),2)</f>
        <v>624</v>
      </c>
    </row>
    <row r="54" spans="2:14">
      <c r="B54" s="214" t="s">
        <v>308</v>
      </c>
      <c r="C54" s="140" t="s">
        <v>223</v>
      </c>
      <c r="D54" s="215" t="s">
        <v>242</v>
      </c>
      <c r="E54" s="143" t="s">
        <v>21</v>
      </c>
      <c r="F54" s="143">
        <f>ROUND(195*(1-D74),2)</f>
        <v>195</v>
      </c>
      <c r="G54" s="143">
        <f>ROUND(213*(1-D74),2)</f>
        <v>213</v>
      </c>
      <c r="H54" s="986">
        <f>ROUND(241*(1-D74),2)</f>
        <v>241</v>
      </c>
      <c r="I54" s="986">
        <f>ROUND(248*(1-D74),2)</f>
        <v>248</v>
      </c>
      <c r="J54" s="143">
        <f>ROUND(294*(1-E74),2)</f>
        <v>294</v>
      </c>
      <c r="K54" s="143" t="s">
        <v>21</v>
      </c>
      <c r="L54" s="986">
        <f>H54</f>
        <v>241</v>
      </c>
      <c r="M54" s="143">
        <f>ROUND(318*(1-D74),2)</f>
        <v>318</v>
      </c>
      <c r="N54" s="143">
        <f>ROUND(422*(1-D74),2)</f>
        <v>422</v>
      </c>
    </row>
    <row r="55" spans="2:14">
      <c r="B55" s="1325"/>
      <c r="C55" s="1325"/>
      <c r="D55" s="1325"/>
      <c r="E55" s="1325"/>
      <c r="F55" s="1325"/>
      <c r="G55" s="1325"/>
      <c r="H55" s="1325"/>
      <c r="I55" s="1325"/>
      <c r="J55" s="1325"/>
      <c r="K55" s="1325"/>
      <c r="L55" s="1325"/>
      <c r="M55" s="1325"/>
      <c r="N55" s="1325"/>
    </row>
    <row r="56" spans="2:14">
      <c r="B56" s="1013" t="s">
        <v>309</v>
      </c>
      <c r="C56" s="1014" t="s">
        <v>223</v>
      </c>
      <c r="D56" s="1015" t="s">
        <v>367</v>
      </c>
      <c r="E56" s="1326" t="s">
        <v>1041</v>
      </c>
      <c r="F56" s="1326"/>
      <c r="G56" s="1326"/>
      <c r="H56" s="1326"/>
      <c r="I56" s="1326"/>
      <c r="J56" s="1326"/>
      <c r="K56" s="1326"/>
      <c r="L56" s="1326"/>
      <c r="M56" s="1326"/>
      <c r="N56" s="1326"/>
    </row>
  </sheetData>
  <mergeCells count="10">
    <mergeCell ref="B40:N40"/>
    <mergeCell ref="B49:N49"/>
    <mergeCell ref="B55:N55"/>
    <mergeCell ref="E56:N56"/>
    <mergeCell ref="B6:B7"/>
    <mergeCell ref="C6:C7"/>
    <mergeCell ref="D6:D7"/>
    <mergeCell ref="E6:N6"/>
    <mergeCell ref="B8:N8"/>
    <mergeCell ref="B33:N3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2:Q54"/>
  <sheetViews>
    <sheetView workbookViewId="0">
      <selection activeCell="D2" sqref="D2:E3"/>
    </sheetView>
  </sheetViews>
  <sheetFormatPr defaultRowHeight="15"/>
  <cols>
    <col min="2" max="2" width="15.28515625" customWidth="1"/>
    <col min="3" max="3" width="19.85546875" customWidth="1"/>
  </cols>
  <sheetData>
    <row r="2" spans="2:17">
      <c r="B2" s="93"/>
      <c r="C2" s="93" t="s">
        <v>131</v>
      </c>
      <c r="D2" s="93"/>
      <c r="E2" s="93"/>
    </row>
    <row r="3" spans="2:17">
      <c r="B3" s="93" t="s">
        <v>190</v>
      </c>
      <c r="C3" s="110">
        <v>0.22</v>
      </c>
      <c r="D3" s="110"/>
      <c r="E3" s="110"/>
    </row>
    <row r="6" spans="2:17" ht="20.25">
      <c r="B6" s="615"/>
      <c r="C6" s="615"/>
      <c r="D6" s="615"/>
      <c r="E6" s="615"/>
      <c r="F6" s="616"/>
      <c r="G6" s="617"/>
      <c r="H6" s="617"/>
      <c r="I6" s="617"/>
      <c r="J6" s="618" t="s">
        <v>377</v>
      </c>
      <c r="K6" s="617"/>
      <c r="L6" s="626"/>
      <c r="M6" s="618"/>
      <c r="N6" s="618"/>
      <c r="O6" s="1357">
        <v>42036</v>
      </c>
      <c r="P6" s="1357"/>
      <c r="Q6" s="1357"/>
    </row>
    <row r="7" spans="2:17" ht="20.25">
      <c r="B7" s="1358" t="s">
        <v>399</v>
      </c>
      <c r="C7" s="1358" t="s">
        <v>0</v>
      </c>
      <c r="D7" s="1358" t="s">
        <v>400</v>
      </c>
      <c r="E7" s="1358" t="s">
        <v>401</v>
      </c>
      <c r="F7" s="1358"/>
      <c r="G7" s="1358"/>
      <c r="H7" s="1358"/>
      <c r="I7" s="1358"/>
      <c r="J7" s="1358" t="s">
        <v>1411</v>
      </c>
      <c r="K7" s="1358"/>
      <c r="L7" s="1358"/>
      <c r="M7" s="1358"/>
      <c r="N7" s="1358"/>
      <c r="O7" s="1358"/>
      <c r="P7" s="1358"/>
      <c r="Q7" s="1358"/>
    </row>
    <row r="8" spans="2:17" ht="20.25">
      <c r="B8" s="1358"/>
      <c r="C8" s="1358"/>
      <c r="D8" s="1358"/>
      <c r="E8" s="1358"/>
      <c r="F8" s="1358"/>
      <c r="G8" s="1358"/>
      <c r="H8" s="1358"/>
      <c r="I8" s="1358"/>
      <c r="J8" s="1358" t="s">
        <v>402</v>
      </c>
      <c r="K8" s="1358"/>
      <c r="L8" s="1358"/>
      <c r="M8" s="1358"/>
      <c r="N8" s="1358"/>
      <c r="O8" s="1358"/>
      <c r="P8" s="1358"/>
      <c r="Q8" s="1358"/>
    </row>
    <row r="9" spans="2:17" ht="15.75">
      <c r="B9" s="1363"/>
      <c r="C9" s="1385" t="s">
        <v>403</v>
      </c>
      <c r="D9" s="1386">
        <v>2</v>
      </c>
      <c r="E9" s="1389" t="s">
        <v>404</v>
      </c>
      <c r="F9" s="1389"/>
      <c r="G9" s="1389"/>
      <c r="H9" s="1389"/>
      <c r="I9" s="1389"/>
      <c r="J9" s="1378" t="s">
        <v>405</v>
      </c>
      <c r="K9" s="1378"/>
      <c r="L9" s="1378"/>
      <c r="M9" s="1378"/>
      <c r="N9" s="1378" t="s">
        <v>406</v>
      </c>
      <c r="O9" s="1378"/>
      <c r="P9" s="1378"/>
      <c r="Q9" s="1378"/>
    </row>
    <row r="10" spans="2:17" ht="15.75">
      <c r="B10" s="1363"/>
      <c r="C10" s="1385"/>
      <c r="D10" s="1387"/>
      <c r="E10" s="1389"/>
      <c r="F10" s="1389"/>
      <c r="G10" s="1389"/>
      <c r="H10" s="1389"/>
      <c r="I10" s="1389"/>
      <c r="J10" s="1378" t="s">
        <v>407</v>
      </c>
      <c r="K10" s="1378"/>
      <c r="L10" s="1378"/>
      <c r="M10" s="1378"/>
      <c r="N10" s="1378"/>
      <c r="O10" s="1378"/>
      <c r="P10" s="1378"/>
      <c r="Q10" s="1378"/>
    </row>
    <row r="11" spans="2:17">
      <c r="B11" s="1363"/>
      <c r="C11" s="1385"/>
      <c r="D11" s="1387"/>
      <c r="E11" s="1389"/>
      <c r="F11" s="1389"/>
      <c r="G11" s="1389"/>
      <c r="H11" s="1389"/>
      <c r="I11" s="1389"/>
      <c r="J11" s="1365">
        <v>2500</v>
      </c>
      <c r="K11" s="1365"/>
      <c r="L11" s="1365">
        <v>3000</v>
      </c>
      <c r="M11" s="1365"/>
      <c r="N11" s="1365">
        <v>2500</v>
      </c>
      <c r="O11" s="1365"/>
      <c r="P11" s="1365">
        <v>3000</v>
      </c>
      <c r="Q11" s="1365"/>
    </row>
    <row r="12" spans="2:17">
      <c r="B12" s="1363"/>
      <c r="C12" s="1385"/>
      <c r="D12" s="1388"/>
      <c r="E12" s="1389"/>
      <c r="F12" s="1389"/>
      <c r="G12" s="1389"/>
      <c r="H12" s="1389"/>
      <c r="I12" s="1389"/>
      <c r="J12" s="1379">
        <f>(J26*2+J36+J44*2)/2.5</f>
        <v>469.6</v>
      </c>
      <c r="K12" s="1380"/>
      <c r="L12" s="1381">
        <f>(J26*2+J38+J44*2)/2.5</f>
        <v>515.6</v>
      </c>
      <c r="M12" s="1382"/>
      <c r="N12" s="1381">
        <f>(J28*2+J37+J45*2)/2.5</f>
        <v>710.8</v>
      </c>
      <c r="O12" s="1380"/>
      <c r="P12" s="1381">
        <f>(J28*2+J39+J45*2)/2.5</f>
        <v>778</v>
      </c>
      <c r="Q12" s="1383"/>
    </row>
    <row r="13" spans="2:17" ht="20.25">
      <c r="B13" s="1360"/>
      <c r="C13" s="1360"/>
      <c r="D13" s="1360"/>
      <c r="E13" s="1360"/>
      <c r="F13" s="1360"/>
      <c r="G13" s="1360"/>
      <c r="H13" s="1360"/>
      <c r="I13" s="1360"/>
      <c r="J13" s="1361" t="s">
        <v>407</v>
      </c>
      <c r="K13" s="1361"/>
      <c r="L13" s="1361"/>
      <c r="M13" s="1361"/>
      <c r="N13" s="1361"/>
      <c r="O13" s="1361"/>
      <c r="P13" s="1361"/>
      <c r="Q13" s="1361"/>
    </row>
    <row r="14" spans="2:17" ht="20.25">
      <c r="B14" s="1360"/>
      <c r="C14" s="1360"/>
      <c r="D14" s="1360"/>
      <c r="E14" s="1360"/>
      <c r="F14" s="1360"/>
      <c r="G14" s="1360"/>
      <c r="H14" s="1360"/>
      <c r="I14" s="1360"/>
      <c r="J14" s="1359">
        <v>2500</v>
      </c>
      <c r="K14" s="1359"/>
      <c r="L14" s="1359"/>
      <c r="M14" s="1359"/>
      <c r="N14" s="1359">
        <v>3000</v>
      </c>
      <c r="O14" s="1359"/>
      <c r="P14" s="1359"/>
      <c r="Q14" s="1359"/>
    </row>
    <row r="15" spans="2:17" ht="18">
      <c r="B15" s="1362"/>
      <c r="C15" s="1366" t="s">
        <v>408</v>
      </c>
      <c r="D15" s="622">
        <v>1.65</v>
      </c>
      <c r="E15" s="1368" t="s">
        <v>409</v>
      </c>
      <c r="F15" s="1369"/>
      <c r="G15" s="1369"/>
      <c r="H15" s="1369"/>
      <c r="I15" s="1370"/>
      <c r="J15" s="1355">
        <f>(J24*3+J37+J40*2+J46*2)/2.5</f>
        <v>1455.2</v>
      </c>
      <c r="K15" s="1355"/>
      <c r="L15" s="1355"/>
      <c r="M15" s="1355"/>
      <c r="N15" s="1355">
        <f>(J24*3+J39+J40*2+J46*2)/2.5</f>
        <v>1522.4</v>
      </c>
      <c r="O15" s="1355"/>
      <c r="P15" s="1355"/>
      <c r="Q15" s="1355"/>
    </row>
    <row r="16" spans="2:17" ht="93.75" customHeight="1">
      <c r="B16" s="1363"/>
      <c r="C16" s="1367"/>
      <c r="D16" s="623">
        <v>2</v>
      </c>
      <c r="E16" s="1371"/>
      <c r="F16" s="1372"/>
      <c r="G16" s="1372"/>
      <c r="H16" s="1372"/>
      <c r="I16" s="1373"/>
      <c r="J16" s="1355">
        <f>(J25*3+J37+J40*2+J46*2)/2.5</f>
        <v>1618.4</v>
      </c>
      <c r="K16" s="1355"/>
      <c r="L16" s="1355"/>
      <c r="M16" s="1355"/>
      <c r="N16" s="1355">
        <f>(J25*3+J39+J40*2+J46*2)/2.5</f>
        <v>1685.6</v>
      </c>
      <c r="O16" s="1355"/>
      <c r="P16" s="1355"/>
      <c r="Q16" s="1355"/>
    </row>
    <row r="17" spans="2:17" ht="20.25">
      <c r="B17" s="1374"/>
      <c r="C17" s="1374"/>
      <c r="D17" s="1374"/>
      <c r="E17" s="1374"/>
      <c r="F17" s="1374"/>
      <c r="G17" s="1374"/>
      <c r="H17" s="1374"/>
      <c r="I17" s="1374"/>
      <c r="J17" s="1361" t="s">
        <v>410</v>
      </c>
      <c r="K17" s="1361"/>
      <c r="L17" s="1361"/>
      <c r="M17" s="1361"/>
      <c r="N17" s="1361"/>
      <c r="O17" s="1361"/>
      <c r="P17" s="1361"/>
      <c r="Q17" s="1361"/>
    </row>
    <row r="18" spans="2:17" ht="20.25">
      <c r="B18" s="1374"/>
      <c r="C18" s="1374"/>
      <c r="D18" s="1374"/>
      <c r="E18" s="1374"/>
      <c r="F18" s="1374"/>
      <c r="G18" s="1374"/>
      <c r="H18" s="1374"/>
      <c r="I18" s="1374"/>
      <c r="J18" s="1359">
        <v>2500</v>
      </c>
      <c r="K18" s="1359"/>
      <c r="L18" s="1359"/>
      <c r="M18" s="1359"/>
      <c r="N18" s="1359">
        <v>3000</v>
      </c>
      <c r="O18" s="1359"/>
      <c r="P18" s="1359"/>
      <c r="Q18" s="1359"/>
    </row>
    <row r="19" spans="2:17" ht="20.25">
      <c r="B19" s="1375"/>
      <c r="C19" s="1376" t="s">
        <v>411</v>
      </c>
      <c r="D19" s="619">
        <v>1.65</v>
      </c>
      <c r="E19" s="1377" t="s">
        <v>412</v>
      </c>
      <c r="F19" s="1377"/>
      <c r="G19" s="1377"/>
      <c r="H19" s="1377"/>
      <c r="I19" s="1377"/>
      <c r="J19" s="1356">
        <f>(J24*3+J40*2+J42*2+J47)/2.5</f>
        <v>1432</v>
      </c>
      <c r="K19" s="1356"/>
      <c r="L19" s="1356"/>
      <c r="M19" s="1356"/>
      <c r="N19" s="1356">
        <f>(J24*3+J40*2+J43*2+J47)/2.5</f>
        <v>1505.6</v>
      </c>
      <c r="O19" s="1356"/>
      <c r="P19" s="1356"/>
      <c r="Q19" s="1356"/>
    </row>
    <row r="20" spans="2:17" ht="60.75" customHeight="1">
      <c r="B20" s="1375"/>
      <c r="C20" s="1376"/>
      <c r="D20" s="620">
        <v>2</v>
      </c>
      <c r="E20" s="1377"/>
      <c r="F20" s="1377"/>
      <c r="G20" s="1377"/>
      <c r="H20" s="1377"/>
      <c r="I20" s="1377"/>
      <c r="J20" s="1356">
        <f>(J25*3+J40*2+J42*2+J47)/2.5</f>
        <v>1595.2</v>
      </c>
      <c r="K20" s="1356"/>
      <c r="L20" s="1356"/>
      <c r="M20" s="1356"/>
      <c r="N20" s="1356">
        <f>(J25*3+J40*2+J43*2+J47)/2.5</f>
        <v>1668.8</v>
      </c>
      <c r="O20" s="1356"/>
      <c r="P20" s="1356"/>
      <c r="Q20" s="1356"/>
    </row>
    <row r="21" spans="2:17" ht="172.5" customHeight="1">
      <c r="B21" s="621"/>
      <c r="C21" s="624" t="s">
        <v>413</v>
      </c>
      <c r="D21" s="625">
        <v>2</v>
      </c>
      <c r="E21" s="1384" t="s">
        <v>414</v>
      </c>
      <c r="F21" s="1384"/>
      <c r="G21" s="1384"/>
      <c r="H21" s="1384"/>
      <c r="I21" s="1384"/>
      <c r="J21" s="1355">
        <f>(J24*3+J40*3+J41+J42*2+J47)/2.5</f>
        <v>1984.4</v>
      </c>
      <c r="K21" s="1355"/>
      <c r="L21" s="1355"/>
      <c r="M21" s="1355"/>
      <c r="N21" s="1355">
        <f>(J24*3+J40*3+J41+J43*2+J47)/2.5</f>
        <v>2058</v>
      </c>
      <c r="O21" s="1355"/>
      <c r="P21" s="1355"/>
      <c r="Q21" s="1355"/>
    </row>
    <row r="22" spans="2:17" ht="20.25">
      <c r="B22" s="1364" t="s">
        <v>415</v>
      </c>
      <c r="C22" s="1364"/>
      <c r="D22" s="1364"/>
      <c r="E22" s="1364"/>
      <c r="F22" s="1364"/>
      <c r="G22" s="1364"/>
      <c r="H22" s="1364"/>
      <c r="I22" s="1364"/>
      <c r="J22" s="1364"/>
      <c r="K22" s="1364"/>
      <c r="L22" s="1364"/>
      <c r="M22" s="1364"/>
      <c r="N22" s="1364"/>
      <c r="O22" s="1364"/>
      <c r="P22" s="1364"/>
      <c r="Q22" s="1364"/>
    </row>
    <row r="23" spans="2:17" ht="45">
      <c r="B23" s="569" t="s">
        <v>399</v>
      </c>
      <c r="C23" s="1354" t="s">
        <v>0</v>
      </c>
      <c r="D23" s="1354"/>
      <c r="E23" s="569" t="s">
        <v>416</v>
      </c>
      <c r="F23" s="569" t="s">
        <v>417</v>
      </c>
      <c r="G23" s="569" t="s">
        <v>418</v>
      </c>
      <c r="H23" s="569" t="s">
        <v>943</v>
      </c>
      <c r="I23" s="569" t="s">
        <v>419</v>
      </c>
      <c r="J23" s="1354" t="s">
        <v>420</v>
      </c>
      <c r="K23" s="1354"/>
      <c r="L23" s="1354"/>
      <c r="M23" s="1354"/>
      <c r="N23" s="1354"/>
      <c r="O23" s="1354"/>
      <c r="P23" s="1354"/>
      <c r="Q23" s="1354"/>
    </row>
    <row r="24" spans="2:17">
      <c r="B24" s="1348"/>
      <c r="C24" s="1336" t="s">
        <v>421</v>
      </c>
      <c r="D24" s="1336"/>
      <c r="E24" s="262" t="s">
        <v>422</v>
      </c>
      <c r="F24" s="262">
        <v>100</v>
      </c>
      <c r="G24" s="571">
        <v>5.9</v>
      </c>
      <c r="H24" s="1349" t="s">
        <v>944</v>
      </c>
      <c r="I24" s="1351">
        <v>0.5</v>
      </c>
      <c r="J24" s="1353">
        <f>ROUND(581*(1-$B$70),2)</f>
        <v>581</v>
      </c>
      <c r="K24" s="1353"/>
      <c r="L24" s="1353"/>
      <c r="M24" s="1353"/>
      <c r="N24" s="1353"/>
      <c r="O24" s="1353"/>
      <c r="P24" s="1353"/>
      <c r="Q24" s="1353"/>
    </row>
    <row r="25" spans="2:17">
      <c r="B25" s="1348"/>
      <c r="C25" s="1336"/>
      <c r="D25" s="1336"/>
      <c r="E25" s="263" t="s">
        <v>423</v>
      </c>
      <c r="F25" s="263">
        <v>100</v>
      </c>
      <c r="G25" s="572">
        <v>7.3</v>
      </c>
      <c r="H25" s="1350"/>
      <c r="I25" s="1352"/>
      <c r="J25" s="1331">
        <f>ROUND(717*(1-$B$70),2)</f>
        <v>717</v>
      </c>
      <c r="K25" s="1331"/>
      <c r="L25" s="1331"/>
      <c r="M25" s="1331"/>
      <c r="N25" s="1331"/>
      <c r="O25" s="1331"/>
      <c r="P25" s="1331"/>
      <c r="Q25" s="1331"/>
    </row>
    <row r="26" spans="2:17">
      <c r="B26" s="1348"/>
      <c r="C26" s="1336" t="s">
        <v>424</v>
      </c>
      <c r="D26" s="1336"/>
      <c r="E26" s="262" t="s">
        <v>425</v>
      </c>
      <c r="F26" s="262">
        <v>180</v>
      </c>
      <c r="G26" s="571">
        <v>3</v>
      </c>
      <c r="H26" s="1393" t="s">
        <v>945</v>
      </c>
      <c r="I26" s="1408">
        <v>1</v>
      </c>
      <c r="J26" s="1345">
        <f>ROUND(255*(1-$B$70),2)</f>
        <v>255</v>
      </c>
      <c r="K26" s="1346"/>
      <c r="L26" s="1346"/>
      <c r="M26" s="1346"/>
      <c r="N26" s="1346"/>
      <c r="O26" s="1346"/>
      <c r="P26" s="1346"/>
      <c r="Q26" s="1347"/>
    </row>
    <row r="27" spans="2:17">
      <c r="B27" s="1348"/>
      <c r="C27" s="1336"/>
      <c r="D27" s="1336"/>
      <c r="E27" s="263" t="s">
        <v>426</v>
      </c>
      <c r="F27" s="263">
        <v>180</v>
      </c>
      <c r="G27" s="572">
        <v>3.6</v>
      </c>
      <c r="H27" s="1393"/>
      <c r="I27" s="1408"/>
      <c r="J27" s="1342">
        <f>ROUND(306*(1-$B$70),2)</f>
        <v>306</v>
      </c>
      <c r="K27" s="1343"/>
      <c r="L27" s="1343"/>
      <c r="M27" s="1343"/>
      <c r="N27" s="1343"/>
      <c r="O27" s="1343"/>
      <c r="P27" s="1343"/>
      <c r="Q27" s="1344"/>
    </row>
    <row r="28" spans="2:17">
      <c r="B28" s="1348"/>
      <c r="C28" s="1336"/>
      <c r="D28" s="1336"/>
      <c r="E28" s="264" t="s">
        <v>425</v>
      </c>
      <c r="F28" s="264">
        <v>180</v>
      </c>
      <c r="G28" s="265">
        <v>3</v>
      </c>
      <c r="H28" s="1393" t="s">
        <v>946</v>
      </c>
      <c r="I28" s="1408"/>
      <c r="J28" s="1345">
        <f>ROUND(380*(1-$B$70),2)</f>
        <v>380</v>
      </c>
      <c r="K28" s="1346"/>
      <c r="L28" s="1346"/>
      <c r="M28" s="1346"/>
      <c r="N28" s="1346"/>
      <c r="O28" s="1346"/>
      <c r="P28" s="1346"/>
      <c r="Q28" s="1347"/>
    </row>
    <row r="29" spans="2:17">
      <c r="B29" s="1348"/>
      <c r="C29" s="1336"/>
      <c r="D29" s="1336"/>
      <c r="E29" s="263" t="s">
        <v>426</v>
      </c>
      <c r="F29" s="263">
        <v>180</v>
      </c>
      <c r="G29" s="572">
        <v>3.6</v>
      </c>
      <c r="H29" s="1393"/>
      <c r="I29" s="1408"/>
      <c r="J29" s="1342">
        <f>ROUND(442*(1-$B$70),2)</f>
        <v>442</v>
      </c>
      <c r="K29" s="1343"/>
      <c r="L29" s="1343"/>
      <c r="M29" s="1343"/>
      <c r="N29" s="1343"/>
      <c r="O29" s="1343"/>
      <c r="P29" s="1343"/>
      <c r="Q29" s="1344"/>
    </row>
    <row r="30" spans="2:17">
      <c r="B30" s="1394"/>
      <c r="C30" s="1397" t="s">
        <v>427</v>
      </c>
      <c r="D30" s="1398"/>
      <c r="E30" s="1403" t="s">
        <v>947</v>
      </c>
      <c r="F30" s="1390">
        <v>96</v>
      </c>
      <c r="G30" s="1393">
        <v>2.64</v>
      </c>
      <c r="H30" s="571" t="s">
        <v>945</v>
      </c>
      <c r="I30" s="1405">
        <v>1.4</v>
      </c>
      <c r="J30" s="1345">
        <f>ROUND(297*(1-$B$70),2)</f>
        <v>297</v>
      </c>
      <c r="K30" s="1346"/>
      <c r="L30" s="1346"/>
      <c r="M30" s="1346"/>
      <c r="N30" s="1346"/>
      <c r="O30" s="1346"/>
      <c r="P30" s="1346"/>
      <c r="Q30" s="1347"/>
    </row>
    <row r="31" spans="2:17">
      <c r="B31" s="1395"/>
      <c r="C31" s="1399"/>
      <c r="D31" s="1400"/>
      <c r="E31" s="1404"/>
      <c r="F31" s="1390"/>
      <c r="G31" s="1393"/>
      <c r="H31" s="572" t="s">
        <v>946</v>
      </c>
      <c r="I31" s="1406"/>
      <c r="J31" s="1342">
        <f>ROUND(415*(1-$B$70),2)</f>
        <v>415</v>
      </c>
      <c r="K31" s="1343"/>
      <c r="L31" s="1343"/>
      <c r="M31" s="1343"/>
      <c r="N31" s="1343"/>
      <c r="O31" s="1343"/>
      <c r="P31" s="1343"/>
      <c r="Q31" s="1344"/>
    </row>
    <row r="32" spans="2:17">
      <c r="B32" s="1395"/>
      <c r="C32" s="1399"/>
      <c r="D32" s="1400"/>
      <c r="E32" s="1403" t="s">
        <v>428</v>
      </c>
      <c r="F32" s="1390">
        <v>96</v>
      </c>
      <c r="G32" s="1393">
        <v>3.96</v>
      </c>
      <c r="H32" s="571" t="s">
        <v>945</v>
      </c>
      <c r="I32" s="1406"/>
      <c r="J32" s="1345">
        <f>ROUND(383*(1-$B$70),2)</f>
        <v>383</v>
      </c>
      <c r="K32" s="1346"/>
      <c r="L32" s="1346"/>
      <c r="M32" s="1346"/>
      <c r="N32" s="1346"/>
      <c r="O32" s="1346"/>
      <c r="P32" s="1346"/>
      <c r="Q32" s="1347"/>
    </row>
    <row r="33" spans="2:17">
      <c r="B33" s="1395"/>
      <c r="C33" s="1399"/>
      <c r="D33" s="1400"/>
      <c r="E33" s="1404"/>
      <c r="F33" s="1390"/>
      <c r="G33" s="1393"/>
      <c r="H33" s="572" t="s">
        <v>946</v>
      </c>
      <c r="I33" s="1406"/>
      <c r="J33" s="1342">
        <f>ROUND(564*(1-$B$70),2)</f>
        <v>564</v>
      </c>
      <c r="K33" s="1343"/>
      <c r="L33" s="1343"/>
      <c r="M33" s="1343"/>
      <c r="N33" s="1343"/>
      <c r="O33" s="1343"/>
      <c r="P33" s="1343"/>
      <c r="Q33" s="1344"/>
    </row>
    <row r="34" spans="2:17">
      <c r="B34" s="1395"/>
      <c r="C34" s="1399"/>
      <c r="D34" s="1400"/>
      <c r="E34" s="1403" t="s">
        <v>429</v>
      </c>
      <c r="F34" s="1390">
        <v>96</v>
      </c>
      <c r="G34" s="1391">
        <v>5.28</v>
      </c>
      <c r="H34" s="571" t="s">
        <v>945</v>
      </c>
      <c r="I34" s="1406"/>
      <c r="J34" s="1345">
        <f>ROUND(486*(1-$B$70),2)</f>
        <v>486</v>
      </c>
      <c r="K34" s="1346"/>
      <c r="L34" s="1346"/>
      <c r="M34" s="1346"/>
      <c r="N34" s="1346"/>
      <c r="O34" s="1346"/>
      <c r="P34" s="1346"/>
      <c r="Q34" s="1347"/>
    </row>
    <row r="35" spans="2:17">
      <c r="B35" s="1395"/>
      <c r="C35" s="1399"/>
      <c r="D35" s="1400"/>
      <c r="E35" s="1404"/>
      <c r="F35" s="1390"/>
      <c r="G35" s="1392"/>
      <c r="H35" s="572" t="s">
        <v>946</v>
      </c>
      <c r="I35" s="1406"/>
      <c r="J35" s="1342">
        <f>ROUND(723*(1-$B$70),2)</f>
        <v>723</v>
      </c>
      <c r="K35" s="1343"/>
      <c r="L35" s="1343"/>
      <c r="M35" s="1343"/>
      <c r="N35" s="1343"/>
      <c r="O35" s="1343"/>
      <c r="P35" s="1343"/>
      <c r="Q35" s="1344"/>
    </row>
    <row r="36" spans="2:17">
      <c r="B36" s="1395"/>
      <c r="C36" s="1399"/>
      <c r="D36" s="1400"/>
      <c r="E36" s="1390" t="s">
        <v>430</v>
      </c>
      <c r="F36" s="1390">
        <v>96</v>
      </c>
      <c r="G36" s="1393">
        <v>6.6</v>
      </c>
      <c r="H36" s="571" t="s">
        <v>945</v>
      </c>
      <c r="I36" s="1406"/>
      <c r="J36" s="1345">
        <f>ROUND(576*(1-$B$70),2)</f>
        <v>576</v>
      </c>
      <c r="K36" s="1346"/>
      <c r="L36" s="1346"/>
      <c r="M36" s="1346"/>
      <c r="N36" s="1346"/>
      <c r="O36" s="1346"/>
      <c r="P36" s="1346"/>
      <c r="Q36" s="1347"/>
    </row>
    <row r="37" spans="2:17">
      <c r="B37" s="1395"/>
      <c r="C37" s="1399"/>
      <c r="D37" s="1400"/>
      <c r="E37" s="1390"/>
      <c r="F37" s="1390"/>
      <c r="G37" s="1393"/>
      <c r="H37" s="572" t="s">
        <v>946</v>
      </c>
      <c r="I37" s="1406"/>
      <c r="J37" s="1342">
        <f>ROUND(841*(1-$B$70),2)</f>
        <v>841</v>
      </c>
      <c r="K37" s="1343"/>
      <c r="L37" s="1343"/>
      <c r="M37" s="1343"/>
      <c r="N37" s="1343"/>
      <c r="O37" s="1343"/>
      <c r="P37" s="1343"/>
      <c r="Q37" s="1344"/>
    </row>
    <row r="38" spans="2:17">
      <c r="B38" s="1395"/>
      <c r="C38" s="1399"/>
      <c r="D38" s="1400"/>
      <c r="E38" s="1390" t="s">
        <v>431</v>
      </c>
      <c r="F38" s="1390">
        <v>96</v>
      </c>
      <c r="G38" s="1393">
        <v>7.9</v>
      </c>
      <c r="H38" s="571" t="s">
        <v>945</v>
      </c>
      <c r="I38" s="1406"/>
      <c r="J38" s="1345">
        <f>ROUND(691*(1-$B$70),2)</f>
        <v>691</v>
      </c>
      <c r="K38" s="1346"/>
      <c r="L38" s="1346"/>
      <c r="M38" s="1346"/>
      <c r="N38" s="1346"/>
      <c r="O38" s="1346"/>
      <c r="P38" s="1346"/>
      <c r="Q38" s="1347"/>
    </row>
    <row r="39" spans="2:17">
      <c r="B39" s="1396"/>
      <c r="C39" s="1401"/>
      <c r="D39" s="1402"/>
      <c r="E39" s="1390"/>
      <c r="F39" s="1390"/>
      <c r="G39" s="1393"/>
      <c r="H39" s="575" t="s">
        <v>946</v>
      </c>
      <c r="I39" s="1407"/>
      <c r="J39" s="1342">
        <f>ROUND(1009*(1-$B$70),2)</f>
        <v>1009</v>
      </c>
      <c r="K39" s="1343"/>
      <c r="L39" s="1343"/>
      <c r="M39" s="1343"/>
      <c r="N39" s="1343"/>
      <c r="O39" s="1343"/>
      <c r="P39" s="1343"/>
      <c r="Q39" s="1344"/>
    </row>
    <row r="40" spans="2:17" ht="22.5">
      <c r="B40" s="570"/>
      <c r="C40" s="1336" t="s">
        <v>432</v>
      </c>
      <c r="D40" s="1336"/>
      <c r="E40" s="568" t="s">
        <v>433</v>
      </c>
      <c r="F40" s="568">
        <v>162</v>
      </c>
      <c r="G40" s="573">
        <v>3.3</v>
      </c>
      <c r="H40" s="573" t="s">
        <v>948</v>
      </c>
      <c r="I40" s="574">
        <v>1</v>
      </c>
      <c r="J40" s="1337">
        <f>ROUND(439*(1-$B$70),2)</f>
        <v>439</v>
      </c>
      <c r="K40" s="1337"/>
      <c r="L40" s="1337"/>
      <c r="M40" s="1337"/>
      <c r="N40" s="1337"/>
      <c r="O40" s="1337"/>
      <c r="P40" s="1337"/>
      <c r="Q40" s="1337"/>
    </row>
    <row r="41" spans="2:17">
      <c r="B41" s="570"/>
      <c r="C41" s="1336" t="s">
        <v>949</v>
      </c>
      <c r="D41" s="1336"/>
      <c r="E41" s="568" t="s">
        <v>434</v>
      </c>
      <c r="F41" s="568">
        <v>100</v>
      </c>
      <c r="G41" s="573">
        <v>3.6</v>
      </c>
      <c r="H41" s="573" t="s">
        <v>946</v>
      </c>
      <c r="I41" s="574">
        <v>0.5</v>
      </c>
      <c r="J41" s="1337">
        <f>ROUND(942*(1-$B$70),2)</f>
        <v>942</v>
      </c>
      <c r="K41" s="1337"/>
      <c r="L41" s="1337"/>
      <c r="M41" s="1337"/>
      <c r="N41" s="1337"/>
      <c r="O41" s="1337"/>
      <c r="P41" s="1337"/>
      <c r="Q41" s="1337"/>
    </row>
    <row r="42" spans="2:17">
      <c r="B42" s="1348"/>
      <c r="C42" s="1336" t="s">
        <v>435</v>
      </c>
      <c r="D42" s="1336"/>
      <c r="E42" s="262" t="s">
        <v>436</v>
      </c>
      <c r="F42" s="262">
        <v>154</v>
      </c>
      <c r="G42" s="571">
        <v>3.3</v>
      </c>
      <c r="H42" s="1393" t="s">
        <v>948</v>
      </c>
      <c r="I42" s="1408">
        <v>1</v>
      </c>
      <c r="J42" s="1335">
        <f>ROUND(462*(1-$B$70),2)</f>
        <v>462</v>
      </c>
      <c r="K42" s="1335"/>
      <c r="L42" s="1335"/>
      <c r="M42" s="1335"/>
      <c r="N42" s="1335"/>
      <c r="O42" s="1335"/>
      <c r="P42" s="1335"/>
      <c r="Q42" s="1335"/>
    </row>
    <row r="43" spans="2:17">
      <c r="B43" s="1348"/>
      <c r="C43" s="1336"/>
      <c r="D43" s="1336"/>
      <c r="E43" s="263" t="s">
        <v>437</v>
      </c>
      <c r="F43" s="263">
        <v>154</v>
      </c>
      <c r="G43" s="572">
        <v>3.96</v>
      </c>
      <c r="H43" s="1393"/>
      <c r="I43" s="1408"/>
      <c r="J43" s="1331">
        <f>ROUND(554*(1-$B$70),2)</f>
        <v>554</v>
      </c>
      <c r="K43" s="1331"/>
      <c r="L43" s="1331"/>
      <c r="M43" s="1331"/>
      <c r="N43" s="1331"/>
      <c r="O43" s="1331"/>
      <c r="P43" s="1331"/>
      <c r="Q43" s="1331"/>
    </row>
    <row r="44" spans="2:17">
      <c r="B44" s="1348"/>
      <c r="C44" s="1336" t="s">
        <v>438</v>
      </c>
      <c r="D44" s="1336"/>
      <c r="E44" s="1390" t="s">
        <v>439</v>
      </c>
      <c r="F44" s="1390">
        <v>42</v>
      </c>
      <c r="G44" s="1391">
        <v>0.25</v>
      </c>
      <c r="H44" s="571" t="s">
        <v>945</v>
      </c>
      <c r="I44" s="1408">
        <v>1.4</v>
      </c>
      <c r="J44" s="1335">
        <f>ROUND(44*(1-$B$70),2)</f>
        <v>44</v>
      </c>
      <c r="K44" s="1335"/>
      <c r="L44" s="1335"/>
      <c r="M44" s="1335"/>
      <c r="N44" s="1335"/>
      <c r="O44" s="1335"/>
      <c r="P44" s="1335"/>
      <c r="Q44" s="1335"/>
    </row>
    <row r="45" spans="2:17">
      <c r="B45" s="1348"/>
      <c r="C45" s="1336"/>
      <c r="D45" s="1336"/>
      <c r="E45" s="1390"/>
      <c r="F45" s="1390"/>
      <c r="G45" s="1392"/>
      <c r="H45" s="572" t="s">
        <v>946</v>
      </c>
      <c r="I45" s="1408"/>
      <c r="J45" s="1331">
        <f>ROUND(88*(1-$B$70),2)</f>
        <v>88</v>
      </c>
      <c r="K45" s="1331"/>
      <c r="L45" s="1331"/>
      <c r="M45" s="1331"/>
      <c r="N45" s="1331"/>
      <c r="O45" s="1331"/>
      <c r="P45" s="1331"/>
      <c r="Q45" s="1331"/>
    </row>
    <row r="46" spans="2:17">
      <c r="B46" s="570"/>
      <c r="C46" s="1336" t="s">
        <v>440</v>
      </c>
      <c r="D46" s="1336"/>
      <c r="E46" s="568" t="s">
        <v>441</v>
      </c>
      <c r="F46" s="568">
        <v>30</v>
      </c>
      <c r="G46" s="573">
        <v>0.3</v>
      </c>
      <c r="H46" s="573" t="s">
        <v>946</v>
      </c>
      <c r="I46" s="574">
        <v>1.4</v>
      </c>
      <c r="J46" s="1337">
        <f>ROUND(88*(1-$B$70),2)</f>
        <v>88</v>
      </c>
      <c r="K46" s="1337"/>
      <c r="L46" s="1337"/>
      <c r="M46" s="1337"/>
      <c r="N46" s="1337"/>
      <c r="O46" s="1337"/>
      <c r="P46" s="1337"/>
      <c r="Q46" s="1337"/>
    </row>
    <row r="47" spans="2:17">
      <c r="B47" s="570"/>
      <c r="C47" s="1336" t="s">
        <v>442</v>
      </c>
      <c r="D47" s="1336"/>
      <c r="E47" s="568" t="s">
        <v>443</v>
      </c>
      <c r="F47" s="568">
        <v>80</v>
      </c>
      <c r="G47" s="573">
        <v>0.02</v>
      </c>
      <c r="H47" s="573" t="s">
        <v>946</v>
      </c>
      <c r="I47" s="574">
        <v>0.5</v>
      </c>
      <c r="J47" s="1337">
        <f>ROUND(35*(1-$B$70),2)</f>
        <v>35</v>
      </c>
      <c r="K47" s="1337"/>
      <c r="L47" s="1337"/>
      <c r="M47" s="1337"/>
      <c r="N47" s="1337"/>
      <c r="O47" s="1337"/>
      <c r="P47" s="1337"/>
      <c r="Q47" s="1337"/>
    </row>
    <row r="48" spans="2:17">
      <c r="B48" s="570"/>
      <c r="C48" s="1336" t="s">
        <v>444</v>
      </c>
      <c r="D48" s="1336"/>
      <c r="E48" s="568" t="s">
        <v>445</v>
      </c>
      <c r="F48" s="568">
        <v>200</v>
      </c>
      <c r="G48" s="573"/>
      <c r="H48" s="573" t="s">
        <v>339</v>
      </c>
      <c r="I48" s="574" t="s">
        <v>21</v>
      </c>
      <c r="J48" s="1337">
        <f>ROUND(40*(1-$B$70),2)</f>
        <v>40</v>
      </c>
      <c r="K48" s="1337"/>
      <c r="L48" s="1337"/>
      <c r="M48" s="1337"/>
      <c r="N48" s="1337"/>
      <c r="O48" s="1337"/>
      <c r="P48" s="1337"/>
      <c r="Q48" s="1337"/>
    </row>
    <row r="49" spans="2:17">
      <c r="B49" s="570"/>
      <c r="C49" s="1336" t="s">
        <v>446</v>
      </c>
      <c r="D49" s="1336"/>
      <c r="E49" s="568" t="s">
        <v>447</v>
      </c>
      <c r="F49" s="568">
        <v>100</v>
      </c>
      <c r="G49" s="573">
        <v>0.13700000000000001</v>
      </c>
      <c r="H49" s="573" t="s">
        <v>945</v>
      </c>
      <c r="I49" s="574">
        <v>1.4</v>
      </c>
      <c r="J49" s="1337">
        <f>ROUND(44*(1-$B$70),2)</f>
        <v>44</v>
      </c>
      <c r="K49" s="1337"/>
      <c r="L49" s="1337"/>
      <c r="M49" s="1337"/>
      <c r="N49" s="1337"/>
      <c r="O49" s="1337"/>
      <c r="P49" s="1337"/>
      <c r="Q49" s="1337"/>
    </row>
    <row r="50" spans="2:17">
      <c r="B50" s="570"/>
      <c r="C50" s="1336" t="s">
        <v>448</v>
      </c>
      <c r="D50" s="1336"/>
      <c r="E50" s="568" t="s">
        <v>449</v>
      </c>
      <c r="F50" s="568">
        <v>160</v>
      </c>
      <c r="G50" s="573">
        <v>0.01</v>
      </c>
      <c r="H50" s="573" t="s">
        <v>946</v>
      </c>
      <c r="I50" s="574">
        <v>0.5</v>
      </c>
      <c r="J50" s="1337">
        <f>ROUND(24*(1-$B$70),2)</f>
        <v>24</v>
      </c>
      <c r="K50" s="1337"/>
      <c r="L50" s="1337"/>
      <c r="M50" s="1337"/>
      <c r="N50" s="1337"/>
      <c r="O50" s="1337"/>
      <c r="P50" s="1337"/>
      <c r="Q50" s="1337"/>
    </row>
    <row r="51" spans="2:17" ht="30" customHeight="1">
      <c r="B51" s="576"/>
      <c r="C51" s="1338" t="s">
        <v>450</v>
      </c>
      <c r="D51" s="1338"/>
      <c r="E51" s="1339" t="s">
        <v>950</v>
      </c>
      <c r="F51" s="577">
        <v>1000</v>
      </c>
      <c r="G51" s="266"/>
      <c r="H51" s="577" t="s">
        <v>951</v>
      </c>
      <c r="I51" s="577" t="s">
        <v>21</v>
      </c>
      <c r="J51" s="1333">
        <f>ROUND(1.6*(1-$F$70),2)</f>
        <v>1.6</v>
      </c>
      <c r="K51" s="1333"/>
      <c r="L51" s="1333"/>
      <c r="M51" s="1333"/>
      <c r="N51" s="1333"/>
      <c r="O51" s="1333"/>
      <c r="P51" s="1333"/>
      <c r="Q51" s="1333"/>
    </row>
    <row r="52" spans="2:17" ht="37.5" customHeight="1">
      <c r="B52" s="570"/>
      <c r="C52" s="1332" t="s">
        <v>451</v>
      </c>
      <c r="D52" s="1332"/>
      <c r="E52" s="1340"/>
      <c r="F52" s="578">
        <v>1000</v>
      </c>
      <c r="G52" s="119"/>
      <c r="H52" s="577" t="s">
        <v>951</v>
      </c>
      <c r="I52" s="578" t="s">
        <v>21</v>
      </c>
      <c r="J52" s="1333">
        <f>ROUND(1.7*(1-$F$70),2)</f>
        <v>1.7</v>
      </c>
      <c r="K52" s="1333"/>
      <c r="L52" s="1333"/>
      <c r="M52" s="1333"/>
      <c r="N52" s="1333"/>
      <c r="O52" s="1333"/>
      <c r="P52" s="1333"/>
      <c r="Q52" s="1333"/>
    </row>
    <row r="53" spans="2:17" ht="27.75" customHeight="1">
      <c r="B53" s="1348"/>
      <c r="C53" s="1334" t="s">
        <v>452</v>
      </c>
      <c r="D53" s="1334"/>
      <c r="E53" s="1340"/>
      <c r="F53" s="1390">
        <v>250</v>
      </c>
      <c r="G53" s="1393"/>
      <c r="H53" s="1393" t="s">
        <v>951</v>
      </c>
      <c r="I53" s="1408" t="s">
        <v>21</v>
      </c>
      <c r="J53" s="1335">
        <f>ROUND(4*(1-$D$70),2)</f>
        <v>4</v>
      </c>
      <c r="K53" s="1335"/>
      <c r="L53" s="1335"/>
      <c r="M53" s="1335"/>
      <c r="N53" s="1335"/>
      <c r="O53" s="1335"/>
      <c r="P53" s="1335"/>
      <c r="Q53" s="1335"/>
    </row>
    <row r="54" spans="2:17" ht="29.25" customHeight="1">
      <c r="B54" s="1348"/>
      <c r="C54" s="1341" t="s">
        <v>453</v>
      </c>
      <c r="D54" s="1341"/>
      <c r="E54" s="1340"/>
      <c r="F54" s="1390"/>
      <c r="G54" s="1393"/>
      <c r="H54" s="1393"/>
      <c r="I54" s="1408"/>
      <c r="J54" s="1331">
        <f>ROUND(4*(1-$C$70),2)</f>
        <v>4</v>
      </c>
      <c r="K54" s="1331"/>
      <c r="L54" s="1331"/>
      <c r="M54" s="1331"/>
      <c r="N54" s="1331"/>
      <c r="O54" s="1331"/>
      <c r="P54" s="1331"/>
      <c r="Q54" s="1331"/>
    </row>
  </sheetData>
  <mergeCells count="135">
    <mergeCell ref="B53:B54"/>
    <mergeCell ref="F53:F54"/>
    <mergeCell ref="G53:G54"/>
    <mergeCell ref="H53:H54"/>
    <mergeCell ref="I53:I54"/>
    <mergeCell ref="B42:B43"/>
    <mergeCell ref="C42:D43"/>
    <mergeCell ref="H42:H43"/>
    <mergeCell ref="I42:I43"/>
    <mergeCell ref="B44:B45"/>
    <mergeCell ref="F44:F45"/>
    <mergeCell ref="G44:G45"/>
    <mergeCell ref="I44:I45"/>
    <mergeCell ref="B26:B29"/>
    <mergeCell ref="C26:D29"/>
    <mergeCell ref="H26:H27"/>
    <mergeCell ref="I26:I29"/>
    <mergeCell ref="H28:H29"/>
    <mergeCell ref="B30:B39"/>
    <mergeCell ref="C30:D39"/>
    <mergeCell ref="E30:E31"/>
    <mergeCell ref="F30:F31"/>
    <mergeCell ref="G30:G31"/>
    <mergeCell ref="I30:I39"/>
    <mergeCell ref="E32:E33"/>
    <mergeCell ref="F32:F33"/>
    <mergeCell ref="G32:G33"/>
    <mergeCell ref="E34:E35"/>
    <mergeCell ref="F34:F35"/>
    <mergeCell ref="G34:G35"/>
    <mergeCell ref="E36:E37"/>
    <mergeCell ref="F36:F37"/>
    <mergeCell ref="G36:G37"/>
    <mergeCell ref="E38:E39"/>
    <mergeCell ref="F38:F39"/>
    <mergeCell ref="G38:G39"/>
    <mergeCell ref="E21:I21"/>
    <mergeCell ref="D7:D8"/>
    <mergeCell ref="E7:I8"/>
    <mergeCell ref="J8:Q8"/>
    <mergeCell ref="B9:B12"/>
    <mergeCell ref="C9:C12"/>
    <mergeCell ref="D9:D12"/>
    <mergeCell ref="E9:I12"/>
    <mergeCell ref="J9:M9"/>
    <mergeCell ref="N9:Q9"/>
    <mergeCell ref="J12:K12"/>
    <mergeCell ref="L12:M12"/>
    <mergeCell ref="N12:O12"/>
    <mergeCell ref="P12:Q12"/>
    <mergeCell ref="J20:M20"/>
    <mergeCell ref="N20:Q20"/>
    <mergeCell ref="B17:I18"/>
    <mergeCell ref="J17:Q17"/>
    <mergeCell ref="J18:M18"/>
    <mergeCell ref="N18:Q18"/>
    <mergeCell ref="B19:B20"/>
    <mergeCell ref="C19:C20"/>
    <mergeCell ref="E19:I20"/>
    <mergeCell ref="J7:Q7"/>
    <mergeCell ref="J11:K11"/>
    <mergeCell ref="L11:M11"/>
    <mergeCell ref="N11:O11"/>
    <mergeCell ref="P11:Q11"/>
    <mergeCell ref="C15:C16"/>
    <mergeCell ref="E15:I16"/>
    <mergeCell ref="J16:M16"/>
    <mergeCell ref="N16:Q16"/>
    <mergeCell ref="J10:Q10"/>
    <mergeCell ref="O6:Q6"/>
    <mergeCell ref="B7:B8"/>
    <mergeCell ref="C7:C8"/>
    <mergeCell ref="N15:Q15"/>
    <mergeCell ref="J14:M14"/>
    <mergeCell ref="N14:Q14"/>
    <mergeCell ref="J15:M15"/>
    <mergeCell ref="B13:I14"/>
    <mergeCell ref="J13:Q13"/>
    <mergeCell ref="B15:B16"/>
    <mergeCell ref="J30:Q30"/>
    <mergeCell ref="C23:D23"/>
    <mergeCell ref="J23:Q23"/>
    <mergeCell ref="J21:M21"/>
    <mergeCell ref="N21:Q21"/>
    <mergeCell ref="J19:M19"/>
    <mergeCell ref="N19:Q19"/>
    <mergeCell ref="J26:Q26"/>
    <mergeCell ref="J27:Q27"/>
    <mergeCell ref="B22:Q22"/>
    <mergeCell ref="B24:B25"/>
    <mergeCell ref="C24:D25"/>
    <mergeCell ref="H24:H25"/>
    <mergeCell ref="I24:I25"/>
    <mergeCell ref="J31:Q31"/>
    <mergeCell ref="J32:Q32"/>
    <mergeCell ref="J28:Q28"/>
    <mergeCell ref="J29:Q29"/>
    <mergeCell ref="J24:Q24"/>
    <mergeCell ref="J25:Q25"/>
    <mergeCell ref="C40:D40"/>
    <mergeCell ref="C49:D49"/>
    <mergeCell ref="J49:Q49"/>
    <mergeCell ref="J44:Q44"/>
    <mergeCell ref="J45:Q45"/>
    <mergeCell ref="J35:Q35"/>
    <mergeCell ref="J36:Q36"/>
    <mergeCell ref="J37:Q37"/>
    <mergeCell ref="J38:Q38"/>
    <mergeCell ref="C41:D41"/>
    <mergeCell ref="J33:Q33"/>
    <mergeCell ref="J34:Q34"/>
    <mergeCell ref="J39:Q39"/>
    <mergeCell ref="J40:Q40"/>
    <mergeCell ref="J41:Q41"/>
    <mergeCell ref="J42:Q42"/>
    <mergeCell ref="C54:D54"/>
    <mergeCell ref="J43:Q43"/>
    <mergeCell ref="C47:D47"/>
    <mergeCell ref="J47:Q47"/>
    <mergeCell ref="C48:D48"/>
    <mergeCell ref="J48:Q48"/>
    <mergeCell ref="C46:D46"/>
    <mergeCell ref="J46:Q46"/>
    <mergeCell ref="C44:D45"/>
    <mergeCell ref="E44:E45"/>
    <mergeCell ref="J54:Q54"/>
    <mergeCell ref="C52:D52"/>
    <mergeCell ref="J52:Q52"/>
    <mergeCell ref="C53:D53"/>
    <mergeCell ref="J53:Q53"/>
    <mergeCell ref="C50:D50"/>
    <mergeCell ref="J50:Q50"/>
    <mergeCell ref="C51:D51"/>
    <mergeCell ref="J51:Q51"/>
    <mergeCell ref="E51:E54"/>
  </mergeCells>
  <pageMargins left="0.7" right="0.7" top="0.75" bottom="0.75" header="0.3" footer="0.3"/>
  <pageSetup paperSize="9" scale="50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B1:J38"/>
  <sheetViews>
    <sheetView workbookViewId="0">
      <selection activeCell="D1" sqref="D1:E2"/>
    </sheetView>
  </sheetViews>
  <sheetFormatPr defaultRowHeight="15"/>
  <cols>
    <col min="2" max="2" width="42.5703125" customWidth="1"/>
    <col min="3" max="3" width="14.7109375" customWidth="1"/>
    <col min="4" max="4" width="14.5703125" customWidth="1"/>
    <col min="5" max="5" width="24.140625" customWidth="1"/>
    <col min="6" max="6" width="15.7109375" customWidth="1"/>
    <col min="7" max="7" width="12.7109375" customWidth="1"/>
    <col min="8" max="8" width="13" customWidth="1"/>
    <col min="9" max="9" width="39.140625" customWidth="1"/>
    <col min="10" max="10" width="32.5703125" customWidth="1"/>
  </cols>
  <sheetData>
    <row r="1" spans="2:10">
      <c r="B1" s="93"/>
      <c r="C1" s="93" t="s">
        <v>131</v>
      </c>
      <c r="D1" s="93"/>
      <c r="E1" s="93"/>
    </row>
    <row r="2" spans="2:10">
      <c r="B2" s="93" t="s">
        <v>190</v>
      </c>
      <c r="C2" s="110">
        <v>0.24</v>
      </c>
      <c r="D2" s="110"/>
      <c r="E2" s="110"/>
    </row>
    <row r="3" spans="2:10">
      <c r="B3" s="360"/>
    </row>
    <row r="5" spans="2:10" ht="27" customHeight="1">
      <c r="B5" s="746"/>
      <c r="C5" s="746"/>
      <c r="D5" s="746"/>
      <c r="E5" s="747"/>
      <c r="F5" s="748"/>
      <c r="G5" s="1417" t="s">
        <v>310</v>
      </c>
      <c r="H5" s="1417"/>
      <c r="I5" s="1417"/>
      <c r="J5" s="749">
        <v>42036</v>
      </c>
    </row>
    <row r="6" spans="2:10" ht="96">
      <c r="B6" s="1413" t="s">
        <v>399</v>
      </c>
      <c r="C6" s="1413" t="s">
        <v>0</v>
      </c>
      <c r="D6" s="1413" t="s">
        <v>454</v>
      </c>
      <c r="E6" s="1412" t="s">
        <v>1534</v>
      </c>
      <c r="F6" s="1418" t="s">
        <v>455</v>
      </c>
      <c r="G6" s="1412" t="s">
        <v>456</v>
      </c>
      <c r="H6" s="1412" t="s">
        <v>457</v>
      </c>
      <c r="I6" s="1412" t="s">
        <v>458</v>
      </c>
      <c r="J6" s="750" t="s">
        <v>1555</v>
      </c>
    </row>
    <row r="7" spans="2:10">
      <c r="B7" s="1418"/>
      <c r="C7" s="1418"/>
      <c r="D7" s="1418"/>
      <c r="E7" s="1413"/>
      <c r="F7" s="1418"/>
      <c r="G7" s="1413"/>
      <c r="H7" s="1413"/>
      <c r="I7" s="1413"/>
      <c r="J7" s="751" t="s">
        <v>459</v>
      </c>
    </row>
    <row r="8" spans="2:10" ht="20.100000000000001" customHeight="1">
      <c r="B8" s="1414"/>
      <c r="C8" s="1409" t="s">
        <v>1535</v>
      </c>
      <c r="D8" s="752" t="s">
        <v>1536</v>
      </c>
      <c r="E8" s="752" t="s">
        <v>1537</v>
      </c>
      <c r="F8" s="752">
        <v>2</v>
      </c>
      <c r="G8" s="753">
        <v>7.05</v>
      </c>
      <c r="H8" s="754">
        <v>70</v>
      </c>
      <c r="I8" s="755">
        <f>ROUND(1044*(1-$D$58),2)</f>
        <v>1044</v>
      </c>
      <c r="J8" s="756">
        <f>ROUND(((I8+V9+($U$40*S9))/2.5),0)</f>
        <v>418</v>
      </c>
    </row>
    <row r="9" spans="2:10" ht="20.100000000000001" customHeight="1">
      <c r="B9" s="1415"/>
      <c r="C9" s="1410"/>
      <c r="D9" s="757" t="s">
        <v>1538</v>
      </c>
      <c r="E9" s="752" t="s">
        <v>1537</v>
      </c>
      <c r="F9" s="758">
        <v>3</v>
      </c>
      <c r="G9" s="759">
        <v>10.39</v>
      </c>
      <c r="H9" s="760">
        <v>70</v>
      </c>
      <c r="I9" s="755">
        <f>ROUND(1274*(1-$D$58),2)</f>
        <v>1274</v>
      </c>
      <c r="J9" s="756">
        <f>ROUND(((I9+V13+($U$40*S12))/2.5),0)</f>
        <v>510</v>
      </c>
    </row>
    <row r="10" spans="2:10" ht="20.100000000000001" customHeight="1">
      <c r="B10" s="1415"/>
      <c r="C10" s="1410"/>
      <c r="D10" s="757" t="s">
        <v>1539</v>
      </c>
      <c r="E10" s="752" t="s">
        <v>1537</v>
      </c>
      <c r="F10" s="758">
        <v>3</v>
      </c>
      <c r="G10" s="759">
        <v>11.53</v>
      </c>
      <c r="H10" s="760">
        <v>70</v>
      </c>
      <c r="I10" s="761">
        <f>ROUND(1296*(1-$D$58),2)</f>
        <v>1296</v>
      </c>
      <c r="J10" s="756">
        <f>ROUND(((I10+V14+($U$40*S13))/2.5),0)</f>
        <v>518</v>
      </c>
    </row>
    <row r="11" spans="2:10" ht="20.100000000000001" customHeight="1">
      <c r="B11" s="1415"/>
      <c r="C11" s="1410"/>
      <c r="D11" s="757" t="s">
        <v>1540</v>
      </c>
      <c r="E11" s="752" t="s">
        <v>1537</v>
      </c>
      <c r="F11" s="758">
        <v>4</v>
      </c>
      <c r="G11" s="759">
        <v>13.73</v>
      </c>
      <c r="H11" s="760">
        <v>70</v>
      </c>
      <c r="I11" s="755">
        <f>ROUND(1396*(1-$D$58),2)</f>
        <v>1396</v>
      </c>
      <c r="J11" s="756">
        <f>ROUND(((I11+V16+($U$40*S15))/2.5),0)</f>
        <v>558</v>
      </c>
    </row>
    <row r="12" spans="2:10" ht="20.100000000000001" customHeight="1">
      <c r="B12" s="1415"/>
      <c r="C12" s="1411"/>
      <c r="D12" s="762" t="s">
        <v>1541</v>
      </c>
      <c r="E12" s="763" t="s">
        <v>1537</v>
      </c>
      <c r="F12" s="764">
        <v>4</v>
      </c>
      <c r="G12" s="765">
        <v>16</v>
      </c>
      <c r="H12" s="766">
        <v>70</v>
      </c>
      <c r="I12" s="767">
        <f>ROUND(1792*(1-$D$58),2)</f>
        <v>1792</v>
      </c>
      <c r="J12" s="768">
        <f>ROUND(((I12+V17+($U$40*S16))/2.5),0)</f>
        <v>717</v>
      </c>
    </row>
    <row r="13" spans="2:10" ht="20.100000000000001" customHeight="1">
      <c r="B13" s="1415"/>
      <c r="C13" s="1409" t="s">
        <v>461</v>
      </c>
      <c r="D13" s="769" t="s">
        <v>460</v>
      </c>
      <c r="E13" s="752" t="s">
        <v>1542</v>
      </c>
      <c r="F13" s="769">
        <v>2</v>
      </c>
      <c r="G13" s="770">
        <v>4.88</v>
      </c>
      <c r="H13" s="771">
        <v>210</v>
      </c>
      <c r="I13" s="772">
        <f>ROUND(803*(1-$D$58),2)</f>
        <v>803</v>
      </c>
      <c r="J13" s="773">
        <f>ROUND(((I13+V18+($U$40*S18))/2.5),0)</f>
        <v>321</v>
      </c>
    </row>
    <row r="14" spans="2:10" ht="20.100000000000001" customHeight="1">
      <c r="B14" s="1415"/>
      <c r="C14" s="1410"/>
      <c r="D14" s="752" t="s">
        <v>1543</v>
      </c>
      <c r="E14" s="752" t="s">
        <v>1542</v>
      </c>
      <c r="F14" s="752">
        <v>2</v>
      </c>
      <c r="G14" s="753">
        <v>7.15</v>
      </c>
      <c r="H14" s="754">
        <v>70</v>
      </c>
      <c r="I14" s="761">
        <f>ROUND(1116*(1-$D$58),2)</f>
        <v>1116</v>
      </c>
      <c r="J14" s="756">
        <f>ROUND(((I14+V20+($U$40*S20))/2.5),0)</f>
        <v>446</v>
      </c>
    </row>
    <row r="15" spans="2:10" ht="20.100000000000001" customHeight="1">
      <c r="B15" s="1415"/>
      <c r="C15" s="1410"/>
      <c r="D15" s="757" t="s">
        <v>1538</v>
      </c>
      <c r="E15" s="752" t="s">
        <v>1544</v>
      </c>
      <c r="F15" s="758">
        <v>3</v>
      </c>
      <c r="G15" s="759">
        <v>10.69</v>
      </c>
      <c r="H15" s="760">
        <v>70</v>
      </c>
      <c r="I15" s="755">
        <f>ROUND(1454*(1-$D$58),2)</f>
        <v>1454</v>
      </c>
      <c r="J15" s="756">
        <f>ROUND(((I15+V23+($U$40*S23))/2.5),0)</f>
        <v>582</v>
      </c>
    </row>
    <row r="16" spans="2:10" ht="20.100000000000001" customHeight="1">
      <c r="B16" s="1415"/>
      <c r="C16" s="1410"/>
      <c r="D16" s="757" t="s">
        <v>1539</v>
      </c>
      <c r="E16" s="752" t="s">
        <v>1544</v>
      </c>
      <c r="F16" s="758">
        <v>3</v>
      </c>
      <c r="G16" s="759">
        <v>11.83</v>
      </c>
      <c r="H16" s="760">
        <v>70</v>
      </c>
      <c r="I16" s="755">
        <f>ROUND(1549*(1-$D$58),2)</f>
        <v>1549</v>
      </c>
      <c r="J16" s="756">
        <f>ROUND(((I16+V24+($U$40*S24))/2.5),0)</f>
        <v>620</v>
      </c>
    </row>
    <row r="17" spans="2:10" ht="20.100000000000001" customHeight="1">
      <c r="B17" s="1415"/>
      <c r="C17" s="1410"/>
      <c r="D17" s="774" t="s">
        <v>1545</v>
      </c>
      <c r="E17" s="775" t="s">
        <v>1542</v>
      </c>
      <c r="F17" s="776">
        <v>3</v>
      </c>
      <c r="G17" s="777">
        <v>14.27</v>
      </c>
      <c r="H17" s="778">
        <v>70</v>
      </c>
      <c r="I17" s="761">
        <f>ROUND(1858*(1-$D$58),2)</f>
        <v>1858</v>
      </c>
      <c r="J17" s="756">
        <f>ROUND(((I17+V24+($U$40*S24))/3),0)</f>
        <v>619</v>
      </c>
    </row>
    <row r="18" spans="2:10" ht="20.100000000000001" customHeight="1">
      <c r="B18" s="1415"/>
      <c r="C18" s="1410"/>
      <c r="D18" s="757" t="s">
        <v>1540</v>
      </c>
      <c r="E18" s="752" t="s">
        <v>1546</v>
      </c>
      <c r="F18" s="758">
        <v>4</v>
      </c>
      <c r="G18" s="759">
        <v>14.06</v>
      </c>
      <c r="H18" s="760">
        <v>70</v>
      </c>
      <c r="I18" s="755">
        <f>ROUND(1772*(1-$D$58),2)</f>
        <v>1772</v>
      </c>
      <c r="J18" s="756">
        <f>ROUND(((I18+V26+($U$40*S26))/2.5),0)</f>
        <v>709</v>
      </c>
    </row>
    <row r="19" spans="2:10" ht="20.100000000000001" customHeight="1">
      <c r="B19" s="1415"/>
      <c r="C19" s="1410"/>
      <c r="D19" s="774" t="s">
        <v>1547</v>
      </c>
      <c r="E19" s="775" t="s">
        <v>1542</v>
      </c>
      <c r="F19" s="776">
        <v>4</v>
      </c>
      <c r="G19" s="777">
        <v>16.790299999999998</v>
      </c>
      <c r="H19" s="778">
        <v>70</v>
      </c>
      <c r="I19" s="761">
        <f>ROUND(2124*(1-$D$58),2)</f>
        <v>2124</v>
      </c>
      <c r="J19" s="756">
        <f>ROUND(((I19+V26+($U$40*S26))/3),0)</f>
        <v>708</v>
      </c>
    </row>
    <row r="20" spans="2:10" ht="20.100000000000001" customHeight="1">
      <c r="B20" s="1416"/>
      <c r="C20" s="1411"/>
      <c r="D20" s="762" t="s">
        <v>1541</v>
      </c>
      <c r="E20" s="763" t="s">
        <v>1542</v>
      </c>
      <c r="F20" s="764">
        <v>4</v>
      </c>
      <c r="G20" s="765">
        <v>16.3</v>
      </c>
      <c r="H20" s="779">
        <v>70</v>
      </c>
      <c r="I20" s="767">
        <f>ROUND(2345*(1-$D$58),2)</f>
        <v>2345</v>
      </c>
      <c r="J20" s="768">
        <f>ROUND(((I20+V27+($U$40*S27))/2.5),0)</f>
        <v>938</v>
      </c>
    </row>
    <row r="21" spans="2:10" ht="20.100000000000001" customHeight="1">
      <c r="B21" s="1414"/>
      <c r="C21" s="1409" t="s">
        <v>1548</v>
      </c>
      <c r="D21" s="769" t="s">
        <v>460</v>
      </c>
      <c r="E21" s="780" t="s">
        <v>1537</v>
      </c>
      <c r="F21" s="769">
        <v>2</v>
      </c>
      <c r="G21" s="770">
        <v>8.07</v>
      </c>
      <c r="H21" s="771">
        <v>180</v>
      </c>
      <c r="I21" s="772">
        <f>ROUND(959*(1-$D$58),2)</f>
        <v>959</v>
      </c>
      <c r="J21" s="773">
        <f>ROUND(((I21+V7+($U$40*S7))/2.5),0)</f>
        <v>384</v>
      </c>
    </row>
    <row r="22" spans="2:10" ht="20.100000000000001" customHeight="1">
      <c r="B22" s="1415"/>
      <c r="C22" s="1410"/>
      <c r="D22" s="752" t="s">
        <v>1536</v>
      </c>
      <c r="E22" s="752" t="s">
        <v>1537</v>
      </c>
      <c r="F22" s="752">
        <v>2</v>
      </c>
      <c r="G22" s="753">
        <v>11.96</v>
      </c>
      <c r="H22" s="754">
        <v>60</v>
      </c>
      <c r="I22" s="755">
        <f>ROUND(1454*(1-$D$58),2)</f>
        <v>1454</v>
      </c>
      <c r="J22" s="756">
        <f>ROUND(((I22+V9+($U$40*S9))/2.5),0)</f>
        <v>582</v>
      </c>
    </row>
    <row r="23" spans="2:10" ht="20.100000000000001" customHeight="1">
      <c r="B23" s="1415"/>
      <c r="C23" s="1410"/>
      <c r="D23" s="757" t="s">
        <v>1538</v>
      </c>
      <c r="E23" s="752" t="s">
        <v>1537</v>
      </c>
      <c r="F23" s="758">
        <v>3</v>
      </c>
      <c r="G23" s="759">
        <v>17.63</v>
      </c>
      <c r="H23" s="760">
        <v>60</v>
      </c>
      <c r="I23" s="755">
        <f>ROUND(1892*(1-$D$58),2)</f>
        <v>1892</v>
      </c>
      <c r="J23" s="756">
        <f>ROUND(((I23+V13+($U$40*S12))/2.5),0)</f>
        <v>757</v>
      </c>
    </row>
    <row r="24" spans="2:10" ht="20.100000000000001" customHeight="1">
      <c r="B24" s="1415"/>
      <c r="C24" s="1410"/>
      <c r="D24" s="757" t="s">
        <v>1539</v>
      </c>
      <c r="E24" s="752" t="s">
        <v>1537</v>
      </c>
      <c r="F24" s="758">
        <v>3</v>
      </c>
      <c r="G24" s="759">
        <v>19.579999999999998</v>
      </c>
      <c r="H24" s="760">
        <v>60</v>
      </c>
      <c r="I24" s="755">
        <f>ROUND(1993*(1-$D$58),2)</f>
        <v>1993</v>
      </c>
      <c r="J24" s="756">
        <f>ROUND(((I24+V14+($U$40*S13))/2.5),0)</f>
        <v>797</v>
      </c>
    </row>
    <row r="25" spans="2:10" ht="20.100000000000001" customHeight="1">
      <c r="B25" s="1415"/>
      <c r="C25" s="1410"/>
      <c r="D25" s="757" t="s">
        <v>1540</v>
      </c>
      <c r="E25" s="752" t="s">
        <v>1537</v>
      </c>
      <c r="F25" s="758">
        <v>4</v>
      </c>
      <c r="G25" s="759">
        <v>23.3</v>
      </c>
      <c r="H25" s="760">
        <v>60</v>
      </c>
      <c r="I25" s="755">
        <f>ROUND(2137*(1-$D$58),2)</f>
        <v>2137</v>
      </c>
      <c r="J25" s="756">
        <f>ROUND(((I25+V16+($U$40*S15))/2.5),0)</f>
        <v>855</v>
      </c>
    </row>
    <row r="26" spans="2:10" ht="20.100000000000001" customHeight="1">
      <c r="B26" s="1415"/>
      <c r="C26" s="1411"/>
      <c r="D26" s="762" t="s">
        <v>1541</v>
      </c>
      <c r="E26" s="781" t="s">
        <v>1537</v>
      </c>
      <c r="F26" s="764">
        <v>4</v>
      </c>
      <c r="G26" s="765">
        <v>27.19</v>
      </c>
      <c r="H26" s="766">
        <v>60</v>
      </c>
      <c r="I26" s="767">
        <f>ROUND(2654*(1-$D$58),2)</f>
        <v>2654</v>
      </c>
      <c r="J26" s="768">
        <f>ROUND(((I26+V17+($U$40*S16))/2.5),0)</f>
        <v>1062</v>
      </c>
    </row>
    <row r="27" spans="2:10" ht="20.100000000000001" customHeight="1">
      <c r="B27" s="1415"/>
      <c r="C27" s="1409" t="s">
        <v>1549</v>
      </c>
      <c r="D27" s="769" t="s">
        <v>460</v>
      </c>
      <c r="E27" s="780" t="s">
        <v>1542</v>
      </c>
      <c r="F27" s="769">
        <v>2</v>
      </c>
      <c r="G27" s="770">
        <v>8.3121000000000009</v>
      </c>
      <c r="H27" s="771">
        <v>180</v>
      </c>
      <c r="I27" s="772">
        <f>ROUND(1042*(1-$D$58),2)</f>
        <v>1042</v>
      </c>
      <c r="J27" s="773">
        <f>ROUND(((I27+V18+($U$40*S18))/2.5),0)</f>
        <v>417</v>
      </c>
    </row>
    <row r="28" spans="2:10" ht="20.100000000000001" customHeight="1">
      <c r="B28" s="1415"/>
      <c r="C28" s="1410"/>
      <c r="D28" s="752" t="s">
        <v>1536</v>
      </c>
      <c r="E28" s="752" t="s">
        <v>1550</v>
      </c>
      <c r="F28" s="752">
        <v>2</v>
      </c>
      <c r="G28" s="753">
        <v>12.318800000000001</v>
      </c>
      <c r="H28" s="754">
        <v>60</v>
      </c>
      <c r="I28" s="755">
        <f>ROUND(1582*(1-$D$58),2)</f>
        <v>1582</v>
      </c>
      <c r="J28" s="756">
        <f>ROUND(((I28+V20+($U$40*S20))/2.5),0)</f>
        <v>633</v>
      </c>
    </row>
    <row r="29" spans="2:10" ht="20.100000000000001" customHeight="1">
      <c r="B29" s="1415"/>
      <c r="C29" s="1410"/>
      <c r="D29" s="757" t="s">
        <v>1538</v>
      </c>
      <c r="E29" s="752" t="s">
        <v>1542</v>
      </c>
      <c r="F29" s="758">
        <v>3</v>
      </c>
      <c r="G29" s="759">
        <v>18.158899999999999</v>
      </c>
      <c r="H29" s="760">
        <v>60</v>
      </c>
      <c r="I29" s="755">
        <f>ROUND(2124*(1-$D$58),2)</f>
        <v>2124</v>
      </c>
      <c r="J29" s="756">
        <f>ROUND(((I29+V23+($U$40*S23))/2.5),0)</f>
        <v>850</v>
      </c>
    </row>
    <row r="30" spans="2:10" ht="20.100000000000001" customHeight="1">
      <c r="B30" s="1415"/>
      <c r="C30" s="1410"/>
      <c r="D30" s="757" t="s">
        <v>1539</v>
      </c>
      <c r="E30" s="752" t="s">
        <v>1542</v>
      </c>
      <c r="F30" s="758">
        <v>3</v>
      </c>
      <c r="G30" s="759">
        <v>20.167399999999997</v>
      </c>
      <c r="H30" s="760">
        <v>60</v>
      </c>
      <c r="I30" s="755">
        <f>ROUND(2316*(1-$D$58),2)</f>
        <v>2316</v>
      </c>
      <c r="J30" s="756">
        <f>ROUND(((I30+V24+($U$40*S24))/2.5),0)</f>
        <v>926</v>
      </c>
    </row>
    <row r="31" spans="2:10" ht="20.100000000000001" customHeight="1">
      <c r="B31" s="1415"/>
      <c r="C31" s="1410"/>
      <c r="D31" s="757" t="s">
        <v>1540</v>
      </c>
      <c r="E31" s="752" t="s">
        <v>1551</v>
      </c>
      <c r="F31" s="758">
        <v>4</v>
      </c>
      <c r="G31" s="759">
        <v>23.999000000000002</v>
      </c>
      <c r="H31" s="760">
        <v>60</v>
      </c>
      <c r="I31" s="755">
        <f>ROUND(2530*(1-$D$58),2)</f>
        <v>2530</v>
      </c>
      <c r="J31" s="756">
        <f>ROUND(((I31+V26+($U$40*S26))/2.5),0)</f>
        <v>1012</v>
      </c>
    </row>
    <row r="32" spans="2:10" ht="20.100000000000001" customHeight="1">
      <c r="B32" s="1416"/>
      <c r="C32" s="1411"/>
      <c r="D32" s="762" t="s">
        <v>1541</v>
      </c>
      <c r="E32" s="781" t="s">
        <v>1550</v>
      </c>
      <c r="F32" s="764">
        <v>4</v>
      </c>
      <c r="G32" s="765">
        <v>28.005700000000001</v>
      </c>
      <c r="H32" s="766">
        <v>60</v>
      </c>
      <c r="I32" s="767">
        <f>ROUND(3108*(1-$D$58),2)</f>
        <v>3108</v>
      </c>
      <c r="J32" s="768">
        <f>ROUND(((I32+V27+($U$40*S27))/2.5),0)</f>
        <v>1243</v>
      </c>
    </row>
    <row r="33" spans="2:10" ht="27" customHeight="1">
      <c r="B33" s="782"/>
      <c r="C33" s="1409" t="s">
        <v>1552</v>
      </c>
      <c r="D33" s="783" t="s">
        <v>1536</v>
      </c>
      <c r="E33" s="780" t="s">
        <v>1537</v>
      </c>
      <c r="F33" s="784" t="s">
        <v>21</v>
      </c>
      <c r="G33" s="785">
        <v>14.11</v>
      </c>
      <c r="H33" s="786">
        <v>50</v>
      </c>
      <c r="I33" s="772">
        <f>ROUND(2097*(1-$D$58),2)</f>
        <v>2097</v>
      </c>
      <c r="J33" s="773">
        <f>ROUND(((I33+V9+($U$40*S9))/2.5),0)</f>
        <v>839</v>
      </c>
    </row>
    <row r="34" spans="2:10" ht="27" customHeight="1">
      <c r="B34" s="787"/>
      <c r="C34" s="1410"/>
      <c r="D34" s="757" t="s">
        <v>1540</v>
      </c>
      <c r="E34" s="752" t="s">
        <v>1537</v>
      </c>
      <c r="F34" s="758" t="s">
        <v>21</v>
      </c>
      <c r="G34" s="759">
        <v>26.88</v>
      </c>
      <c r="H34" s="760">
        <v>40</v>
      </c>
      <c r="I34" s="755">
        <f>ROUND(2903*(1-$D$58),2)</f>
        <v>2903</v>
      </c>
      <c r="J34" s="756">
        <f>ROUND(((I34+V16+($U$40*S15))/2.5),0)</f>
        <v>1161</v>
      </c>
    </row>
    <row r="35" spans="2:10" ht="27" customHeight="1">
      <c r="B35" s="787"/>
      <c r="C35" s="1411"/>
      <c r="D35" s="762" t="s">
        <v>1541</v>
      </c>
      <c r="E35" s="788" t="s">
        <v>1537</v>
      </c>
      <c r="F35" s="764" t="s">
        <v>21</v>
      </c>
      <c r="G35" s="765">
        <v>31.99</v>
      </c>
      <c r="H35" s="766">
        <v>40</v>
      </c>
      <c r="I35" s="767">
        <f>ROUND(3695*(1-$D$58),2)</f>
        <v>3695</v>
      </c>
      <c r="J35" s="768">
        <f>ROUND(((I35+V17+($U$40*S16))/2.5),0)</f>
        <v>1478</v>
      </c>
    </row>
    <row r="36" spans="2:10" ht="108" customHeight="1">
      <c r="B36" s="787"/>
      <c r="C36" s="1409" t="s">
        <v>1553</v>
      </c>
      <c r="D36" s="783" t="s">
        <v>1536</v>
      </c>
      <c r="E36" s="780" t="s">
        <v>1542</v>
      </c>
      <c r="F36" s="784" t="s">
        <v>21</v>
      </c>
      <c r="G36" s="785">
        <v>14.43</v>
      </c>
      <c r="H36" s="786">
        <v>50</v>
      </c>
      <c r="I36" s="772">
        <f>ROUND(2349*(1-$D$58),2)</f>
        <v>2349</v>
      </c>
      <c r="J36" s="773">
        <f>ROUND(((I36+V20+($U$40*S20))/2.5),0)</f>
        <v>940</v>
      </c>
    </row>
    <row r="37" spans="2:10">
      <c r="B37" s="787"/>
      <c r="C37" s="1410"/>
      <c r="D37" s="757" t="s">
        <v>1554</v>
      </c>
      <c r="E37" s="752" t="s">
        <v>1542</v>
      </c>
      <c r="F37" s="758" t="s">
        <v>21</v>
      </c>
      <c r="G37" s="759">
        <v>27.5</v>
      </c>
      <c r="H37" s="760">
        <v>40</v>
      </c>
      <c r="I37" s="755">
        <f>ROUND(3422*(1-$D$58),2)</f>
        <v>3422</v>
      </c>
      <c r="J37" s="756">
        <f>ROUND(((I37+V26+($U$40*S26))/2.5),0)</f>
        <v>1369</v>
      </c>
    </row>
    <row r="38" spans="2:10" ht="27" customHeight="1">
      <c r="B38" s="789"/>
      <c r="C38" s="1411"/>
      <c r="D38" s="762" t="s">
        <v>1541</v>
      </c>
      <c r="E38" s="762" t="s">
        <v>1542</v>
      </c>
      <c r="F38" s="764" t="s">
        <v>21</v>
      </c>
      <c r="G38" s="765">
        <v>32.729999999999997</v>
      </c>
      <c r="H38" s="766">
        <v>40</v>
      </c>
      <c r="I38" s="767">
        <f>ROUND(4294*(1-$D$58),2)</f>
        <v>4294</v>
      </c>
      <c r="J38" s="768">
        <f>ROUND(((I38+V27+($U$40*S27))/2.5),0)</f>
        <v>1718</v>
      </c>
    </row>
  </sheetData>
  <mergeCells count="17">
    <mergeCell ref="G5:I5"/>
    <mergeCell ref="I6:I7"/>
    <mergeCell ref="B8:B20"/>
    <mergeCell ref="C8:C12"/>
    <mergeCell ref="C13:C20"/>
    <mergeCell ref="B6:B7"/>
    <mergeCell ref="C6:C7"/>
    <mergeCell ref="D6:D7"/>
    <mergeCell ref="E6:E7"/>
    <mergeCell ref="F6:F7"/>
    <mergeCell ref="C36:C38"/>
    <mergeCell ref="G6:G7"/>
    <mergeCell ref="H6:H7"/>
    <mergeCell ref="B21:B32"/>
    <mergeCell ref="C21:C26"/>
    <mergeCell ref="C27:C32"/>
    <mergeCell ref="C33:C3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2:AH82"/>
  <sheetViews>
    <sheetView workbookViewId="0">
      <selection activeCell="AP21" sqref="AP21"/>
    </sheetView>
  </sheetViews>
  <sheetFormatPr defaultRowHeight="15"/>
  <cols>
    <col min="1" max="1" width="5.5703125" customWidth="1"/>
    <col min="2" max="2" width="15.7109375" customWidth="1"/>
    <col min="3" max="3" width="18.7109375" customWidth="1"/>
    <col min="4" max="4" width="22.85546875" customWidth="1"/>
    <col min="5" max="5" width="2.28515625" customWidth="1"/>
    <col min="6" max="6" width="2.42578125" customWidth="1"/>
    <col min="7" max="8" width="2.28515625" customWidth="1"/>
    <col min="9" max="9" width="2.42578125" customWidth="1"/>
    <col min="10" max="22" width="2.28515625" customWidth="1"/>
    <col min="23" max="23" width="3" customWidth="1"/>
    <col min="24" max="24" width="2.5703125" customWidth="1"/>
    <col min="25" max="25" width="0.140625" customWidth="1"/>
    <col min="26" max="26" width="3.28515625" hidden="1" customWidth="1"/>
    <col min="27" max="27" width="3.140625" customWidth="1"/>
    <col min="29" max="29" width="6.5703125" customWidth="1"/>
    <col min="30" max="30" width="3" customWidth="1"/>
    <col min="31" max="31" width="7.28515625" customWidth="1"/>
    <col min="32" max="32" width="6.85546875" customWidth="1"/>
    <col min="33" max="33" width="6.28515625" customWidth="1"/>
  </cols>
  <sheetData>
    <row r="2" spans="1:34" ht="15.75" thickBot="1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</row>
    <row r="3" spans="1:34" ht="17.25" customHeight="1" thickTop="1" thickBot="1">
      <c r="A3" s="106"/>
      <c r="B3" s="107"/>
      <c r="C3" s="107"/>
      <c r="D3" s="108" t="s">
        <v>148</v>
      </c>
      <c r="E3" s="1517" t="s">
        <v>149</v>
      </c>
      <c r="F3" s="1508"/>
      <c r="G3" s="1508" t="s">
        <v>150</v>
      </c>
      <c r="H3" s="1508"/>
      <c r="I3" s="1504" t="s">
        <v>151</v>
      </c>
      <c r="J3" s="1505"/>
      <c r="K3" s="1504" t="s">
        <v>152</v>
      </c>
      <c r="L3" s="1505"/>
      <c r="M3" s="1504" t="s">
        <v>153</v>
      </c>
      <c r="N3" s="1505"/>
      <c r="O3" s="1508" t="s">
        <v>154</v>
      </c>
      <c r="P3" s="1508"/>
      <c r="Q3" s="1504" t="s">
        <v>180</v>
      </c>
      <c r="R3" s="1505"/>
      <c r="S3" s="1504" t="s">
        <v>155</v>
      </c>
      <c r="T3" s="1505"/>
      <c r="U3" s="1504" t="s">
        <v>156</v>
      </c>
      <c r="V3" s="1505"/>
      <c r="W3" s="1504" t="s">
        <v>129</v>
      </c>
      <c r="X3" s="1505"/>
      <c r="Y3" s="94"/>
      <c r="Z3" s="95"/>
      <c r="AA3" s="1443" t="s">
        <v>157</v>
      </c>
      <c r="AB3" s="1443"/>
      <c r="AC3" s="1445" t="s">
        <v>181</v>
      </c>
      <c r="AD3" s="1445"/>
      <c r="AE3" s="106"/>
      <c r="AF3" s="106"/>
      <c r="AG3" s="106"/>
      <c r="AH3" s="106"/>
    </row>
    <row r="4" spans="1:34" ht="53.25" customHeight="1" thickTop="1" thickBot="1">
      <c r="A4" s="106"/>
      <c r="B4" s="1512" t="s">
        <v>158</v>
      </c>
      <c r="C4" s="1513"/>
      <c r="D4" s="109" t="s">
        <v>182</v>
      </c>
      <c r="E4" s="1518"/>
      <c r="F4" s="1509"/>
      <c r="G4" s="1509"/>
      <c r="H4" s="1509"/>
      <c r="I4" s="1506"/>
      <c r="J4" s="1507"/>
      <c r="K4" s="1506"/>
      <c r="L4" s="1507"/>
      <c r="M4" s="1506"/>
      <c r="N4" s="1507"/>
      <c r="O4" s="1509"/>
      <c r="P4" s="1509"/>
      <c r="Q4" s="1506"/>
      <c r="R4" s="1507"/>
      <c r="S4" s="1506"/>
      <c r="T4" s="1507"/>
      <c r="U4" s="1506"/>
      <c r="V4" s="1507"/>
      <c r="W4" s="1506"/>
      <c r="X4" s="1507"/>
      <c r="Y4" s="96"/>
      <c r="Z4" s="97"/>
      <c r="AA4" s="1444"/>
      <c r="AB4" s="1444"/>
      <c r="AC4" s="1446"/>
      <c r="AD4" s="1446"/>
      <c r="AE4" s="106"/>
      <c r="AF4" s="106"/>
      <c r="AG4" s="106"/>
      <c r="AH4" s="106"/>
    </row>
    <row r="5" spans="1:34" ht="16.5" customHeight="1" thickTop="1">
      <c r="A5" s="106"/>
      <c r="B5" s="1425"/>
      <c r="C5" s="1428"/>
      <c r="D5" s="1431" t="s">
        <v>183</v>
      </c>
      <c r="E5" s="1514" t="s">
        <v>159</v>
      </c>
      <c r="F5" s="1515"/>
      <c r="G5" s="1516"/>
      <c r="H5" s="1516"/>
      <c r="I5" s="1525"/>
      <c r="J5" s="1525"/>
      <c r="K5" s="1516"/>
      <c r="L5" s="1516"/>
      <c r="M5" s="1516"/>
      <c r="N5" s="1516"/>
      <c r="O5" s="1516"/>
      <c r="P5" s="1516"/>
      <c r="Q5" s="1519"/>
      <c r="R5" s="1520"/>
      <c r="S5" s="1519"/>
      <c r="T5" s="1520"/>
      <c r="U5" s="1519"/>
      <c r="V5" s="1520"/>
      <c r="W5" s="1519"/>
      <c r="X5" s="1520"/>
      <c r="Y5" s="98"/>
      <c r="Z5" s="99"/>
      <c r="AA5" s="1452">
        <v>39.9</v>
      </c>
      <c r="AB5" s="1453"/>
      <c r="AC5" s="1454">
        <f t="shared" ref="AC5:AC13" si="0">AA5*10</f>
        <v>399</v>
      </c>
      <c r="AD5" s="1455"/>
      <c r="AE5" s="106"/>
      <c r="AF5" s="106"/>
      <c r="AG5" s="106"/>
      <c r="AH5" s="106"/>
    </row>
    <row r="6" spans="1:34" ht="34.5" customHeight="1">
      <c r="A6" s="106"/>
      <c r="B6" s="1447"/>
      <c r="C6" s="1429"/>
      <c r="D6" s="1448"/>
      <c r="E6" s="1477"/>
      <c r="F6" s="1478"/>
      <c r="G6" s="1456"/>
      <c r="H6" s="1456"/>
      <c r="I6" s="1456"/>
      <c r="J6" s="1456"/>
      <c r="K6" s="100"/>
      <c r="L6" s="101"/>
      <c r="M6" s="100"/>
      <c r="N6" s="101"/>
      <c r="O6" s="100"/>
      <c r="P6" s="101"/>
      <c r="Q6" s="1523"/>
      <c r="R6" s="1524"/>
      <c r="S6" s="100"/>
      <c r="T6" s="101"/>
      <c r="U6" s="100"/>
      <c r="V6" s="101"/>
      <c r="W6" s="100"/>
      <c r="X6" s="101"/>
      <c r="Y6" s="1465"/>
      <c r="Z6" s="1466"/>
      <c r="AA6" s="1457">
        <v>45</v>
      </c>
      <c r="AB6" s="1458"/>
      <c r="AC6" s="1421">
        <f>AA6*10</f>
        <v>450</v>
      </c>
      <c r="AD6" s="1422"/>
      <c r="AE6" s="106"/>
      <c r="AF6" s="106"/>
      <c r="AG6" s="106"/>
      <c r="AH6" s="106"/>
    </row>
    <row r="7" spans="1:34" ht="23.25" customHeight="1">
      <c r="A7" s="106"/>
      <c r="B7" s="1426"/>
      <c r="C7" s="1429"/>
      <c r="D7" s="1449"/>
      <c r="E7" s="1477"/>
      <c r="F7" s="1478"/>
      <c r="G7" s="1456"/>
      <c r="H7" s="1456"/>
      <c r="I7" s="1456"/>
      <c r="J7" s="1456"/>
      <c r="K7" s="1510" t="s">
        <v>159</v>
      </c>
      <c r="L7" s="1511"/>
      <c r="M7" s="1467"/>
      <c r="N7" s="1468"/>
      <c r="O7" s="1467"/>
      <c r="P7" s="1468"/>
      <c r="Q7" s="1467"/>
      <c r="R7" s="1468"/>
      <c r="S7" s="1467"/>
      <c r="T7" s="1468"/>
      <c r="U7" s="1467"/>
      <c r="V7" s="1468"/>
      <c r="W7" s="1467"/>
      <c r="X7" s="1468"/>
      <c r="Y7" s="1469"/>
      <c r="Z7" s="1470"/>
      <c r="AA7" s="1419">
        <v>52.5</v>
      </c>
      <c r="AB7" s="1420"/>
      <c r="AC7" s="1421">
        <f>AA7*10</f>
        <v>525</v>
      </c>
      <c r="AD7" s="1422"/>
      <c r="AE7" s="106"/>
      <c r="AF7" s="106"/>
      <c r="AG7" s="106"/>
      <c r="AH7" s="106"/>
    </row>
    <row r="8" spans="1:34" ht="15.75">
      <c r="A8" s="106"/>
      <c r="B8" s="1426"/>
      <c r="C8" s="1429"/>
      <c r="D8" s="1450"/>
      <c r="E8" s="1477"/>
      <c r="F8" s="1478"/>
      <c r="G8" s="1456"/>
      <c r="H8" s="1456"/>
      <c r="I8" s="1534" t="s">
        <v>159</v>
      </c>
      <c r="J8" s="1535"/>
      <c r="K8" s="1479"/>
      <c r="L8" s="1479"/>
      <c r="M8" s="1528" t="s">
        <v>159</v>
      </c>
      <c r="N8" s="1528"/>
      <c r="O8" s="1529" t="s">
        <v>159</v>
      </c>
      <c r="P8" s="1529"/>
      <c r="Q8" s="1467"/>
      <c r="R8" s="1468"/>
      <c r="S8" s="1467"/>
      <c r="T8" s="1468"/>
      <c r="U8" s="1467"/>
      <c r="V8" s="1468"/>
      <c r="W8" s="1467"/>
      <c r="X8" s="1468"/>
      <c r="Y8" s="1469"/>
      <c r="Z8" s="1470"/>
      <c r="AA8" s="1419">
        <v>57</v>
      </c>
      <c r="AB8" s="1420"/>
      <c r="AC8" s="1421">
        <f>AA8*10</f>
        <v>570</v>
      </c>
      <c r="AD8" s="1422"/>
      <c r="AE8" s="106"/>
      <c r="AF8" s="106"/>
      <c r="AG8" s="106"/>
      <c r="AH8" s="106"/>
    </row>
    <row r="9" spans="1:34" ht="43.5" customHeight="1" thickBot="1">
      <c r="A9" s="106"/>
      <c r="B9" s="1427"/>
      <c r="C9" s="1430"/>
      <c r="D9" s="1451"/>
      <c r="E9" s="1531"/>
      <c r="F9" s="1532"/>
      <c r="G9" s="1533"/>
      <c r="H9" s="1533"/>
      <c r="I9" s="1530"/>
      <c r="J9" s="1530"/>
      <c r="K9" s="1530"/>
      <c r="L9" s="1530"/>
      <c r="M9" s="1530"/>
      <c r="N9" s="1530"/>
      <c r="O9" s="1530"/>
      <c r="P9" s="1530"/>
      <c r="Q9" s="1482"/>
      <c r="R9" s="1483"/>
      <c r="S9" s="1482"/>
      <c r="T9" s="1483"/>
      <c r="U9" s="1526"/>
      <c r="V9" s="1527"/>
      <c r="W9" s="1542"/>
      <c r="X9" s="1543"/>
      <c r="Y9" s="1484"/>
      <c r="Z9" s="1485"/>
      <c r="AA9" s="1423">
        <v>62</v>
      </c>
      <c r="AB9" s="1424"/>
      <c r="AC9" s="1521">
        <f>AA9*10</f>
        <v>620</v>
      </c>
      <c r="AD9" s="1522"/>
      <c r="AE9" s="106"/>
      <c r="AF9" s="106"/>
      <c r="AG9" s="106"/>
      <c r="AH9" s="106"/>
    </row>
    <row r="10" spans="1:34" ht="16.5" customHeight="1" thickTop="1">
      <c r="A10" s="106"/>
      <c r="B10" s="1425"/>
      <c r="C10" s="1428"/>
      <c r="D10" s="1431" t="s">
        <v>184</v>
      </c>
      <c r="E10" s="1536"/>
      <c r="F10" s="1537"/>
      <c r="G10" s="1538" t="s">
        <v>159</v>
      </c>
      <c r="H10" s="1539"/>
      <c r="I10" s="1525"/>
      <c r="J10" s="1525"/>
      <c r="K10" s="1525"/>
      <c r="L10" s="1525"/>
      <c r="M10" s="1525"/>
      <c r="N10" s="1525"/>
      <c r="O10" s="1525"/>
      <c r="P10" s="1525"/>
      <c r="Q10" s="1471"/>
      <c r="R10" s="1472"/>
      <c r="S10" s="1471"/>
      <c r="T10" s="1472"/>
      <c r="U10" s="1471"/>
      <c r="V10" s="1472"/>
      <c r="W10" s="1471"/>
      <c r="X10" s="1472"/>
      <c r="Y10" s="98"/>
      <c r="Z10" s="99"/>
      <c r="AA10" s="1502">
        <v>39.9</v>
      </c>
      <c r="AB10" s="1503"/>
      <c r="AC10" s="1454">
        <f t="shared" si="0"/>
        <v>399</v>
      </c>
      <c r="AD10" s="1455"/>
      <c r="AE10" s="106"/>
      <c r="AF10" s="106"/>
      <c r="AG10" s="106"/>
      <c r="AH10" s="106"/>
    </row>
    <row r="11" spans="1:34" ht="24" customHeight="1">
      <c r="A11" s="106"/>
      <c r="B11" s="1426"/>
      <c r="C11" s="1429"/>
      <c r="D11" s="1432"/>
      <c r="E11" s="1477"/>
      <c r="F11" s="1478"/>
      <c r="G11" s="1479"/>
      <c r="H11" s="1479"/>
      <c r="I11" s="1479"/>
      <c r="J11" s="1479"/>
      <c r="K11" s="1479"/>
      <c r="L11" s="1479"/>
      <c r="M11" s="1479"/>
      <c r="N11" s="1479"/>
      <c r="O11" s="1479"/>
      <c r="P11" s="1479"/>
      <c r="Q11" s="1467"/>
      <c r="R11" s="1468"/>
      <c r="S11" s="1540"/>
      <c r="T11" s="1541"/>
      <c r="U11" s="1467"/>
      <c r="V11" s="1468"/>
      <c r="W11" s="1467"/>
      <c r="X11" s="1468"/>
      <c r="Y11" s="1465"/>
      <c r="Z11" s="1466"/>
      <c r="AA11" s="1423">
        <v>64</v>
      </c>
      <c r="AB11" s="1424"/>
      <c r="AC11" s="1421">
        <f t="shared" si="0"/>
        <v>640</v>
      </c>
      <c r="AD11" s="1422"/>
      <c r="AE11" s="106"/>
      <c r="AF11" s="106"/>
      <c r="AG11" s="106"/>
      <c r="AH11" s="106"/>
    </row>
    <row r="12" spans="1:34" ht="15.75">
      <c r="A12" s="106"/>
      <c r="B12" s="1426"/>
      <c r="C12" s="1429"/>
      <c r="D12" s="1433"/>
      <c r="E12" s="1477"/>
      <c r="F12" s="1478"/>
      <c r="G12" s="1479"/>
      <c r="H12" s="1479"/>
      <c r="I12" s="1479"/>
      <c r="J12" s="1479"/>
      <c r="K12" s="1479"/>
      <c r="L12" s="1479"/>
      <c r="M12" s="1479"/>
      <c r="N12" s="1479"/>
      <c r="O12" s="1479"/>
      <c r="P12" s="1479"/>
      <c r="Q12" s="1467"/>
      <c r="R12" s="1468"/>
      <c r="S12" s="1467"/>
      <c r="T12" s="1468"/>
      <c r="U12" s="1467"/>
      <c r="V12" s="1468"/>
      <c r="W12" s="1467"/>
      <c r="X12" s="1468"/>
      <c r="Y12" s="1469"/>
      <c r="Z12" s="1470"/>
      <c r="AA12" s="1435"/>
      <c r="AB12" s="1436"/>
      <c r="AC12" s="1437">
        <f t="shared" si="0"/>
        <v>0</v>
      </c>
      <c r="AD12" s="1438"/>
      <c r="AE12" s="106"/>
      <c r="AF12" s="106"/>
      <c r="AG12" s="106"/>
      <c r="AH12" s="106"/>
    </row>
    <row r="13" spans="1:34" ht="84" customHeight="1" thickBot="1">
      <c r="A13" s="106"/>
      <c r="B13" s="1427"/>
      <c r="C13" s="1430"/>
      <c r="D13" s="1434"/>
      <c r="E13" s="1491"/>
      <c r="F13" s="1492"/>
      <c r="G13" s="1481"/>
      <c r="H13" s="1481"/>
      <c r="I13" s="1481"/>
      <c r="J13" s="1481"/>
      <c r="K13" s="1481"/>
      <c r="L13" s="1481"/>
      <c r="M13" s="1481"/>
      <c r="N13" s="1481"/>
      <c r="O13" s="1481"/>
      <c r="P13" s="1481"/>
      <c r="Q13" s="1482"/>
      <c r="R13" s="1483"/>
      <c r="S13" s="1482"/>
      <c r="T13" s="1483"/>
      <c r="U13" s="1482"/>
      <c r="V13" s="1483"/>
      <c r="W13" s="1482"/>
      <c r="X13" s="1483"/>
      <c r="Y13" s="1484"/>
      <c r="Z13" s="1485"/>
      <c r="AA13" s="1439"/>
      <c r="AB13" s="1440"/>
      <c r="AC13" s="1441">
        <f t="shared" si="0"/>
        <v>0</v>
      </c>
      <c r="AD13" s="1442"/>
      <c r="AE13" s="106"/>
      <c r="AF13" s="106"/>
      <c r="AG13" s="106"/>
      <c r="AH13" s="106"/>
    </row>
    <row r="14" spans="1:34" ht="16.5" customHeight="1" thickTop="1">
      <c r="A14" s="106"/>
      <c r="B14" s="102"/>
      <c r="C14" s="103"/>
      <c r="D14" s="1431" t="s">
        <v>185</v>
      </c>
      <c r="E14" s="1536"/>
      <c r="F14" s="1537"/>
      <c r="G14" s="1525"/>
      <c r="H14" s="1525"/>
      <c r="I14" s="1534" t="s">
        <v>159</v>
      </c>
      <c r="J14" s="1535"/>
      <c r="K14" s="1510" t="s">
        <v>159</v>
      </c>
      <c r="L14" s="1511"/>
      <c r="M14" s="1525"/>
      <c r="N14" s="1525"/>
      <c r="O14" s="1525"/>
      <c r="P14" s="1525"/>
      <c r="Q14" s="1471"/>
      <c r="R14" s="1472"/>
      <c r="S14" s="1525"/>
      <c r="T14" s="1525"/>
      <c r="U14" s="1525"/>
      <c r="V14" s="1525"/>
      <c r="W14" s="1525"/>
      <c r="X14" s="1525"/>
      <c r="Y14" s="98"/>
      <c r="Z14" s="99"/>
      <c r="AA14" s="1502">
        <v>69</v>
      </c>
      <c r="AB14" s="1503"/>
      <c r="AC14" s="1454">
        <f>AA14*10</f>
        <v>690</v>
      </c>
      <c r="AD14" s="1455"/>
      <c r="AE14" s="106"/>
      <c r="AF14" s="106"/>
      <c r="AG14" s="106"/>
      <c r="AH14" s="106"/>
    </row>
    <row r="15" spans="1:34" ht="34.5" customHeight="1">
      <c r="A15" s="106"/>
      <c r="B15" s="102"/>
      <c r="C15" s="103"/>
      <c r="D15" s="1432"/>
      <c r="E15" s="1477"/>
      <c r="F15" s="1478"/>
      <c r="G15" s="1479"/>
      <c r="H15" s="1479"/>
      <c r="I15" s="1479"/>
      <c r="J15" s="1479"/>
      <c r="K15" s="1479"/>
      <c r="L15" s="1479"/>
      <c r="M15" s="1479"/>
      <c r="N15" s="1479"/>
      <c r="O15" s="1479"/>
      <c r="P15" s="1479"/>
      <c r="Q15" s="1467"/>
      <c r="R15" s="1468"/>
      <c r="S15" s="1479"/>
      <c r="T15" s="1479"/>
      <c r="U15" s="1479"/>
      <c r="V15" s="1479"/>
      <c r="W15" s="1479"/>
      <c r="X15" s="1479"/>
      <c r="Y15" s="1465"/>
      <c r="Z15" s="1466"/>
      <c r="AA15" s="1435"/>
      <c r="AB15" s="1436"/>
      <c r="AC15" s="1437">
        <f>AA15*10</f>
        <v>0</v>
      </c>
      <c r="AD15" s="1438"/>
      <c r="AE15" s="106"/>
      <c r="AF15" s="106"/>
      <c r="AG15" s="106"/>
      <c r="AH15" s="106"/>
    </row>
    <row r="16" spans="1:34" ht="15.75">
      <c r="A16" s="106"/>
      <c r="B16" s="102"/>
      <c r="C16" s="103"/>
      <c r="D16" s="1433"/>
      <c r="E16" s="1477"/>
      <c r="F16" s="1478"/>
      <c r="G16" s="1479"/>
      <c r="H16" s="1479"/>
      <c r="I16" s="1479"/>
      <c r="J16" s="1479"/>
      <c r="K16" s="1479"/>
      <c r="L16" s="1479"/>
      <c r="M16" s="1479"/>
      <c r="N16" s="1479"/>
      <c r="O16" s="1479"/>
      <c r="P16" s="1479"/>
      <c r="Q16" s="1467"/>
      <c r="R16" s="1468"/>
      <c r="S16" s="1479"/>
      <c r="T16" s="1479"/>
      <c r="U16" s="1479"/>
      <c r="V16" s="1479"/>
      <c r="W16" s="1479"/>
      <c r="X16" s="1479"/>
      <c r="Y16" s="1469"/>
      <c r="Z16" s="1470"/>
      <c r="AA16" s="1435"/>
      <c r="AB16" s="1436"/>
      <c r="AC16" s="1437">
        <f>AA16*10</f>
        <v>0</v>
      </c>
      <c r="AD16" s="1438"/>
      <c r="AE16" s="106"/>
      <c r="AF16" s="106"/>
      <c r="AG16" s="106"/>
      <c r="AH16" s="106"/>
    </row>
    <row r="17" spans="1:34" ht="78" customHeight="1" thickBot="1">
      <c r="A17" s="106"/>
      <c r="B17" s="102"/>
      <c r="C17" s="103"/>
      <c r="D17" s="1434"/>
      <c r="E17" s="1491"/>
      <c r="F17" s="1492"/>
      <c r="G17" s="1481"/>
      <c r="H17" s="1481"/>
      <c r="I17" s="1481"/>
      <c r="J17" s="1481"/>
      <c r="K17" s="1481"/>
      <c r="L17" s="1481"/>
      <c r="M17" s="1481"/>
      <c r="N17" s="1481"/>
      <c r="O17" s="1481"/>
      <c r="P17" s="1481"/>
      <c r="Q17" s="1482"/>
      <c r="R17" s="1483"/>
      <c r="S17" s="1481"/>
      <c r="T17" s="1481"/>
      <c r="U17" s="1481"/>
      <c r="V17" s="1481"/>
      <c r="W17" s="1481"/>
      <c r="X17" s="1481"/>
      <c r="Y17" s="1484"/>
      <c r="Z17" s="1485"/>
      <c r="AA17" s="1439"/>
      <c r="AB17" s="1440"/>
      <c r="AC17" s="1441">
        <f>AA17*10</f>
        <v>0</v>
      </c>
      <c r="AD17" s="1442"/>
      <c r="AE17" s="106"/>
      <c r="AF17" s="106"/>
      <c r="AG17" s="106"/>
      <c r="AH17" s="106"/>
    </row>
    <row r="18" spans="1:34" ht="16.5" customHeight="1" thickTop="1">
      <c r="A18" s="106"/>
      <c r="B18" s="1459"/>
      <c r="C18" s="104"/>
      <c r="D18" s="1462" t="s">
        <v>186</v>
      </c>
      <c r="E18" s="1494"/>
      <c r="F18" s="1495"/>
      <c r="G18" s="1496"/>
      <c r="H18" s="1496"/>
      <c r="I18" s="1497"/>
      <c r="J18" s="1498"/>
      <c r="K18" s="1499"/>
      <c r="L18" s="1499"/>
      <c r="M18" s="1496"/>
      <c r="N18" s="1496"/>
      <c r="O18" s="1496"/>
      <c r="P18" s="1496"/>
      <c r="Q18" s="1471"/>
      <c r="R18" s="1472"/>
      <c r="S18" s="1486"/>
      <c r="T18" s="1472"/>
      <c r="U18" s="1471"/>
      <c r="V18" s="1472"/>
      <c r="W18" s="1471"/>
      <c r="X18" s="1472"/>
      <c r="Y18" s="98"/>
      <c r="Z18" s="99"/>
      <c r="AA18" s="1500">
        <v>160</v>
      </c>
      <c r="AB18" s="1501"/>
      <c r="AC18" s="1454">
        <f>AA18*10</f>
        <v>1600</v>
      </c>
      <c r="AD18" s="1455"/>
      <c r="AE18" s="106"/>
      <c r="AF18" s="106"/>
      <c r="AG18" s="106"/>
      <c r="AH18" s="106"/>
    </row>
    <row r="19" spans="1:34" ht="34.5" customHeight="1">
      <c r="A19" s="106"/>
      <c r="B19" s="1460"/>
      <c r="C19" s="103"/>
      <c r="D19" s="1463"/>
      <c r="E19" s="1477"/>
      <c r="F19" s="1478"/>
      <c r="G19" s="1479"/>
      <c r="H19" s="1479"/>
      <c r="I19" s="1480"/>
      <c r="J19" s="1480"/>
      <c r="K19" s="1480"/>
      <c r="L19" s="1480"/>
      <c r="M19" s="1479"/>
      <c r="N19" s="1479"/>
      <c r="O19" s="1479"/>
      <c r="P19" s="1479"/>
      <c r="Q19" s="1467"/>
      <c r="R19" s="1468"/>
      <c r="S19" s="1467"/>
      <c r="T19" s="1468"/>
      <c r="U19" s="1467"/>
      <c r="V19" s="1468"/>
      <c r="W19" s="1467"/>
      <c r="X19" s="1468"/>
      <c r="Y19" s="1465"/>
      <c r="Z19" s="1466"/>
      <c r="AA19" s="1487"/>
      <c r="AB19" s="1488"/>
      <c r="AC19" s="1489"/>
      <c r="AD19" s="1490"/>
      <c r="AE19" s="106"/>
      <c r="AF19" s="106"/>
      <c r="AG19" s="106"/>
      <c r="AH19" s="106"/>
    </row>
    <row r="20" spans="1:34" ht="15.75">
      <c r="A20" s="106"/>
      <c r="B20" s="1460"/>
      <c r="C20" s="103"/>
      <c r="D20" s="1463"/>
      <c r="E20" s="1477"/>
      <c r="F20" s="1478"/>
      <c r="G20" s="1479"/>
      <c r="H20" s="1479"/>
      <c r="I20" s="1480"/>
      <c r="J20" s="1480"/>
      <c r="K20" s="1480"/>
      <c r="L20" s="1480"/>
      <c r="M20" s="1479"/>
      <c r="N20" s="1479"/>
      <c r="O20" s="1479"/>
      <c r="P20" s="1479"/>
      <c r="Q20" s="1467"/>
      <c r="R20" s="1468"/>
      <c r="S20" s="1467"/>
      <c r="T20" s="1468"/>
      <c r="U20" s="1467"/>
      <c r="V20" s="1468"/>
      <c r="W20" s="1467"/>
      <c r="X20" s="1468"/>
      <c r="Y20" s="1469"/>
      <c r="Z20" s="1470"/>
      <c r="AA20" s="1487"/>
      <c r="AB20" s="1488"/>
      <c r="AC20" s="1489"/>
      <c r="AD20" s="1490"/>
      <c r="AE20" s="106"/>
      <c r="AF20" s="106"/>
      <c r="AG20" s="106"/>
      <c r="AH20" s="106"/>
    </row>
    <row r="21" spans="1:34" ht="44.25" customHeight="1" thickBot="1">
      <c r="A21" s="106"/>
      <c r="B21" s="1461"/>
      <c r="C21" s="105"/>
      <c r="D21" s="1464"/>
      <c r="E21" s="1491"/>
      <c r="F21" s="1492"/>
      <c r="G21" s="1481"/>
      <c r="H21" s="1481"/>
      <c r="I21" s="1493"/>
      <c r="J21" s="1493"/>
      <c r="K21" s="1493"/>
      <c r="L21" s="1493"/>
      <c r="M21" s="1481"/>
      <c r="N21" s="1481"/>
      <c r="O21" s="1481"/>
      <c r="P21" s="1481"/>
      <c r="Q21" s="1482"/>
      <c r="R21" s="1483"/>
      <c r="S21" s="1482"/>
      <c r="T21" s="1483"/>
      <c r="U21" s="1482"/>
      <c r="V21" s="1483"/>
      <c r="W21" s="1482"/>
      <c r="X21" s="1483"/>
      <c r="Y21" s="1484"/>
      <c r="Z21" s="1485"/>
      <c r="AA21" s="1473"/>
      <c r="AB21" s="1474"/>
      <c r="AC21" s="1475"/>
      <c r="AD21" s="1476"/>
      <c r="AE21" s="106"/>
      <c r="AF21" s="106"/>
      <c r="AG21" s="106"/>
      <c r="AH21" s="106"/>
    </row>
    <row r="22" spans="1:34" ht="15.75" thickTop="1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</row>
    <row r="23" spans="1:34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</row>
    <row r="24" spans="1:34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</row>
    <row r="25" spans="1:34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</row>
    <row r="26" spans="1:34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</row>
    <row r="27" spans="1:34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</row>
    <row r="31" spans="1:34" ht="30.75" customHeight="1"/>
    <row r="34" ht="33.75" customHeight="1"/>
    <row r="47" ht="16.5" customHeight="1"/>
    <row r="75" ht="15" customHeight="1"/>
    <row r="76" ht="15" customHeight="1"/>
    <row r="78" ht="15" customHeight="1"/>
    <row r="79" ht="15" customHeight="1"/>
    <row r="80" ht="15.75" customHeight="1"/>
    <row r="81" ht="21" customHeight="1"/>
    <row r="82" ht="24.75" customHeight="1"/>
  </sheetData>
  <mergeCells count="233">
    <mergeCell ref="Y7:Z7"/>
    <mergeCell ref="W3:X4"/>
    <mergeCell ref="W14:X14"/>
    <mergeCell ref="Y12:Z12"/>
    <mergeCell ref="W11:X11"/>
    <mergeCell ref="Y11:Z11"/>
    <mergeCell ref="W12:X12"/>
    <mergeCell ref="Y6:Z6"/>
    <mergeCell ref="W13:X13"/>
    <mergeCell ref="Y13:Z13"/>
    <mergeCell ref="W9:X9"/>
    <mergeCell ref="Y9:Z9"/>
    <mergeCell ref="U14:V14"/>
    <mergeCell ref="E13:F13"/>
    <mergeCell ref="G13:H13"/>
    <mergeCell ref="I13:J13"/>
    <mergeCell ref="K13:L13"/>
    <mergeCell ref="I14:J14"/>
    <mergeCell ref="K14:L14"/>
    <mergeCell ref="E16:F16"/>
    <mergeCell ref="G16:H16"/>
    <mergeCell ref="I16:J16"/>
    <mergeCell ref="K16:L16"/>
    <mergeCell ref="Q14:R14"/>
    <mergeCell ref="E15:F15"/>
    <mergeCell ref="G15:H15"/>
    <mergeCell ref="I15:J15"/>
    <mergeCell ref="E14:F14"/>
    <mergeCell ref="G14:H14"/>
    <mergeCell ref="Q11:R11"/>
    <mergeCell ref="S11:T11"/>
    <mergeCell ref="U11:V11"/>
    <mergeCell ref="M16:N16"/>
    <mergeCell ref="O16:P16"/>
    <mergeCell ref="Q16:R16"/>
    <mergeCell ref="S16:T16"/>
    <mergeCell ref="U16:V16"/>
    <mergeCell ref="S13:T13"/>
    <mergeCell ref="U13:V13"/>
    <mergeCell ref="U12:V12"/>
    <mergeCell ref="M15:N15"/>
    <mergeCell ref="O15:P15"/>
    <mergeCell ref="M14:N14"/>
    <mergeCell ref="O14:P14"/>
    <mergeCell ref="S14:T14"/>
    <mergeCell ref="Q15:R15"/>
    <mergeCell ref="S15:T15"/>
    <mergeCell ref="M12:N12"/>
    <mergeCell ref="O12:P12"/>
    <mergeCell ref="U15:V15"/>
    <mergeCell ref="M13:N13"/>
    <mergeCell ref="O13:P13"/>
    <mergeCell ref="Q13:R13"/>
    <mergeCell ref="U10:V10"/>
    <mergeCell ref="W10:X10"/>
    <mergeCell ref="Q10:R10"/>
    <mergeCell ref="S10:T10"/>
    <mergeCell ref="Q12:R12"/>
    <mergeCell ref="S12:T12"/>
    <mergeCell ref="M10:N10"/>
    <mergeCell ref="O10:P10"/>
    <mergeCell ref="E11:F11"/>
    <mergeCell ref="G11:H11"/>
    <mergeCell ref="I11:J11"/>
    <mergeCell ref="K11:L11"/>
    <mergeCell ref="M11:N11"/>
    <mergeCell ref="O11:P11"/>
    <mergeCell ref="E8:F8"/>
    <mergeCell ref="G8:H8"/>
    <mergeCell ref="I8:J8"/>
    <mergeCell ref="K8:L8"/>
    <mergeCell ref="E10:F10"/>
    <mergeCell ref="G10:H10"/>
    <mergeCell ref="I10:J10"/>
    <mergeCell ref="K10:L10"/>
    <mergeCell ref="E12:F12"/>
    <mergeCell ref="G12:H12"/>
    <mergeCell ref="I12:J12"/>
    <mergeCell ref="K12:L12"/>
    <mergeCell ref="M9:N9"/>
    <mergeCell ref="O9:P9"/>
    <mergeCell ref="E9:F9"/>
    <mergeCell ref="G9:H9"/>
    <mergeCell ref="I9:J9"/>
    <mergeCell ref="K9:L9"/>
    <mergeCell ref="Q9:R9"/>
    <mergeCell ref="S9:T9"/>
    <mergeCell ref="U9:V9"/>
    <mergeCell ref="W8:X8"/>
    <mergeCell ref="Y8:Z8"/>
    <mergeCell ref="M8:N8"/>
    <mergeCell ref="O8:P8"/>
    <mergeCell ref="Q8:R8"/>
    <mergeCell ref="S8:T8"/>
    <mergeCell ref="U8:V8"/>
    <mergeCell ref="Q7:R7"/>
    <mergeCell ref="S7:T7"/>
    <mergeCell ref="W5:X5"/>
    <mergeCell ref="E6:F6"/>
    <mergeCell ref="G6:H6"/>
    <mergeCell ref="Q6:R6"/>
    <mergeCell ref="I5:J5"/>
    <mergeCell ref="K5:L5"/>
    <mergeCell ref="M5:N5"/>
    <mergeCell ref="O5:P5"/>
    <mergeCell ref="Q5:R5"/>
    <mergeCell ref="S5:T5"/>
    <mergeCell ref="U7:V7"/>
    <mergeCell ref="W7:X7"/>
    <mergeCell ref="AC9:AD9"/>
    <mergeCell ref="AA10:AB10"/>
    <mergeCell ref="AC10:AD10"/>
    <mergeCell ref="U5:V5"/>
    <mergeCell ref="AA7:AB7"/>
    <mergeCell ref="AC7:AD7"/>
    <mergeCell ref="AA17:AB17"/>
    <mergeCell ref="AC17:AD17"/>
    <mergeCell ref="B4:C4"/>
    <mergeCell ref="E5:F5"/>
    <mergeCell ref="G5:H5"/>
    <mergeCell ref="Q3:R4"/>
    <mergeCell ref="S3:T4"/>
    <mergeCell ref="U3:V4"/>
    <mergeCell ref="E3:F4"/>
    <mergeCell ref="G3:H4"/>
    <mergeCell ref="I3:J4"/>
    <mergeCell ref="K3:L4"/>
    <mergeCell ref="M3:N4"/>
    <mergeCell ref="O3:P4"/>
    <mergeCell ref="E7:F7"/>
    <mergeCell ref="G7:H7"/>
    <mergeCell ref="I7:J7"/>
    <mergeCell ref="K7:L7"/>
    <mergeCell ref="M7:N7"/>
    <mergeCell ref="O7:P7"/>
    <mergeCell ref="AA14:AB14"/>
    <mergeCell ref="AC14:AD14"/>
    <mergeCell ref="AA15:AB15"/>
    <mergeCell ref="AC15:AD15"/>
    <mergeCell ref="AA16:AB16"/>
    <mergeCell ref="AC16:AD16"/>
    <mergeCell ref="E17:F17"/>
    <mergeCell ref="G17:H17"/>
    <mergeCell ref="I17:J17"/>
    <mergeCell ref="K17:L17"/>
    <mergeCell ref="M17:N17"/>
    <mergeCell ref="O17:P17"/>
    <mergeCell ref="Q17:R17"/>
    <mergeCell ref="S17:T17"/>
    <mergeCell ref="U17:V17"/>
    <mergeCell ref="W17:X17"/>
    <mergeCell ref="Y17:Z17"/>
    <mergeCell ref="K15:L15"/>
    <mergeCell ref="W16:X16"/>
    <mergeCell ref="Y16:Z16"/>
    <mergeCell ref="Y15:Z15"/>
    <mergeCell ref="W15:X15"/>
    <mergeCell ref="AA18:AB18"/>
    <mergeCell ref="AC18:AD18"/>
    <mergeCell ref="E19:F19"/>
    <mergeCell ref="G19:H19"/>
    <mergeCell ref="I19:J19"/>
    <mergeCell ref="K19:L19"/>
    <mergeCell ref="M19:N19"/>
    <mergeCell ref="O19:P19"/>
    <mergeCell ref="Q19:R19"/>
    <mergeCell ref="S19:T19"/>
    <mergeCell ref="U19:V19"/>
    <mergeCell ref="W19:X19"/>
    <mergeCell ref="AA19:AB19"/>
    <mergeCell ref="AC19:AD19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AA20:AB20"/>
    <mergeCell ref="AC20:AD20"/>
    <mergeCell ref="E21:F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Y20:Z20"/>
    <mergeCell ref="W18:X18"/>
    <mergeCell ref="AA21:AB21"/>
    <mergeCell ref="AC21:AD21"/>
    <mergeCell ref="E20:F20"/>
    <mergeCell ref="G20:H20"/>
    <mergeCell ref="I20:J20"/>
    <mergeCell ref="K20:L20"/>
    <mergeCell ref="M20:N20"/>
    <mergeCell ref="O20:P20"/>
    <mergeCell ref="AA6:AB6"/>
    <mergeCell ref="AC6:AD6"/>
    <mergeCell ref="D14:D17"/>
    <mergeCell ref="B18:B21"/>
    <mergeCell ref="D18:D21"/>
    <mergeCell ref="Y19:Z19"/>
    <mergeCell ref="Q20:R20"/>
    <mergeCell ref="S20:T20"/>
    <mergeCell ref="U20:V20"/>
    <mergeCell ref="W20:X20"/>
    <mergeCell ref="AA13:AB13"/>
    <mergeCell ref="AC13:AD13"/>
    <mergeCell ref="AA3:AB4"/>
    <mergeCell ref="AC3:AD4"/>
    <mergeCell ref="B5:B9"/>
    <mergeCell ref="C5:C9"/>
    <mergeCell ref="D5:D9"/>
    <mergeCell ref="AA5:AB5"/>
    <mergeCell ref="AC5:AD5"/>
    <mergeCell ref="I6:J6"/>
    <mergeCell ref="AA8:AB8"/>
    <mergeCell ref="AC8:AD8"/>
    <mergeCell ref="AA9:AB9"/>
    <mergeCell ref="B10:B13"/>
    <mergeCell ref="C10:C13"/>
    <mergeCell ref="D10:D13"/>
    <mergeCell ref="AA11:AB11"/>
    <mergeCell ref="AC11:AD11"/>
    <mergeCell ref="AA12:AB12"/>
    <mergeCell ref="AC12:AD12"/>
  </mergeCell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B1:I26"/>
  <sheetViews>
    <sheetView zoomScale="120" zoomScaleNormal="120" workbookViewId="0">
      <selection activeCell="N10" sqref="N10"/>
    </sheetView>
  </sheetViews>
  <sheetFormatPr defaultRowHeight="15"/>
  <cols>
    <col min="1" max="1" width="4.28515625" customWidth="1"/>
    <col min="2" max="2" width="40.42578125" customWidth="1"/>
    <col min="5" max="5" width="4.85546875" customWidth="1"/>
    <col min="6" max="6" width="32.5703125" customWidth="1"/>
    <col min="7" max="7" width="10.85546875" bestFit="1" customWidth="1"/>
    <col min="8" max="8" width="11.28515625" customWidth="1"/>
  </cols>
  <sheetData>
    <row r="1" spans="2:9" ht="15.75" thickBot="1">
      <c r="G1" s="1551">
        <v>42115</v>
      </c>
      <c r="H1" s="1552"/>
    </row>
    <row r="2" spans="2:9" ht="30.75" thickBot="1">
      <c r="B2" s="1544" t="s">
        <v>161</v>
      </c>
      <c r="C2" s="5" t="s">
        <v>3</v>
      </c>
      <c r="D2" s="5" t="s">
        <v>1</v>
      </c>
      <c r="F2" s="1544" t="s">
        <v>189</v>
      </c>
      <c r="G2" s="5" t="s">
        <v>3</v>
      </c>
      <c r="H2" s="5" t="s">
        <v>1</v>
      </c>
    </row>
    <row r="3" spans="2:9" ht="15.75" thickBot="1">
      <c r="B3" s="1024"/>
      <c r="C3" s="9"/>
      <c r="D3" s="61"/>
      <c r="F3" s="1024"/>
      <c r="G3" s="9"/>
      <c r="H3" s="61"/>
    </row>
    <row r="4" spans="2:9" ht="17.25" customHeight="1" thickBot="1">
      <c r="B4" s="90" t="s">
        <v>162</v>
      </c>
      <c r="C4" s="1545" t="s">
        <v>935</v>
      </c>
      <c r="D4" s="1546"/>
      <c r="F4" s="183" t="s">
        <v>937</v>
      </c>
      <c r="G4" s="497">
        <v>1450</v>
      </c>
      <c r="H4" s="498">
        <v>1200</v>
      </c>
    </row>
    <row r="5" spans="2:9" ht="17.25" customHeight="1" thickBot="1">
      <c r="B5" s="90" t="s">
        <v>163</v>
      </c>
      <c r="C5" s="1547"/>
      <c r="D5" s="1548"/>
      <c r="F5" s="183" t="s">
        <v>936</v>
      </c>
      <c r="G5" s="499">
        <v>4950</v>
      </c>
      <c r="H5" s="500">
        <v>4310</v>
      </c>
    </row>
    <row r="6" spans="2:9" ht="17.25" customHeight="1" thickBot="1">
      <c r="B6" s="90"/>
      <c r="C6" s="1547"/>
      <c r="D6" s="1548"/>
      <c r="F6" s="183" t="s">
        <v>940</v>
      </c>
      <c r="G6" s="499">
        <v>2850</v>
      </c>
      <c r="H6" s="500">
        <v>2430</v>
      </c>
    </row>
    <row r="7" spans="2:9" ht="18.75" customHeight="1" thickBot="1">
      <c r="B7" s="90" t="s">
        <v>164</v>
      </c>
      <c r="C7" s="1547"/>
      <c r="D7" s="1548"/>
      <c r="F7" s="183" t="s">
        <v>938</v>
      </c>
      <c r="G7" s="499">
        <v>1450</v>
      </c>
      <c r="H7" s="188">
        <v>1200</v>
      </c>
    </row>
    <row r="8" spans="2:9" ht="18" customHeight="1" thickBot="1">
      <c r="B8" s="90" t="s">
        <v>165</v>
      </c>
      <c r="C8" s="1547"/>
      <c r="D8" s="1548"/>
      <c r="F8" s="183" t="s">
        <v>939</v>
      </c>
      <c r="G8" s="499">
        <v>2250</v>
      </c>
      <c r="H8" s="188">
        <v>1920</v>
      </c>
    </row>
    <row r="9" spans="2:9" ht="18" customHeight="1" thickBot="1">
      <c r="B9" s="90" t="s">
        <v>166</v>
      </c>
      <c r="C9" s="1547"/>
      <c r="D9" s="1548"/>
      <c r="F9" s="183" t="s">
        <v>922</v>
      </c>
      <c r="G9" s="499">
        <v>2950</v>
      </c>
      <c r="H9" s="188">
        <v>2575</v>
      </c>
    </row>
    <row r="10" spans="2:9" ht="18.75" customHeight="1" thickBot="1">
      <c r="B10" s="91" t="s">
        <v>167</v>
      </c>
      <c r="C10" s="1547"/>
      <c r="D10" s="1548"/>
      <c r="F10" s="183" t="s">
        <v>923</v>
      </c>
      <c r="G10" s="499">
        <v>2850</v>
      </c>
      <c r="H10" s="188">
        <v>2520</v>
      </c>
    </row>
    <row r="11" spans="2:9" ht="15" customHeight="1" thickBot="1">
      <c r="B11" s="91" t="s">
        <v>168</v>
      </c>
      <c r="C11" s="1549"/>
      <c r="D11" s="1550"/>
      <c r="F11" s="183" t="s">
        <v>926</v>
      </c>
      <c r="G11" s="499">
        <v>3680</v>
      </c>
      <c r="H11" s="188">
        <v>3200</v>
      </c>
      <c r="I11" s="1"/>
    </row>
    <row r="12" spans="2:9" ht="15" customHeight="1" thickBot="1">
      <c r="F12" s="183" t="s">
        <v>924</v>
      </c>
      <c r="G12" s="499">
        <v>3990</v>
      </c>
      <c r="H12" s="188">
        <v>3465</v>
      </c>
      <c r="I12" s="1"/>
    </row>
    <row r="13" spans="2:9" ht="14.25" customHeight="1" thickBot="1">
      <c r="F13" s="183" t="s">
        <v>925</v>
      </c>
      <c r="G13" s="187">
        <v>4250</v>
      </c>
      <c r="H13" s="188">
        <v>3725</v>
      </c>
    </row>
    <row r="14" spans="2:9" ht="32.25" customHeight="1" thickBot="1">
      <c r="B14" s="1544" t="s">
        <v>201</v>
      </c>
      <c r="C14" s="5" t="s">
        <v>3</v>
      </c>
      <c r="D14" s="5" t="s">
        <v>1</v>
      </c>
      <c r="F14" s="184" t="s">
        <v>187</v>
      </c>
      <c r="G14" s="187">
        <v>5450</v>
      </c>
      <c r="H14" s="188">
        <v>4815</v>
      </c>
    </row>
    <row r="15" spans="2:9" ht="13.5" customHeight="1" thickBot="1">
      <c r="B15" s="1024"/>
      <c r="C15" s="491"/>
      <c r="D15" s="489"/>
      <c r="F15" s="184" t="s">
        <v>928</v>
      </c>
      <c r="G15" s="187">
        <v>6300</v>
      </c>
      <c r="H15" s="188">
        <v>5385</v>
      </c>
    </row>
    <row r="16" spans="2:9" ht="15" customHeight="1" thickBot="1">
      <c r="B16" s="494" t="s">
        <v>196</v>
      </c>
      <c r="C16" s="54">
        <v>12750</v>
      </c>
      <c r="D16" s="490">
        <v>9945</v>
      </c>
      <c r="F16" s="185" t="s">
        <v>371</v>
      </c>
      <c r="G16" s="187">
        <v>3620</v>
      </c>
      <c r="H16" s="188">
        <v>3125</v>
      </c>
    </row>
    <row r="17" spans="2:9" ht="15.75" thickBot="1">
      <c r="B17" s="494" t="s">
        <v>197</v>
      </c>
      <c r="C17" s="495">
        <v>15000</v>
      </c>
      <c r="D17" s="188">
        <v>11700</v>
      </c>
      <c r="F17" s="186" t="s">
        <v>188</v>
      </c>
      <c r="G17" s="187">
        <v>470</v>
      </c>
      <c r="H17" s="188">
        <v>385</v>
      </c>
    </row>
    <row r="18" spans="2:9" ht="15" customHeight="1" thickBot="1">
      <c r="B18" s="494" t="s">
        <v>198</v>
      </c>
      <c r="C18" s="495">
        <v>6300</v>
      </c>
      <c r="D18" s="188">
        <v>4914</v>
      </c>
      <c r="F18" s="186" t="s">
        <v>927</v>
      </c>
      <c r="G18" s="254">
        <v>550</v>
      </c>
      <c r="H18" s="255">
        <v>485</v>
      </c>
    </row>
    <row r="19" spans="2:9" ht="15" customHeight="1" thickBot="1">
      <c r="B19" s="494" t="s">
        <v>930</v>
      </c>
      <c r="C19" s="495">
        <v>8550</v>
      </c>
      <c r="D19" s="188">
        <v>6669</v>
      </c>
      <c r="F19" s="492"/>
      <c r="G19" s="493"/>
      <c r="H19" s="493"/>
      <c r="I19" s="1"/>
    </row>
    <row r="20" spans="2:9" ht="15" customHeight="1" thickBot="1">
      <c r="B20" s="494" t="s">
        <v>929</v>
      </c>
      <c r="C20" s="495">
        <v>8250</v>
      </c>
      <c r="D20" s="188">
        <v>6435</v>
      </c>
    </row>
    <row r="21" spans="2:9" ht="15.75" thickBot="1">
      <c r="B21" s="494" t="s">
        <v>931</v>
      </c>
      <c r="C21" s="495">
        <v>9600</v>
      </c>
      <c r="D21" s="188">
        <v>7488</v>
      </c>
    </row>
    <row r="22" spans="2:9" ht="18" customHeight="1" thickBot="1">
      <c r="B22" s="494" t="s">
        <v>932</v>
      </c>
      <c r="C22" s="495">
        <v>6000</v>
      </c>
      <c r="D22" s="188">
        <v>4680</v>
      </c>
    </row>
    <row r="23" spans="2:9" ht="15.75" thickBot="1">
      <c r="B23" s="494" t="s">
        <v>199</v>
      </c>
      <c r="C23" s="495">
        <v>9600</v>
      </c>
      <c r="D23" s="188">
        <v>7488</v>
      </c>
    </row>
    <row r="24" spans="2:9" ht="15.75" thickBot="1">
      <c r="B24" s="494" t="s">
        <v>200</v>
      </c>
      <c r="C24" s="495">
        <v>11700</v>
      </c>
      <c r="D24" s="188">
        <v>9126</v>
      </c>
    </row>
    <row r="25" spans="2:9" ht="17.25" customHeight="1" thickBot="1">
      <c r="B25" s="494" t="s">
        <v>933</v>
      </c>
      <c r="C25" s="495">
        <v>1100</v>
      </c>
      <c r="D25" s="188">
        <v>858</v>
      </c>
    </row>
    <row r="26" spans="2:9" ht="15.75" thickBot="1">
      <c r="B26" s="494" t="s">
        <v>934</v>
      </c>
      <c r="C26" s="496">
        <v>1400</v>
      </c>
      <c r="D26" s="255">
        <v>1092</v>
      </c>
    </row>
  </sheetData>
  <mergeCells count="5">
    <mergeCell ref="B2:B3"/>
    <mergeCell ref="F2:F3"/>
    <mergeCell ref="C4:D11"/>
    <mergeCell ref="B14:B15"/>
    <mergeCell ref="G1:H1"/>
  </mergeCells>
  <pageMargins left="0.7" right="0.7" top="0.75" bottom="0.75" header="0.3" footer="0.3"/>
  <pageSetup paperSize="9" scale="7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</sheetPr>
  <dimension ref="B2:AH59"/>
  <sheetViews>
    <sheetView zoomScaleNormal="100" workbookViewId="0">
      <selection activeCell="D2" sqref="D2:E5"/>
    </sheetView>
  </sheetViews>
  <sheetFormatPr defaultRowHeight="15"/>
  <cols>
    <col min="1" max="1" width="3.85546875" customWidth="1"/>
    <col min="2" max="2" width="28.42578125" style="309" customWidth="1"/>
    <col min="3" max="5" width="14.7109375" customWidth="1"/>
    <col min="6" max="9" width="7.7109375" customWidth="1"/>
    <col min="10" max="10" width="18" customWidth="1"/>
    <col min="11" max="11" width="14.7109375" customWidth="1"/>
    <col min="12" max="12" width="11" customWidth="1"/>
    <col min="13" max="13" width="11.7109375" customWidth="1"/>
    <col min="14" max="14" width="7.42578125" customWidth="1"/>
    <col min="15" max="15" width="14.7109375" customWidth="1"/>
    <col min="16" max="16" width="9.7109375" customWidth="1"/>
    <col min="17" max="20" width="14.7109375" customWidth="1"/>
    <col min="21" max="21" width="12" customWidth="1"/>
    <col min="22" max="22" width="13.85546875" customWidth="1"/>
  </cols>
  <sheetData>
    <row r="2" spans="2:34">
      <c r="B2" s="93"/>
      <c r="C2" s="93" t="s">
        <v>131</v>
      </c>
      <c r="D2" s="93"/>
      <c r="E2" s="93"/>
    </row>
    <row r="3" spans="2:34">
      <c r="B3" s="111" t="s">
        <v>192</v>
      </c>
      <c r="C3" s="110">
        <v>0.12</v>
      </c>
      <c r="D3" s="110"/>
      <c r="E3" s="110"/>
    </row>
    <row r="4" spans="2:34">
      <c r="B4" s="111" t="s">
        <v>1004</v>
      </c>
      <c r="C4" s="110">
        <v>0.3</v>
      </c>
      <c r="D4" s="110"/>
      <c r="E4" s="110"/>
    </row>
    <row r="5" spans="2:34">
      <c r="B5" s="111" t="s">
        <v>1003</v>
      </c>
      <c r="C5" s="110">
        <v>0.4</v>
      </c>
      <c r="D5" s="110"/>
      <c r="E5" s="110"/>
    </row>
    <row r="6" spans="2:34" ht="15" customHeight="1">
      <c r="B6" s="1573" t="s">
        <v>791</v>
      </c>
      <c r="C6" s="1573"/>
      <c r="D6" s="1573"/>
      <c r="E6" s="1573"/>
      <c r="F6" s="1573"/>
      <c r="G6" s="1573"/>
      <c r="H6" s="1573"/>
      <c r="I6" s="1573"/>
      <c r="J6" s="1573"/>
      <c r="K6" s="1573"/>
      <c r="L6" s="1573"/>
      <c r="M6" s="1573"/>
      <c r="N6" s="1573"/>
      <c r="O6" s="1573"/>
      <c r="P6" s="1573"/>
      <c r="Q6" s="1573"/>
      <c r="R6" s="1573"/>
      <c r="S6" s="1573"/>
      <c r="T6" s="1573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</row>
    <row r="7" spans="2:34">
      <c r="B7" s="1574"/>
      <c r="C7" s="1574"/>
      <c r="D7" s="1574"/>
      <c r="E7" s="113"/>
      <c r="F7" s="114"/>
      <c r="G7" s="114"/>
      <c r="H7" s="114"/>
      <c r="I7" s="238"/>
      <c r="J7" s="238"/>
      <c r="K7" s="238"/>
      <c r="L7" s="238"/>
      <c r="M7" s="238"/>
      <c r="N7" s="239"/>
      <c r="O7" s="234"/>
      <c r="P7" s="234"/>
      <c r="Q7" s="234"/>
      <c r="R7" s="234"/>
      <c r="S7" s="234"/>
      <c r="T7" s="240" t="s">
        <v>310</v>
      </c>
      <c r="U7" s="240"/>
      <c r="V7" s="241">
        <v>42131</v>
      </c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</row>
    <row r="8" spans="2:34" ht="15" customHeight="1">
      <c r="B8" s="1575" t="s">
        <v>0</v>
      </c>
      <c r="C8" s="1575" t="s">
        <v>311</v>
      </c>
      <c r="D8" s="1563" t="s">
        <v>312</v>
      </c>
      <c r="E8" s="1565"/>
      <c r="F8" s="1576" t="s">
        <v>313</v>
      </c>
      <c r="G8" s="1577"/>
      <c r="H8" s="1580" t="s">
        <v>314</v>
      </c>
      <c r="I8" s="1581"/>
      <c r="J8" s="1559" t="s">
        <v>464</v>
      </c>
      <c r="K8" s="1584" t="s">
        <v>315</v>
      </c>
      <c r="L8" s="1584"/>
      <c r="M8" s="1584"/>
      <c r="N8" s="242"/>
      <c r="O8" s="1559" t="s">
        <v>0</v>
      </c>
      <c r="P8" s="1559" t="s">
        <v>311</v>
      </c>
      <c r="Q8" s="1559" t="s">
        <v>313</v>
      </c>
      <c r="R8" s="1561" t="s">
        <v>314</v>
      </c>
      <c r="S8" s="1563" t="s">
        <v>315</v>
      </c>
      <c r="T8" s="1564"/>
      <c r="U8" s="1564"/>
      <c r="V8" s="1565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</row>
    <row r="9" spans="2:34" ht="45">
      <c r="B9" s="1560"/>
      <c r="C9" s="1560"/>
      <c r="D9" s="115" t="s">
        <v>316</v>
      </c>
      <c r="E9" s="115" t="s">
        <v>317</v>
      </c>
      <c r="F9" s="1578"/>
      <c r="G9" s="1579"/>
      <c r="H9" s="1582"/>
      <c r="I9" s="1583"/>
      <c r="J9" s="1568"/>
      <c r="K9" s="243" t="s">
        <v>160</v>
      </c>
      <c r="L9" s="606" t="s">
        <v>1409</v>
      </c>
      <c r="M9" s="243" t="s">
        <v>984</v>
      </c>
      <c r="N9" s="244"/>
      <c r="O9" s="1560"/>
      <c r="P9" s="1560"/>
      <c r="Q9" s="1560"/>
      <c r="R9" s="1562"/>
      <c r="S9" s="587" t="s">
        <v>318</v>
      </c>
      <c r="T9" s="586" t="s">
        <v>319</v>
      </c>
      <c r="U9" s="587" t="s">
        <v>320</v>
      </c>
      <c r="V9" s="586" t="s">
        <v>152</v>
      </c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</row>
    <row r="10" spans="2:34" ht="22.5" customHeight="1">
      <c r="B10" s="1585" t="s">
        <v>792</v>
      </c>
      <c r="C10" s="1585"/>
      <c r="D10" s="1587">
        <v>0.25900000000000001</v>
      </c>
      <c r="E10" s="1587">
        <v>0.224</v>
      </c>
      <c r="F10" s="1590">
        <v>3.6</v>
      </c>
      <c r="G10" s="1591"/>
      <c r="H10" s="1596">
        <v>22</v>
      </c>
      <c r="I10" s="1597"/>
      <c r="J10" s="245" t="s">
        <v>321</v>
      </c>
      <c r="K10" s="317">
        <f>ROUND(167*(1-D59),2)</f>
        <v>167</v>
      </c>
      <c r="L10" s="607">
        <v>150</v>
      </c>
      <c r="M10" s="317">
        <f>ROUND(206*(1-D59),2)</f>
        <v>206</v>
      </c>
      <c r="N10" s="246"/>
      <c r="O10" s="116" t="s">
        <v>322</v>
      </c>
      <c r="P10" s="308"/>
      <c r="Q10" s="237">
        <v>3</v>
      </c>
      <c r="R10" s="236">
        <v>24</v>
      </c>
      <c r="S10" s="318">
        <f>ROUND(437*(1-N59),2)</f>
        <v>437</v>
      </c>
      <c r="T10" s="318">
        <f>ROUND(627*(1-N59),2)</f>
        <v>627</v>
      </c>
      <c r="U10" s="318">
        <f>ROUND(481*(1-N59),2)</f>
        <v>481</v>
      </c>
      <c r="V10" s="319">
        <f>ROUND(519*(1-N59),2)</f>
        <v>519</v>
      </c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</row>
    <row r="11" spans="2:34" ht="22.5">
      <c r="B11" s="1586"/>
      <c r="C11" s="1586"/>
      <c r="D11" s="1588"/>
      <c r="E11" s="1588"/>
      <c r="F11" s="1592"/>
      <c r="G11" s="1593"/>
      <c r="H11" s="1598"/>
      <c r="I11" s="1599"/>
      <c r="J11" s="582" t="s">
        <v>320</v>
      </c>
      <c r="K11" s="584">
        <f>ROUND(183*(1-D59),2)</f>
        <v>183</v>
      </c>
      <c r="L11" s="608">
        <v>165</v>
      </c>
      <c r="M11" s="584">
        <f>ROUND(225*(1-D59),2)</f>
        <v>225</v>
      </c>
      <c r="N11" s="246"/>
      <c r="O11" s="1619" t="s">
        <v>323</v>
      </c>
      <c r="P11" s="1566"/>
      <c r="Q11" s="1571">
        <v>3</v>
      </c>
      <c r="R11" s="1615">
        <v>51</v>
      </c>
      <c r="S11" s="1612">
        <f>ROUND(169*(1-N59),2)</f>
        <v>169</v>
      </c>
      <c r="T11" s="1612">
        <f>ROUND(244*(1-N59),2)</f>
        <v>244</v>
      </c>
      <c r="U11" s="1612">
        <f>ROUND(186*(1-N59),2)</f>
        <v>186</v>
      </c>
      <c r="V11" s="1617">
        <f>ROUND(201*(1-N59),2)</f>
        <v>201</v>
      </c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</row>
    <row r="12" spans="2:34">
      <c r="B12" s="1339"/>
      <c r="C12" s="1339"/>
      <c r="D12" s="1589"/>
      <c r="E12" s="1589"/>
      <c r="F12" s="1594"/>
      <c r="G12" s="1595"/>
      <c r="H12" s="1600"/>
      <c r="I12" s="1601"/>
      <c r="J12" s="247" t="s">
        <v>324</v>
      </c>
      <c r="K12" s="320">
        <f>ROUND(252*(1-D59),2)</f>
        <v>252</v>
      </c>
      <c r="L12" s="320" t="s">
        <v>21</v>
      </c>
      <c r="M12" s="320">
        <f>ROUND(311*(1-D59),2)</f>
        <v>311</v>
      </c>
      <c r="N12" s="246"/>
      <c r="O12" s="1620"/>
      <c r="P12" s="1568"/>
      <c r="Q12" s="1572"/>
      <c r="R12" s="1616"/>
      <c r="S12" s="1614"/>
      <c r="T12" s="1614"/>
      <c r="U12" s="1614"/>
      <c r="V12" s="1618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</row>
    <row r="13" spans="2:34" ht="15" customHeight="1">
      <c r="B13" s="1585" t="s">
        <v>793</v>
      </c>
      <c r="C13" s="1585"/>
      <c r="D13" s="1587">
        <v>0.23799999999999999</v>
      </c>
      <c r="E13" s="1587">
        <v>0.20300000000000001</v>
      </c>
      <c r="F13" s="1590">
        <v>3</v>
      </c>
      <c r="G13" s="1591"/>
      <c r="H13" s="1596">
        <v>22</v>
      </c>
      <c r="I13" s="1597"/>
      <c r="J13" s="1553" t="s">
        <v>794</v>
      </c>
      <c r="K13" s="1555">
        <f>ROUND(118*(1-F59),2)</f>
        <v>118</v>
      </c>
      <c r="L13" s="1557">
        <v>106</v>
      </c>
      <c r="M13" s="1555">
        <f>ROUND(194*(1-F59),2)</f>
        <v>194</v>
      </c>
      <c r="N13" s="246"/>
      <c r="O13" s="1569" t="s">
        <v>325</v>
      </c>
      <c r="P13" s="1566"/>
      <c r="Q13" s="237">
        <v>3.6</v>
      </c>
      <c r="R13" s="236">
        <v>50</v>
      </c>
      <c r="S13" s="318">
        <f>ROUND(140*(1-N59),2)</f>
        <v>140</v>
      </c>
      <c r="T13" s="319" t="s">
        <v>21</v>
      </c>
      <c r="U13" s="319" t="s">
        <v>21</v>
      </c>
      <c r="V13" s="319">
        <f>ROUND(168*(1-N59),2)</f>
        <v>168</v>
      </c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</row>
    <row r="14" spans="2:34" ht="44.25" customHeight="1">
      <c r="B14" s="1586"/>
      <c r="C14" s="1586"/>
      <c r="D14" s="1588"/>
      <c r="E14" s="1588"/>
      <c r="F14" s="1592"/>
      <c r="G14" s="1593"/>
      <c r="H14" s="1598"/>
      <c r="I14" s="1599"/>
      <c r="J14" s="1554"/>
      <c r="K14" s="1556"/>
      <c r="L14" s="1558"/>
      <c r="M14" s="1556"/>
      <c r="N14" s="246"/>
      <c r="O14" s="1570"/>
      <c r="P14" s="1568"/>
      <c r="Q14" s="237">
        <v>3</v>
      </c>
      <c r="R14" s="236">
        <v>50</v>
      </c>
      <c r="S14" s="319">
        <f>ROUND(140*(1-N59),2)</f>
        <v>140</v>
      </c>
      <c r="T14" s="319">
        <f>ROUND(202*(1-N59),2)</f>
        <v>202</v>
      </c>
      <c r="U14" s="319">
        <f>ROUND(154*(1-N59),2)</f>
        <v>154</v>
      </c>
      <c r="V14" s="319">
        <f>ROUND(168*(1-N59),2)</f>
        <v>168</v>
      </c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</row>
    <row r="15" spans="2:34" ht="22.5">
      <c r="B15" s="1586"/>
      <c r="C15" s="1586"/>
      <c r="D15" s="1588"/>
      <c r="E15" s="1588"/>
      <c r="F15" s="1592"/>
      <c r="G15" s="1593"/>
      <c r="H15" s="1598"/>
      <c r="I15" s="1599"/>
      <c r="J15" s="248" t="s">
        <v>320</v>
      </c>
      <c r="K15" s="609">
        <f>ROUND(130*(1-F59),2)</f>
        <v>130</v>
      </c>
      <c r="L15" s="610">
        <v>117</v>
      </c>
      <c r="M15" s="609">
        <f>ROUND(213*(1-F59),2)</f>
        <v>213</v>
      </c>
      <c r="N15" s="246"/>
      <c r="O15" s="1569" t="s">
        <v>326</v>
      </c>
      <c r="P15" s="1566"/>
      <c r="Q15" s="1571">
        <v>3</v>
      </c>
      <c r="R15" s="1615">
        <v>40</v>
      </c>
      <c r="S15" s="1612" t="str">
        <f>ROUND(136*(1-N59),2)&amp;"*"</f>
        <v>136*</v>
      </c>
      <c r="T15" s="1617" t="s">
        <v>21</v>
      </c>
      <c r="U15" s="1617" t="s">
        <v>21</v>
      </c>
      <c r="V15" s="1617" t="s">
        <v>21</v>
      </c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</row>
    <row r="16" spans="2:34">
      <c r="B16" s="1339"/>
      <c r="C16" s="1339"/>
      <c r="D16" s="1589"/>
      <c r="E16" s="1589"/>
      <c r="F16" s="1594"/>
      <c r="G16" s="1595"/>
      <c r="H16" s="1600"/>
      <c r="I16" s="1601"/>
      <c r="J16" s="249" t="s">
        <v>324</v>
      </c>
      <c r="K16" s="585">
        <f>ROUND(189*(1-F59),2)</f>
        <v>189</v>
      </c>
      <c r="L16" s="585" t="s">
        <v>21</v>
      </c>
      <c r="M16" s="585">
        <f>ROUND(309*(1-F59),2)</f>
        <v>309</v>
      </c>
      <c r="N16" s="246"/>
      <c r="O16" s="1570"/>
      <c r="P16" s="1568"/>
      <c r="Q16" s="1572"/>
      <c r="R16" s="1616"/>
      <c r="S16" s="1614"/>
      <c r="T16" s="1618"/>
      <c r="U16" s="1618"/>
      <c r="V16" s="1618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</row>
    <row r="17" spans="2:34" ht="15" customHeight="1">
      <c r="B17" s="1585" t="s">
        <v>795</v>
      </c>
      <c r="C17" s="1585"/>
      <c r="D17" s="1587">
        <v>0.27200000000000002</v>
      </c>
      <c r="E17" s="1587">
        <v>0.24399999999999999</v>
      </c>
      <c r="F17" s="1590">
        <v>3</v>
      </c>
      <c r="G17" s="1591"/>
      <c r="H17" s="1596">
        <v>22</v>
      </c>
      <c r="I17" s="1597"/>
      <c r="J17" s="250" t="s">
        <v>327</v>
      </c>
      <c r="K17" s="317">
        <f>ROUND(184*(1-H59),2)</f>
        <v>184</v>
      </c>
      <c r="L17" s="607">
        <v>166</v>
      </c>
      <c r="M17" s="317">
        <f>ROUND(252*(1-H59),2)</f>
        <v>252</v>
      </c>
      <c r="N17" s="246"/>
      <c r="O17" s="1569" t="s">
        <v>328</v>
      </c>
      <c r="P17" s="1566"/>
      <c r="Q17" s="1571">
        <v>3</v>
      </c>
      <c r="R17" s="1615">
        <v>10</v>
      </c>
      <c r="S17" s="1612">
        <f>ROUND(480*(1-N59),2)</f>
        <v>480</v>
      </c>
      <c r="T17" s="1612">
        <f>ROUND(683*(1-N59),2)</f>
        <v>683</v>
      </c>
      <c r="U17" s="1612">
        <f>ROUND(528*(1-N59),2)</f>
        <v>528</v>
      </c>
      <c r="V17" s="1617">
        <f>ROUND(565*(1-N59),2)</f>
        <v>565</v>
      </c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</row>
    <row r="18" spans="2:34" ht="22.5">
      <c r="B18" s="1586"/>
      <c r="C18" s="1586"/>
      <c r="D18" s="1588"/>
      <c r="E18" s="1588"/>
      <c r="F18" s="1592"/>
      <c r="G18" s="1593"/>
      <c r="H18" s="1598"/>
      <c r="I18" s="1599"/>
      <c r="J18" s="251" t="s">
        <v>320</v>
      </c>
      <c r="K18" s="322">
        <f>ROUND(202*(1-H59),2)</f>
        <v>202</v>
      </c>
      <c r="L18" s="611">
        <v>182</v>
      </c>
      <c r="M18" s="584">
        <f>ROUND(277*(1-H59),2)</f>
        <v>277</v>
      </c>
      <c r="N18" s="246"/>
      <c r="O18" s="1570"/>
      <c r="P18" s="1568"/>
      <c r="Q18" s="1572"/>
      <c r="R18" s="1616"/>
      <c r="S18" s="1614"/>
      <c r="T18" s="1614"/>
      <c r="U18" s="1614"/>
      <c r="V18" s="1618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</row>
    <row r="19" spans="2:34">
      <c r="B19" s="1339"/>
      <c r="C19" s="1339"/>
      <c r="D19" s="1589"/>
      <c r="E19" s="1589"/>
      <c r="F19" s="1594"/>
      <c r="G19" s="1595"/>
      <c r="H19" s="1600"/>
      <c r="I19" s="1601"/>
      <c r="J19" s="252" t="s">
        <v>324</v>
      </c>
      <c r="K19" s="323">
        <f>ROUND(279*(1-H59),2)</f>
        <v>279</v>
      </c>
      <c r="L19" s="323" t="s">
        <v>21</v>
      </c>
      <c r="M19" s="323">
        <f>ROUND(383*(1-H59),2)</f>
        <v>383</v>
      </c>
      <c r="N19" s="246"/>
      <c r="O19" s="1606" t="s">
        <v>329</v>
      </c>
      <c r="P19" s="1607"/>
      <c r="Q19" s="1571">
        <v>3</v>
      </c>
      <c r="R19" s="1615">
        <v>20</v>
      </c>
      <c r="S19" s="1612">
        <f>ROUND(422*(1-N59),2)</f>
        <v>422</v>
      </c>
      <c r="T19" s="1612">
        <f>ROUND(608*(1-N59),2)</f>
        <v>608</v>
      </c>
      <c r="U19" s="1612">
        <f>ROUND(465*(1-N59),2)</f>
        <v>465</v>
      </c>
      <c r="V19" s="1617">
        <f>ROUND(503*(1-N59),2)</f>
        <v>503</v>
      </c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</row>
    <row r="20" spans="2:34" ht="15" customHeight="1">
      <c r="B20" s="1585" t="s">
        <v>796</v>
      </c>
      <c r="C20" s="1585"/>
      <c r="D20" s="1587">
        <v>0.193</v>
      </c>
      <c r="E20" s="1587">
        <v>0.16</v>
      </c>
      <c r="F20" s="1571">
        <v>3</v>
      </c>
      <c r="G20" s="1571"/>
      <c r="H20" s="1612">
        <v>22</v>
      </c>
      <c r="I20" s="1612"/>
      <c r="J20" s="1553" t="s">
        <v>797</v>
      </c>
      <c r="K20" s="1556">
        <f>ROUND(104*(1-J59),2)</f>
        <v>104</v>
      </c>
      <c r="L20" s="1557">
        <v>94</v>
      </c>
      <c r="M20" s="1556">
        <f>ROUND(216*(1-J59),2)</f>
        <v>216</v>
      </c>
      <c r="N20" s="246"/>
      <c r="O20" s="1606"/>
      <c r="P20" s="1607"/>
      <c r="Q20" s="1572"/>
      <c r="R20" s="1616"/>
      <c r="S20" s="1614"/>
      <c r="T20" s="1614"/>
      <c r="U20" s="1614"/>
      <c r="V20" s="1618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</row>
    <row r="21" spans="2:34" ht="34.5" customHeight="1">
      <c r="B21" s="1586"/>
      <c r="C21" s="1586"/>
      <c r="D21" s="1588"/>
      <c r="E21" s="1588"/>
      <c r="F21" s="1611"/>
      <c r="G21" s="1611"/>
      <c r="H21" s="1613"/>
      <c r="I21" s="1613"/>
      <c r="J21" s="1554"/>
      <c r="K21" s="1603"/>
      <c r="L21" s="1558"/>
      <c r="M21" s="1603"/>
      <c r="N21" s="246"/>
      <c r="O21" s="1608" t="s">
        <v>1407</v>
      </c>
      <c r="P21" s="1566"/>
      <c r="Q21" s="1571">
        <v>3</v>
      </c>
      <c r="R21" s="1615">
        <v>50</v>
      </c>
      <c r="S21" s="1612">
        <f>ROUND(250*(1-N59),2)</f>
        <v>250</v>
      </c>
      <c r="T21" s="1612" t="s">
        <v>21</v>
      </c>
      <c r="U21" s="1612" t="s">
        <v>21</v>
      </c>
      <c r="V21" s="1612" t="s">
        <v>21</v>
      </c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</row>
    <row r="22" spans="2:34" ht="34.5" customHeight="1">
      <c r="B22" s="1586"/>
      <c r="C22" s="1586"/>
      <c r="D22" s="1588"/>
      <c r="E22" s="1588"/>
      <c r="F22" s="1611"/>
      <c r="G22" s="1611"/>
      <c r="H22" s="1613"/>
      <c r="I22" s="1613"/>
      <c r="J22" s="1554"/>
      <c r="K22" s="1603"/>
      <c r="L22" s="1558"/>
      <c r="M22" s="1603"/>
      <c r="N22" s="246"/>
      <c r="O22" s="1609"/>
      <c r="P22" s="1567"/>
      <c r="Q22" s="1611"/>
      <c r="R22" s="1634"/>
      <c r="S22" s="1613"/>
      <c r="T22" s="1613"/>
      <c r="U22" s="1613"/>
      <c r="V22" s="1613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</row>
    <row r="23" spans="2:34" ht="34.5" customHeight="1">
      <c r="B23" s="1339"/>
      <c r="C23" s="1339"/>
      <c r="D23" s="1589"/>
      <c r="E23" s="1589"/>
      <c r="F23" s="1572"/>
      <c r="G23" s="1572"/>
      <c r="H23" s="1614"/>
      <c r="I23" s="1614"/>
      <c r="J23" s="1602"/>
      <c r="K23" s="1604"/>
      <c r="L23" s="1605"/>
      <c r="M23" s="1604"/>
      <c r="N23" s="246"/>
      <c r="O23" s="1610"/>
      <c r="P23" s="1568"/>
      <c r="Q23" s="1572"/>
      <c r="R23" s="1616"/>
      <c r="S23" s="1614"/>
      <c r="T23" s="1614"/>
      <c r="U23" s="1614"/>
      <c r="V23" s="1614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</row>
    <row r="24" spans="2:34" ht="35.25" customHeight="1">
      <c r="B24" s="154" t="s">
        <v>330</v>
      </c>
      <c r="C24" s="155"/>
      <c r="D24" s="155"/>
      <c r="E24" s="155"/>
      <c r="F24" s="155"/>
      <c r="G24" s="155"/>
      <c r="H24" s="155"/>
      <c r="I24" s="155"/>
      <c r="J24" s="155"/>
      <c r="K24" s="155"/>
      <c r="L24" s="155"/>
      <c r="M24" s="156"/>
      <c r="N24" s="246"/>
      <c r="O24" s="1569" t="s">
        <v>332</v>
      </c>
      <c r="P24" s="1607"/>
      <c r="Q24" s="1571">
        <v>3</v>
      </c>
      <c r="R24" s="1615">
        <v>24</v>
      </c>
      <c r="S24" s="1612" t="str">
        <f>ROUND(437*(1-N59),2)&amp;"*"</f>
        <v>437*</v>
      </c>
      <c r="T24" s="1617" t="s">
        <v>21</v>
      </c>
      <c r="U24" s="1617" t="s">
        <v>21</v>
      </c>
      <c r="V24" s="1617">
        <f>ROUND(519*(1-N59),2)</f>
        <v>519</v>
      </c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</row>
    <row r="25" spans="2:34" ht="39.950000000000003" customHeight="1">
      <c r="B25" s="117" t="s">
        <v>798</v>
      </c>
      <c r="C25" s="580"/>
      <c r="D25" s="1587">
        <v>0.34100000000000003</v>
      </c>
      <c r="E25" s="1587">
        <v>0.30299999999999999</v>
      </c>
      <c r="F25" s="1590">
        <v>3</v>
      </c>
      <c r="G25" s="1591"/>
      <c r="H25" s="1596">
        <v>22</v>
      </c>
      <c r="I25" s="1597"/>
      <c r="J25" s="581" t="s">
        <v>331</v>
      </c>
      <c r="K25" s="324">
        <f>ROUND(422*(1-K59),2)</f>
        <v>422</v>
      </c>
      <c r="L25" s="612">
        <v>338</v>
      </c>
      <c r="M25" s="321">
        <f>ROUND(464*(1-K59),2)</f>
        <v>464</v>
      </c>
      <c r="N25" s="246"/>
      <c r="O25" s="1570"/>
      <c r="P25" s="1607"/>
      <c r="Q25" s="1572"/>
      <c r="R25" s="1616"/>
      <c r="S25" s="1614"/>
      <c r="T25" s="1618"/>
      <c r="U25" s="1618"/>
      <c r="V25" s="1618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</row>
    <row r="26" spans="2:34" ht="39.950000000000003" customHeight="1">
      <c r="B26" s="117" t="s">
        <v>799</v>
      </c>
      <c r="C26" s="236"/>
      <c r="D26" s="1589"/>
      <c r="E26" s="1589"/>
      <c r="F26" s="1592"/>
      <c r="G26" s="1593"/>
      <c r="H26" s="1598"/>
      <c r="I26" s="1599"/>
      <c r="J26" s="581" t="s">
        <v>152</v>
      </c>
      <c r="K26" s="585">
        <f>ROUND(538*(1-K59),2)</f>
        <v>538</v>
      </c>
      <c r="L26" s="613">
        <v>430</v>
      </c>
      <c r="M26" s="321">
        <f>ROUND(591*(1-K59),2)</f>
        <v>591</v>
      </c>
      <c r="N26" s="246"/>
      <c r="O26" s="1569" t="s">
        <v>333</v>
      </c>
      <c r="P26" s="1566"/>
      <c r="Q26" s="1571">
        <v>3</v>
      </c>
      <c r="R26" s="1615">
        <v>20</v>
      </c>
      <c r="S26" s="1612" t="str">
        <f>ROUND(437*(1-N59),2)&amp;"*"</f>
        <v>437*</v>
      </c>
      <c r="T26" s="1617">
        <f>ROUND(627*(1-N59),2)</f>
        <v>627</v>
      </c>
      <c r="U26" s="1617" t="s">
        <v>21</v>
      </c>
      <c r="V26" s="1617">
        <f>ROUND(519*(1-N59),2)</f>
        <v>519</v>
      </c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</row>
    <row r="27" spans="2:34" ht="39.950000000000003" customHeight="1">
      <c r="B27" s="117" t="s">
        <v>800</v>
      </c>
      <c r="C27" s="580"/>
      <c r="D27" s="1587">
        <v>0.26800000000000002</v>
      </c>
      <c r="E27" s="1587">
        <v>0.22900000000000001</v>
      </c>
      <c r="F27" s="1592"/>
      <c r="G27" s="1593"/>
      <c r="H27" s="1598"/>
      <c r="I27" s="1599"/>
      <c r="J27" s="581" t="s">
        <v>331</v>
      </c>
      <c r="K27" s="324">
        <f>ROUND(319*(1-M59),2)</f>
        <v>319</v>
      </c>
      <c r="L27" s="612">
        <v>225</v>
      </c>
      <c r="M27" s="321">
        <f>ROUND(464*(1-M59),2)</f>
        <v>464</v>
      </c>
      <c r="N27" s="246"/>
      <c r="O27" s="1633"/>
      <c r="P27" s="1567"/>
      <c r="Q27" s="1572"/>
      <c r="R27" s="1616"/>
      <c r="S27" s="1614"/>
      <c r="T27" s="1618"/>
      <c r="U27" s="1618"/>
      <c r="V27" s="1618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</row>
    <row r="28" spans="2:34" ht="39.950000000000003" customHeight="1">
      <c r="B28" s="117" t="s">
        <v>800</v>
      </c>
      <c r="C28" s="236"/>
      <c r="D28" s="1589"/>
      <c r="E28" s="1589"/>
      <c r="F28" s="1592"/>
      <c r="G28" s="1593"/>
      <c r="H28" s="1598"/>
      <c r="I28" s="1599"/>
      <c r="J28" s="581" t="s">
        <v>152</v>
      </c>
      <c r="K28" s="585">
        <f>ROUND(406*(1-M59),2)</f>
        <v>406</v>
      </c>
      <c r="L28" s="613">
        <v>325</v>
      </c>
      <c r="M28" s="321">
        <f>ROUND(591*(1-M59),2)</f>
        <v>591</v>
      </c>
      <c r="N28" s="605"/>
      <c r="O28" s="1629" t="s">
        <v>337</v>
      </c>
      <c r="P28" s="1631"/>
      <c r="Q28" s="1571">
        <v>3.05</v>
      </c>
      <c r="R28" s="1627">
        <v>12</v>
      </c>
      <c r="S28" s="1625" t="str">
        <f>ROUND(437*(1-N59),2)&amp;"*"</f>
        <v>437*</v>
      </c>
      <c r="T28" s="1617">
        <f>ROUND(627*(1-N59),2)</f>
        <v>627</v>
      </c>
      <c r="U28" s="1617" t="s">
        <v>21</v>
      </c>
      <c r="V28" s="1625">
        <f>ROUND(519*(1-N59),2)</f>
        <v>519</v>
      </c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</row>
    <row r="29" spans="2:34" ht="15" customHeight="1">
      <c r="B29" s="1608" t="s">
        <v>1410</v>
      </c>
      <c r="C29" s="1639"/>
      <c r="D29" s="1640">
        <v>0.28499999999999998</v>
      </c>
      <c r="E29" s="1640">
        <v>0.246</v>
      </c>
      <c r="F29" s="1592"/>
      <c r="G29" s="1593"/>
      <c r="H29" s="1598"/>
      <c r="I29" s="1599"/>
      <c r="J29" s="581" t="s">
        <v>331</v>
      </c>
      <c r="K29" s="321">
        <f>ROUND(480*(1-P59),2)</f>
        <v>480</v>
      </c>
      <c r="L29" s="1556" t="s">
        <v>21</v>
      </c>
      <c r="M29" s="583">
        <f>ROUND(650*(1-P59),2)</f>
        <v>650</v>
      </c>
      <c r="N29" s="605"/>
      <c r="O29" s="1630"/>
      <c r="P29" s="1632"/>
      <c r="Q29" s="1572"/>
      <c r="R29" s="1628"/>
      <c r="S29" s="1626"/>
      <c r="T29" s="1618"/>
      <c r="U29" s="1618"/>
      <c r="V29" s="1626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</row>
    <row r="30" spans="2:34" ht="39.950000000000003" customHeight="1">
      <c r="B30" s="1610"/>
      <c r="C30" s="1639"/>
      <c r="D30" s="1640"/>
      <c r="E30" s="1640"/>
      <c r="F30" s="1594"/>
      <c r="G30" s="1595"/>
      <c r="H30" s="1600"/>
      <c r="I30" s="1601"/>
      <c r="J30" s="581" t="s">
        <v>152</v>
      </c>
      <c r="K30" s="584">
        <f>ROUND(600*(1-P59),2)</f>
        <v>600</v>
      </c>
      <c r="L30" s="1604"/>
      <c r="M30" s="583">
        <f>ROUND(813*(1-P59),2)</f>
        <v>813</v>
      </c>
      <c r="N30" s="246"/>
      <c r="O30" s="1629" t="s">
        <v>343</v>
      </c>
      <c r="P30" s="1566"/>
      <c r="Q30" s="1635">
        <v>3</v>
      </c>
      <c r="R30" s="1566">
        <v>36</v>
      </c>
      <c r="S30" s="1617" t="str">
        <f>ROUND(336*(1-N57),2)&amp;"*"</f>
        <v>336*</v>
      </c>
      <c r="T30" s="1617" t="s">
        <v>21</v>
      </c>
      <c r="U30" s="1617" t="s">
        <v>21</v>
      </c>
      <c r="V30" s="1617">
        <f>ROUND(404*(1-N57),2)</f>
        <v>404</v>
      </c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</row>
    <row r="31" spans="2:34" ht="39.950000000000003" customHeight="1">
      <c r="B31" s="587" t="s">
        <v>334</v>
      </c>
      <c r="C31" s="1622" t="s">
        <v>335</v>
      </c>
      <c r="D31" s="1623"/>
      <c r="E31" s="1624"/>
      <c r="F31" s="1563" t="s">
        <v>179</v>
      </c>
      <c r="G31" s="1564"/>
      <c r="H31" s="1564"/>
      <c r="I31" s="1564"/>
      <c r="J31" s="1565"/>
      <c r="K31" s="1637" t="s">
        <v>336</v>
      </c>
      <c r="L31" s="1638"/>
      <c r="M31" s="118"/>
      <c r="N31" s="246"/>
      <c r="O31" s="1641"/>
      <c r="P31" s="1567"/>
      <c r="Q31" s="1636"/>
      <c r="R31" s="1567"/>
      <c r="S31" s="1621"/>
      <c r="T31" s="1621"/>
      <c r="U31" s="1621"/>
      <c r="V31" s="1621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</row>
    <row r="32" spans="2:34" ht="30" customHeight="1">
      <c r="B32" s="579" t="s">
        <v>338</v>
      </c>
      <c r="C32" s="1642" t="s">
        <v>339</v>
      </c>
      <c r="D32" s="1643"/>
      <c r="E32" s="1644"/>
      <c r="F32" s="1645" t="s">
        <v>340</v>
      </c>
      <c r="G32" s="1646"/>
      <c r="H32" s="1646"/>
      <c r="I32" s="1646"/>
      <c r="J32" s="1647"/>
      <c r="K32" s="1648">
        <v>3456</v>
      </c>
      <c r="L32" s="1649"/>
      <c r="M32" s="318"/>
      <c r="N32" s="246"/>
      <c r="O32" s="116" t="s">
        <v>1408</v>
      </c>
      <c r="P32" s="116"/>
      <c r="Q32" s="235">
        <v>3</v>
      </c>
      <c r="R32" s="308">
        <v>60</v>
      </c>
      <c r="S32" s="319" t="str">
        <f>ROUND(186*(1-N59),2)&amp;"*"</f>
        <v>186*</v>
      </c>
      <c r="T32" s="319" t="s">
        <v>21</v>
      </c>
      <c r="U32" s="319" t="s">
        <v>21</v>
      </c>
      <c r="V32" s="319" t="s">
        <v>21</v>
      </c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</row>
    <row r="33" spans="2:34" ht="35.25" customHeight="1">
      <c r="B33" s="119" t="s">
        <v>341</v>
      </c>
      <c r="C33" s="1642" t="s">
        <v>339</v>
      </c>
      <c r="D33" s="1643"/>
      <c r="E33" s="1644"/>
      <c r="F33" s="1645" t="s">
        <v>342</v>
      </c>
      <c r="G33" s="1646"/>
      <c r="H33" s="1646"/>
      <c r="I33" s="1646"/>
      <c r="J33" s="1647"/>
      <c r="K33" s="1648">
        <v>2016</v>
      </c>
      <c r="L33" s="1649"/>
      <c r="M33" s="318"/>
      <c r="N33" s="246"/>
      <c r="O33" s="120" t="s">
        <v>801</v>
      </c>
      <c r="P33" s="234"/>
      <c r="Q33" s="614"/>
      <c r="R33" s="253"/>
      <c r="S33" s="253"/>
      <c r="T33" s="253"/>
      <c r="U33" s="253"/>
      <c r="V33" s="253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</row>
    <row r="34" spans="2:34">
      <c r="B34" s="234"/>
      <c r="C34" s="238"/>
      <c r="D34" s="238"/>
      <c r="E34" s="314"/>
      <c r="F34" s="238"/>
      <c r="G34" s="238"/>
      <c r="H34" s="238"/>
      <c r="I34" s="238"/>
      <c r="J34" s="238"/>
      <c r="K34" s="238"/>
      <c r="L34" s="238"/>
      <c r="M34" s="246"/>
      <c r="N34" s="234"/>
      <c r="O34" s="242"/>
      <c r="P34" s="127"/>
      <c r="Q34" s="234"/>
      <c r="R34" s="234"/>
      <c r="S34" s="234"/>
      <c r="T34" s="234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</row>
    <row r="35" spans="2:34">
      <c r="B35" s="327" t="s">
        <v>998</v>
      </c>
      <c r="C35" s="315"/>
      <c r="D35" s="315"/>
      <c r="E35" s="316"/>
      <c r="F35" s="315"/>
      <c r="G35" s="315"/>
      <c r="H35" s="315"/>
      <c r="I35" s="315"/>
      <c r="J35" s="315"/>
      <c r="K35" s="315"/>
      <c r="L35" s="315"/>
      <c r="M35" s="328"/>
      <c r="N35" s="327"/>
      <c r="O35" s="234"/>
      <c r="P35" s="234"/>
      <c r="Q35" s="234"/>
      <c r="R35" s="234"/>
      <c r="S35" s="234"/>
      <c r="T35" s="234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</row>
    <row r="36" spans="2:34">
      <c r="B36" s="327" t="s">
        <v>999</v>
      </c>
      <c r="C36" s="315"/>
      <c r="D36" s="315"/>
      <c r="E36" s="316"/>
      <c r="F36" s="315"/>
      <c r="G36" s="315"/>
      <c r="H36" s="315"/>
      <c r="I36" s="315"/>
      <c r="J36" s="315"/>
      <c r="K36" s="315"/>
      <c r="L36" s="315"/>
      <c r="M36" s="328"/>
      <c r="N36" s="327"/>
      <c r="O36" s="234"/>
      <c r="P36" s="234"/>
      <c r="Q36" s="234"/>
      <c r="R36" s="234"/>
      <c r="S36" s="234"/>
      <c r="T36" s="234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</row>
    <row r="37" spans="2:34">
      <c r="B37" s="326"/>
      <c r="C37" s="238"/>
      <c r="D37" s="238"/>
      <c r="E37" s="314"/>
      <c r="F37" s="238"/>
      <c r="G37" s="238"/>
      <c r="H37" s="238"/>
      <c r="I37" s="238"/>
      <c r="J37" s="238"/>
      <c r="K37" s="238"/>
      <c r="L37" s="238"/>
      <c r="M37" s="246"/>
      <c r="N37" s="326"/>
      <c r="O37" s="234"/>
      <c r="P37" s="234"/>
      <c r="Q37" s="234"/>
      <c r="R37" s="234"/>
      <c r="S37" s="234"/>
      <c r="T37" s="234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</row>
    <row r="38" spans="2:34">
      <c r="B38" s="329" t="s">
        <v>1000</v>
      </c>
      <c r="C38" s="238"/>
      <c r="D38" s="238"/>
      <c r="E38" s="314"/>
      <c r="F38" s="238"/>
      <c r="G38" s="238"/>
      <c r="H38" s="238"/>
      <c r="I38" s="238"/>
      <c r="J38" s="238"/>
      <c r="K38" s="238"/>
      <c r="L38" s="238"/>
      <c r="M38" s="330"/>
      <c r="N38" s="234"/>
      <c r="O38" s="234"/>
      <c r="P38" s="234"/>
      <c r="Q38" s="234"/>
      <c r="R38" s="234"/>
      <c r="S38" s="234"/>
      <c r="T38" s="234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</row>
    <row r="39" spans="2:34">
      <c r="B39" s="329" t="s">
        <v>1001</v>
      </c>
      <c r="C39" s="238"/>
      <c r="D39" s="238"/>
      <c r="E39" s="314"/>
      <c r="F39" s="238"/>
      <c r="G39" s="238"/>
      <c r="H39" s="238"/>
      <c r="I39" s="238"/>
      <c r="J39" s="238"/>
      <c r="K39" s="238"/>
      <c r="L39" s="238"/>
      <c r="M39" s="330"/>
      <c r="N39" s="234"/>
      <c r="O39" s="234"/>
      <c r="P39" s="234"/>
      <c r="Q39" s="234"/>
      <c r="R39" s="234"/>
      <c r="S39" s="234"/>
      <c r="T39" s="234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</row>
    <row r="40" spans="2:34">
      <c r="B40" s="329" t="s">
        <v>1002</v>
      </c>
      <c r="C40" s="238"/>
      <c r="D40" s="238"/>
      <c r="E40" s="314"/>
      <c r="F40" s="238"/>
      <c r="G40" s="238"/>
      <c r="H40" s="238"/>
      <c r="I40" s="238"/>
      <c r="J40" s="238"/>
      <c r="K40" s="238"/>
      <c r="L40" s="238"/>
      <c r="M40" s="330"/>
      <c r="N40" s="234"/>
      <c r="O40" s="234"/>
      <c r="P40" s="234"/>
      <c r="Q40" s="234"/>
      <c r="R40" s="234"/>
      <c r="S40" s="234"/>
      <c r="T40" s="234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</row>
    <row r="41" spans="2:34">
      <c r="B41" s="234"/>
      <c r="C41" s="325"/>
      <c r="D41" s="325"/>
      <c r="E41" s="331"/>
      <c r="F41" s="331"/>
      <c r="G41" s="331"/>
      <c r="H41" s="331"/>
      <c r="I41" s="331"/>
      <c r="J41" s="331"/>
      <c r="K41" s="332"/>
      <c r="L41" s="332"/>
      <c r="M41" s="246"/>
      <c r="N41" s="234"/>
      <c r="O41" s="234"/>
      <c r="P41" s="234"/>
      <c r="Q41" s="234"/>
      <c r="R41" s="234"/>
      <c r="S41" s="234"/>
      <c r="T41" s="234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</row>
    <row r="42" spans="2:34">
      <c r="B42" s="234"/>
      <c r="C42" s="333"/>
      <c r="D42" s="333"/>
      <c r="E42" s="333"/>
      <c r="F42" s="333"/>
      <c r="G42" s="333"/>
      <c r="H42" s="333"/>
      <c r="I42" s="333"/>
      <c r="J42" s="333"/>
      <c r="K42" s="334"/>
      <c r="L42" s="334"/>
      <c r="M42" s="246"/>
      <c r="N42" s="238"/>
      <c r="O42" s="238"/>
      <c r="P42" s="238"/>
      <c r="Q42" s="238"/>
      <c r="R42" s="238"/>
      <c r="S42" s="238"/>
      <c r="T42" s="238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</row>
    <row r="43" spans="2:34">
      <c r="B43" s="23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234"/>
      <c r="N43" s="238"/>
      <c r="O43" s="238"/>
      <c r="P43" s="238"/>
      <c r="Q43" s="238"/>
      <c r="R43" s="238"/>
      <c r="S43" s="238"/>
      <c r="T43" s="238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</row>
    <row r="44" spans="2:34">
      <c r="B44" s="234"/>
      <c r="C44" s="122"/>
      <c r="D44" s="122"/>
      <c r="E44" s="114"/>
      <c r="F44" s="123"/>
      <c r="G44" s="123"/>
      <c r="H44" s="123"/>
      <c r="I44" s="124"/>
      <c r="J44" s="125"/>
      <c r="K44" s="126"/>
      <c r="L44" s="127"/>
      <c r="M44" s="234"/>
      <c r="N44" s="238"/>
      <c r="O44" s="238"/>
      <c r="P44" s="238"/>
      <c r="Q44" s="238"/>
      <c r="R44" s="238"/>
      <c r="S44" s="238"/>
      <c r="T44" s="238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</row>
    <row r="45" spans="2:34">
      <c r="B45" s="238"/>
      <c r="C45" s="314"/>
      <c r="D45" s="314"/>
      <c r="E45" s="238"/>
      <c r="F45" s="238"/>
      <c r="G45" s="238"/>
      <c r="H45" s="238"/>
      <c r="I45" s="238"/>
      <c r="J45" s="238"/>
      <c r="K45" s="238"/>
      <c r="L45" s="234"/>
      <c r="M45" s="238"/>
      <c r="N45" s="238"/>
      <c r="O45" s="238"/>
      <c r="P45" s="238"/>
      <c r="Q45" s="238"/>
      <c r="R45" s="238"/>
      <c r="S45" s="238"/>
      <c r="T45" s="238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</row>
    <row r="46" spans="2:34">
      <c r="B46" s="335"/>
      <c r="C46" s="314"/>
      <c r="D46" s="314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</row>
    <row r="47" spans="2:34">
      <c r="B47" s="238"/>
      <c r="C47" s="314"/>
      <c r="D47" s="314"/>
      <c r="E47" s="238"/>
      <c r="F47" s="238"/>
      <c r="G47" s="238"/>
      <c r="H47" s="238"/>
      <c r="I47" s="238"/>
      <c r="J47" s="238"/>
      <c r="K47" s="238"/>
      <c r="L47" s="238"/>
      <c r="M47" s="238"/>
      <c r="N47" s="234"/>
      <c r="O47" s="234"/>
      <c r="P47" s="234"/>
      <c r="Q47" s="234"/>
      <c r="R47" s="234"/>
      <c r="S47" s="234"/>
      <c r="T47" s="234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</row>
    <row r="48" spans="2:34">
      <c r="B48" s="238"/>
      <c r="C48" s="314"/>
      <c r="D48" s="314"/>
      <c r="E48" s="238"/>
      <c r="F48" s="238"/>
      <c r="G48" s="238"/>
      <c r="H48" s="238"/>
      <c r="I48" s="238"/>
      <c r="J48" s="238"/>
      <c r="K48" s="238"/>
      <c r="L48" s="238"/>
      <c r="M48" s="238"/>
      <c r="N48" s="234"/>
      <c r="O48" s="234"/>
      <c r="P48" s="234"/>
      <c r="Q48" s="234"/>
      <c r="R48" s="234"/>
      <c r="S48" s="234"/>
      <c r="T48" s="234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</row>
    <row r="49" spans="2:34">
      <c r="B49" s="238"/>
      <c r="C49" s="314"/>
      <c r="D49" s="314"/>
      <c r="E49" s="238"/>
      <c r="F49" s="238"/>
      <c r="G49" s="238"/>
      <c r="H49" s="238"/>
      <c r="I49" s="238"/>
      <c r="J49" s="238"/>
      <c r="K49" s="238"/>
      <c r="L49" s="234"/>
      <c r="M49" s="238"/>
      <c r="N49" s="234"/>
      <c r="O49" s="234"/>
      <c r="P49" s="234"/>
      <c r="Q49" s="234"/>
      <c r="R49" s="234"/>
      <c r="S49" s="234"/>
      <c r="T49" s="234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</row>
    <row r="50" spans="2:34"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</row>
    <row r="51" spans="2:34"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</row>
    <row r="52" spans="2:34"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</row>
    <row r="53" spans="2:34"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</row>
    <row r="54" spans="2:34"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</row>
    <row r="55" spans="2:34"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</row>
    <row r="56" spans="2:34"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</row>
    <row r="57" spans="2:34"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</row>
    <row r="58" spans="2:34"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</row>
    <row r="59" spans="2:34"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</row>
  </sheetData>
  <mergeCells count="140">
    <mergeCell ref="C32:E32"/>
    <mergeCell ref="F32:J32"/>
    <mergeCell ref="K32:L32"/>
    <mergeCell ref="C33:E33"/>
    <mergeCell ref="F33:J33"/>
    <mergeCell ref="K33:L33"/>
    <mergeCell ref="B29:B30"/>
    <mergeCell ref="C29:C30"/>
    <mergeCell ref="D29:D30"/>
    <mergeCell ref="E29:E30"/>
    <mergeCell ref="L29:L30"/>
    <mergeCell ref="O30:O31"/>
    <mergeCell ref="U19:U20"/>
    <mergeCell ref="V19:V20"/>
    <mergeCell ref="M20:M23"/>
    <mergeCell ref="U21:U23"/>
    <mergeCell ref="V21:V23"/>
    <mergeCell ref="U24:U25"/>
    <mergeCell ref="V24:V25"/>
    <mergeCell ref="S26:S27"/>
    <mergeCell ref="T26:T27"/>
    <mergeCell ref="O26:O27"/>
    <mergeCell ref="P26:P27"/>
    <mergeCell ref="Q21:Q23"/>
    <mergeCell ref="R21:R23"/>
    <mergeCell ref="S21:S23"/>
    <mergeCell ref="T21:T23"/>
    <mergeCell ref="O24:O25"/>
    <mergeCell ref="P24:P25"/>
    <mergeCell ref="Q24:Q25"/>
    <mergeCell ref="R24:R25"/>
    <mergeCell ref="D25:D26"/>
    <mergeCell ref="E25:E26"/>
    <mergeCell ref="F25:G30"/>
    <mergeCell ref="H25:I30"/>
    <mergeCell ref="O28:O29"/>
    <mergeCell ref="P28:P29"/>
    <mergeCell ref="Q26:Q27"/>
    <mergeCell ref="U26:U27"/>
    <mergeCell ref="V26:V27"/>
    <mergeCell ref="D27:D28"/>
    <mergeCell ref="E27:E28"/>
    <mergeCell ref="U28:U29"/>
    <mergeCell ref="V28:V29"/>
    <mergeCell ref="Q28:Q29"/>
    <mergeCell ref="R28:R29"/>
    <mergeCell ref="S28:S29"/>
    <mergeCell ref="T28:T29"/>
    <mergeCell ref="S30:S31"/>
    <mergeCell ref="T30:T31"/>
    <mergeCell ref="U30:U31"/>
    <mergeCell ref="V30:V31"/>
    <mergeCell ref="C31:E31"/>
    <mergeCell ref="F31:J31"/>
    <mergeCell ref="P30:P31"/>
    <mergeCell ref="Q30:Q31"/>
    <mergeCell ref="R30:R31"/>
    <mergeCell ref="K31:L31"/>
    <mergeCell ref="R26:R27"/>
    <mergeCell ref="U11:U12"/>
    <mergeCell ref="V11:V12"/>
    <mergeCell ref="M13:M14"/>
    <mergeCell ref="O13:O14"/>
    <mergeCell ref="P13:P14"/>
    <mergeCell ref="U15:U16"/>
    <mergeCell ref="V15:V16"/>
    <mergeCell ref="U17:U18"/>
    <mergeCell ref="V17:V18"/>
    <mergeCell ref="R17:R18"/>
    <mergeCell ref="S17:S18"/>
    <mergeCell ref="T17:T18"/>
    <mergeCell ref="O15:O16"/>
    <mergeCell ref="Q11:Q12"/>
    <mergeCell ref="R11:R12"/>
    <mergeCell ref="S11:S12"/>
    <mergeCell ref="T11:T12"/>
    <mergeCell ref="O11:O12"/>
    <mergeCell ref="P11:P12"/>
    <mergeCell ref="R15:R16"/>
    <mergeCell ref="S15:S16"/>
    <mergeCell ref="T15:T16"/>
    <mergeCell ref="P15:P16"/>
    <mergeCell ref="Q15:Q16"/>
    <mergeCell ref="S24:S25"/>
    <mergeCell ref="T24:T25"/>
    <mergeCell ref="R19:R20"/>
    <mergeCell ref="S19:S20"/>
    <mergeCell ref="T19:T20"/>
    <mergeCell ref="B20:B23"/>
    <mergeCell ref="C20:C23"/>
    <mergeCell ref="D20:D23"/>
    <mergeCell ref="E20:E23"/>
    <mergeCell ref="F20:G23"/>
    <mergeCell ref="H20:I23"/>
    <mergeCell ref="J20:J23"/>
    <mergeCell ref="K20:K23"/>
    <mergeCell ref="L20:L23"/>
    <mergeCell ref="O19:O20"/>
    <mergeCell ref="P19:P20"/>
    <mergeCell ref="Q19:Q20"/>
    <mergeCell ref="O21:O23"/>
    <mergeCell ref="B17:B19"/>
    <mergeCell ref="C17:C19"/>
    <mergeCell ref="D17:D19"/>
    <mergeCell ref="E17:E19"/>
    <mergeCell ref="F17:G19"/>
    <mergeCell ref="H17:I19"/>
    <mergeCell ref="H10:I12"/>
    <mergeCell ref="B13:B16"/>
    <mergeCell ref="C13:C16"/>
    <mergeCell ref="D13:D16"/>
    <mergeCell ref="E13:E16"/>
    <mergeCell ref="F13:G16"/>
    <mergeCell ref="H13:I16"/>
    <mergeCell ref="F8:G9"/>
    <mergeCell ref="H8:I9"/>
    <mergeCell ref="J8:J9"/>
    <mergeCell ref="K8:M8"/>
    <mergeCell ref="Q8:Q9"/>
    <mergeCell ref="B10:B12"/>
    <mergeCell ref="C10:C12"/>
    <mergeCell ref="D10:D12"/>
    <mergeCell ref="E10:E12"/>
    <mergeCell ref="F10:G12"/>
    <mergeCell ref="S8:V8"/>
    <mergeCell ref="P21:P23"/>
    <mergeCell ref="O17:O18"/>
    <mergeCell ref="P17:P18"/>
    <mergeCell ref="Q17:Q18"/>
    <mergeCell ref="B6:T6"/>
    <mergeCell ref="B7:D7"/>
    <mergeCell ref="B8:B9"/>
    <mergeCell ref="C8:C9"/>
    <mergeCell ref="D8:E8"/>
    <mergeCell ref="J13:J14"/>
    <mergeCell ref="K13:K14"/>
    <mergeCell ref="L13:L14"/>
    <mergeCell ref="O8:O9"/>
    <mergeCell ref="P8:P9"/>
    <mergeCell ref="R8:R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4" tint="0.79998168889431442"/>
    <pageSetUpPr fitToPage="1"/>
  </sheetPr>
  <dimension ref="B1:O41"/>
  <sheetViews>
    <sheetView workbookViewId="0">
      <selection activeCell="U9" sqref="U9"/>
    </sheetView>
  </sheetViews>
  <sheetFormatPr defaultRowHeight="15"/>
  <cols>
    <col min="1" max="1" width="3.5703125" customWidth="1"/>
    <col min="2" max="2" width="44.42578125" customWidth="1"/>
    <col min="3" max="3" width="9.140625" customWidth="1"/>
    <col min="4" max="5" width="10.28515625" customWidth="1"/>
    <col min="6" max="6" width="9" customWidth="1"/>
    <col min="7" max="7" width="8.85546875" customWidth="1"/>
    <col min="8" max="8" width="6.140625" customWidth="1"/>
    <col min="9" max="9" width="45" customWidth="1"/>
    <col min="10" max="10" width="6.5703125" customWidth="1"/>
    <col min="11" max="11" width="9" customWidth="1"/>
    <col min="12" max="12" width="9.140625" customWidth="1"/>
    <col min="13" max="13" width="10.28515625" customWidth="1"/>
  </cols>
  <sheetData>
    <row r="1" spans="2:15" ht="12" customHeight="1"/>
    <row r="2" spans="2:15" ht="12" customHeight="1" thickBot="1"/>
    <row r="3" spans="2:15" ht="28.5" customHeight="1" thickBot="1">
      <c r="B3" s="1650" t="s">
        <v>0</v>
      </c>
      <c r="C3" s="1650" t="s">
        <v>347</v>
      </c>
      <c r="D3" s="1654" t="s">
        <v>364</v>
      </c>
      <c r="E3" s="1650" t="s">
        <v>348</v>
      </c>
      <c r="F3" s="1662" t="s">
        <v>1291</v>
      </c>
      <c r="G3" s="1663"/>
      <c r="I3" s="1650" t="s">
        <v>0</v>
      </c>
      <c r="J3" s="1652" t="s">
        <v>1265</v>
      </c>
      <c r="K3" s="1650" t="s">
        <v>457</v>
      </c>
      <c r="L3" s="1654" t="s">
        <v>1289</v>
      </c>
      <c r="M3" s="1655"/>
      <c r="N3" s="1654" t="s">
        <v>1290</v>
      </c>
      <c r="O3" s="1655"/>
    </row>
    <row r="4" spans="2:15" ht="29.25" customHeight="1" thickBot="1">
      <c r="B4" s="1661"/>
      <c r="C4" s="1661"/>
      <c r="D4" s="1660"/>
      <c r="E4" s="1661"/>
      <c r="F4" s="487" t="s">
        <v>349</v>
      </c>
      <c r="G4" s="488" t="s">
        <v>350</v>
      </c>
      <c r="I4" s="1651"/>
      <c r="J4" s="1653"/>
      <c r="K4" s="1651"/>
      <c r="L4" s="485" t="s">
        <v>1286</v>
      </c>
      <c r="M4" s="486" t="s">
        <v>1285</v>
      </c>
      <c r="N4" s="485" t="s">
        <v>1286</v>
      </c>
      <c r="O4" s="486" t="s">
        <v>1285</v>
      </c>
    </row>
    <row r="5" spans="2:15" ht="19.5" customHeight="1" thickBot="1">
      <c r="B5" s="454"/>
      <c r="C5" s="1668">
        <v>560</v>
      </c>
      <c r="D5" s="1664">
        <v>489</v>
      </c>
      <c r="E5" s="1666" t="s">
        <v>352</v>
      </c>
      <c r="F5" s="1656">
        <v>0.44</v>
      </c>
      <c r="G5" s="1658">
        <v>0.52</v>
      </c>
      <c r="I5" s="446" t="s">
        <v>1281</v>
      </c>
      <c r="J5" s="447">
        <v>3660</v>
      </c>
      <c r="K5" s="463">
        <v>20</v>
      </c>
      <c r="L5" s="473">
        <v>211</v>
      </c>
      <c r="M5" s="477" t="s">
        <v>1266</v>
      </c>
      <c r="N5" s="469">
        <v>196.3</v>
      </c>
      <c r="O5" s="481" t="s">
        <v>1266</v>
      </c>
    </row>
    <row r="6" spans="2:15" ht="38.25" customHeight="1" thickBot="1">
      <c r="B6" s="455" t="s">
        <v>351</v>
      </c>
      <c r="C6" s="1669"/>
      <c r="D6" s="1665"/>
      <c r="E6" s="1667"/>
      <c r="F6" s="1657"/>
      <c r="G6" s="1659"/>
      <c r="I6" s="446" t="s">
        <v>1282</v>
      </c>
      <c r="J6" s="447">
        <v>3660</v>
      </c>
      <c r="K6" s="463">
        <v>20</v>
      </c>
      <c r="L6" s="474">
        <v>252</v>
      </c>
      <c r="M6" s="478" t="s">
        <v>1266</v>
      </c>
      <c r="N6" s="470">
        <v>223.8</v>
      </c>
      <c r="O6" s="482" t="s">
        <v>1266</v>
      </c>
    </row>
    <row r="7" spans="2:15" ht="21.75" customHeight="1" thickBot="1">
      <c r="B7" s="451"/>
      <c r="C7" s="1670">
        <v>600</v>
      </c>
      <c r="D7" s="1671">
        <v>507</v>
      </c>
      <c r="E7" s="1675" t="s">
        <v>354</v>
      </c>
      <c r="F7" s="1673">
        <v>0.44</v>
      </c>
      <c r="G7" s="1674">
        <v>0.51</v>
      </c>
      <c r="I7" s="446" t="s">
        <v>1283</v>
      </c>
      <c r="J7" s="447">
        <v>3050</v>
      </c>
      <c r="K7" s="463">
        <v>20</v>
      </c>
      <c r="L7" s="474">
        <v>200</v>
      </c>
      <c r="M7" s="478" t="s">
        <v>1266</v>
      </c>
      <c r="N7" s="470">
        <v>181.15</v>
      </c>
      <c r="O7" s="482" t="s">
        <v>1266</v>
      </c>
    </row>
    <row r="8" spans="2:15" ht="51" customHeight="1" thickBot="1">
      <c r="B8" s="451" t="s">
        <v>353</v>
      </c>
      <c r="C8" s="1670"/>
      <c r="D8" s="1672"/>
      <c r="E8" s="1675"/>
      <c r="F8" s="1673"/>
      <c r="G8" s="1674"/>
      <c r="I8" s="446" t="s">
        <v>1284</v>
      </c>
      <c r="J8" s="447">
        <v>3050</v>
      </c>
      <c r="K8" s="463">
        <v>16</v>
      </c>
      <c r="L8" s="474">
        <v>245</v>
      </c>
      <c r="M8" s="478" t="s">
        <v>1266</v>
      </c>
      <c r="N8" s="470">
        <v>211.6</v>
      </c>
      <c r="O8" s="482" t="s">
        <v>1266</v>
      </c>
    </row>
    <row r="9" spans="2:15" ht="21.75" customHeight="1" thickBot="1">
      <c r="B9" s="454"/>
      <c r="C9" s="1668">
        <v>560</v>
      </c>
      <c r="D9" s="1664">
        <v>489</v>
      </c>
      <c r="E9" s="1666" t="s">
        <v>356</v>
      </c>
      <c r="F9" s="1656">
        <v>0.42</v>
      </c>
      <c r="G9" s="1658">
        <v>0.51</v>
      </c>
      <c r="I9" s="446" t="s">
        <v>1267</v>
      </c>
      <c r="J9" s="447">
        <v>3050</v>
      </c>
      <c r="K9" s="463">
        <v>38</v>
      </c>
      <c r="L9" s="474">
        <v>291</v>
      </c>
      <c r="M9" s="478" t="s">
        <v>1266</v>
      </c>
      <c r="N9" s="470">
        <v>238.46</v>
      </c>
      <c r="O9" s="482" t="s">
        <v>1266</v>
      </c>
    </row>
    <row r="10" spans="2:15" ht="36" customHeight="1" thickBot="1">
      <c r="B10" s="455" t="s">
        <v>355</v>
      </c>
      <c r="C10" s="1669"/>
      <c r="D10" s="1665"/>
      <c r="E10" s="1667"/>
      <c r="F10" s="1657"/>
      <c r="G10" s="1659"/>
      <c r="I10" s="465" t="s">
        <v>1288</v>
      </c>
      <c r="J10" s="466">
        <v>3050</v>
      </c>
      <c r="K10" s="467">
        <v>16</v>
      </c>
      <c r="L10" s="475">
        <v>317</v>
      </c>
      <c r="M10" s="479">
        <v>420</v>
      </c>
      <c r="N10" s="471">
        <v>272.8</v>
      </c>
      <c r="O10" s="483">
        <v>353</v>
      </c>
    </row>
    <row r="11" spans="2:15" ht="12" customHeight="1" thickBot="1">
      <c r="B11" s="450"/>
      <c r="C11" s="1670">
        <v>440</v>
      </c>
      <c r="D11" s="1671">
        <v>364</v>
      </c>
      <c r="E11" s="1675"/>
      <c r="F11" s="1687"/>
      <c r="G11" s="1675"/>
      <c r="I11" s="468" t="s">
        <v>1287</v>
      </c>
      <c r="J11" s="466">
        <v>1850</v>
      </c>
      <c r="K11" s="467">
        <v>20</v>
      </c>
      <c r="L11" s="475">
        <v>317</v>
      </c>
      <c r="M11" s="479">
        <v>420</v>
      </c>
      <c r="N11" s="471">
        <v>272.8</v>
      </c>
      <c r="O11" s="483">
        <v>353</v>
      </c>
    </row>
    <row r="12" spans="2:15" ht="12" customHeight="1" thickBot="1">
      <c r="B12" s="450" t="s">
        <v>357</v>
      </c>
      <c r="C12" s="1670"/>
      <c r="D12" s="1672"/>
      <c r="E12" s="1675"/>
      <c r="F12" s="1687"/>
      <c r="G12" s="1675"/>
      <c r="I12" s="446" t="s">
        <v>1268</v>
      </c>
      <c r="J12" s="447">
        <v>3660</v>
      </c>
      <c r="K12" s="463">
        <v>12</v>
      </c>
      <c r="L12" s="474">
        <v>595</v>
      </c>
      <c r="M12" s="478" t="s">
        <v>1269</v>
      </c>
      <c r="N12" s="470">
        <v>483.51</v>
      </c>
      <c r="O12" s="482" t="s">
        <v>1269</v>
      </c>
    </row>
    <row r="13" spans="2:15" ht="12" customHeight="1" thickBot="1">
      <c r="B13" s="456" t="s">
        <v>358</v>
      </c>
      <c r="C13" s="1670"/>
      <c r="D13" s="1672"/>
      <c r="E13" s="1675"/>
      <c r="F13" s="1687"/>
      <c r="G13" s="1675"/>
      <c r="I13" s="446" t="s">
        <v>1270</v>
      </c>
      <c r="J13" s="447">
        <v>3050</v>
      </c>
      <c r="K13" s="463">
        <v>60</v>
      </c>
      <c r="L13" s="474">
        <v>145</v>
      </c>
      <c r="M13" s="478">
        <v>185</v>
      </c>
      <c r="N13" s="470">
        <v>117.09</v>
      </c>
      <c r="O13" s="482">
        <v>154.30000000000001</v>
      </c>
    </row>
    <row r="14" spans="2:15" ht="12" customHeight="1" thickBot="1">
      <c r="B14" s="1682" t="s">
        <v>359</v>
      </c>
      <c r="C14" s="1668">
        <v>480</v>
      </c>
      <c r="D14" s="1664">
        <v>400</v>
      </c>
      <c r="E14" s="1666"/>
      <c r="F14" s="1688"/>
      <c r="G14" s="1666"/>
      <c r="I14" s="446" t="s">
        <v>1271</v>
      </c>
      <c r="J14" s="447">
        <v>3050</v>
      </c>
      <c r="K14" s="463">
        <v>45</v>
      </c>
      <c r="L14" s="474">
        <v>415</v>
      </c>
      <c r="M14" s="478">
        <v>535</v>
      </c>
      <c r="N14" s="470">
        <v>321.18</v>
      </c>
      <c r="O14" s="482">
        <v>402</v>
      </c>
    </row>
    <row r="15" spans="2:15" ht="12" customHeight="1" thickBot="1">
      <c r="B15" s="1683"/>
      <c r="C15" s="1670"/>
      <c r="D15" s="1672"/>
      <c r="E15" s="1675"/>
      <c r="F15" s="1687"/>
      <c r="G15" s="1675"/>
      <c r="I15" s="446" t="s">
        <v>1272</v>
      </c>
      <c r="J15" s="447">
        <v>3050</v>
      </c>
      <c r="K15" s="463">
        <v>12</v>
      </c>
      <c r="L15" s="474">
        <v>470</v>
      </c>
      <c r="M15" s="478">
        <v>612</v>
      </c>
      <c r="N15" s="470">
        <v>364</v>
      </c>
      <c r="O15" s="482">
        <v>474</v>
      </c>
    </row>
    <row r="16" spans="2:15" ht="12" customHeight="1" thickBot="1">
      <c r="B16" s="1684"/>
      <c r="C16" s="1669"/>
      <c r="D16" s="1665"/>
      <c r="E16" s="1667"/>
      <c r="F16" s="1689"/>
      <c r="G16" s="1667"/>
      <c r="I16" s="446" t="s">
        <v>1273</v>
      </c>
      <c r="J16" s="447">
        <v>3050</v>
      </c>
      <c r="K16" s="463">
        <v>22</v>
      </c>
      <c r="L16" s="474">
        <v>410</v>
      </c>
      <c r="M16" s="478">
        <v>580</v>
      </c>
      <c r="N16" s="470">
        <v>315</v>
      </c>
      <c r="O16" s="482">
        <v>409</v>
      </c>
    </row>
    <row r="17" spans="2:15" ht="12" customHeight="1" thickBot="1">
      <c r="B17" s="452"/>
      <c r="C17" s="1670">
        <v>480</v>
      </c>
      <c r="D17" s="1671">
        <v>400</v>
      </c>
      <c r="E17" s="1675"/>
      <c r="F17" s="1687"/>
      <c r="G17" s="1675"/>
      <c r="I17" s="468" t="s">
        <v>1274</v>
      </c>
      <c r="J17" s="466">
        <v>3050</v>
      </c>
      <c r="K17" s="467">
        <v>66</v>
      </c>
      <c r="L17" s="475">
        <v>160</v>
      </c>
      <c r="M17" s="479">
        <v>210</v>
      </c>
      <c r="N17" s="471">
        <v>126.67</v>
      </c>
      <c r="O17" s="483">
        <v>163.78</v>
      </c>
    </row>
    <row r="18" spans="2:15" ht="12" customHeight="1" thickBot="1">
      <c r="B18" s="453" t="s">
        <v>360</v>
      </c>
      <c r="C18" s="1670"/>
      <c r="D18" s="1672"/>
      <c r="E18" s="1675"/>
      <c r="F18" s="1687"/>
      <c r="G18" s="1675"/>
      <c r="I18" s="446" t="s">
        <v>1275</v>
      </c>
      <c r="J18" s="447">
        <v>3050</v>
      </c>
      <c r="K18" s="463">
        <v>40</v>
      </c>
      <c r="L18" s="474">
        <v>220</v>
      </c>
      <c r="M18" s="478" t="s">
        <v>1266</v>
      </c>
      <c r="N18" s="470">
        <v>168</v>
      </c>
      <c r="O18" s="482" t="s">
        <v>1269</v>
      </c>
    </row>
    <row r="19" spans="2:15" ht="12" customHeight="1" thickBot="1">
      <c r="B19" s="457"/>
      <c r="C19" s="1670"/>
      <c r="D19" s="1672"/>
      <c r="E19" s="1675"/>
      <c r="F19" s="1687"/>
      <c r="G19" s="1675"/>
      <c r="I19" s="446" t="s">
        <v>343</v>
      </c>
      <c r="J19" s="447">
        <v>3050</v>
      </c>
      <c r="K19" s="463">
        <v>50</v>
      </c>
      <c r="L19" s="474">
        <v>302</v>
      </c>
      <c r="M19" s="478">
        <v>402</v>
      </c>
      <c r="N19" s="470">
        <v>241.45</v>
      </c>
      <c r="O19" s="482">
        <v>314</v>
      </c>
    </row>
    <row r="20" spans="2:15" ht="30.75" customHeight="1" thickBot="1">
      <c r="B20" s="458" t="s">
        <v>363</v>
      </c>
      <c r="C20" s="459">
        <v>190</v>
      </c>
      <c r="D20" s="460">
        <v>165</v>
      </c>
      <c r="E20" s="461"/>
      <c r="F20" s="462"/>
      <c r="G20" s="461"/>
      <c r="I20" s="446" t="s">
        <v>1276</v>
      </c>
      <c r="J20" s="447">
        <v>3050</v>
      </c>
      <c r="K20" s="463">
        <v>20</v>
      </c>
      <c r="L20" s="474">
        <v>455</v>
      </c>
      <c r="M20" s="478">
        <v>590</v>
      </c>
      <c r="N20" s="470">
        <v>364.79</v>
      </c>
      <c r="O20" s="482">
        <v>473.63</v>
      </c>
    </row>
    <row r="21" spans="2:15" ht="12" customHeight="1" thickBot="1">
      <c r="B21" s="1679" t="s">
        <v>365</v>
      </c>
      <c r="C21" s="1674">
        <v>60</v>
      </c>
      <c r="D21" s="1676">
        <v>50</v>
      </c>
      <c r="E21" s="1686"/>
      <c r="F21" s="1678"/>
      <c r="G21" s="1686"/>
      <c r="I21" s="448" t="s">
        <v>1277</v>
      </c>
      <c r="J21" s="449">
        <v>3660</v>
      </c>
      <c r="K21" s="464">
        <v>30</v>
      </c>
      <c r="L21" s="474">
        <v>398</v>
      </c>
      <c r="M21" s="478" t="s">
        <v>1266</v>
      </c>
      <c r="N21" s="470">
        <v>329.44</v>
      </c>
      <c r="O21" s="482" t="s">
        <v>1269</v>
      </c>
    </row>
    <row r="22" spans="2:15" ht="12" customHeight="1" thickBot="1">
      <c r="B22" s="1680"/>
      <c r="C22" s="1674"/>
      <c r="D22" s="1677"/>
      <c r="E22" s="1686"/>
      <c r="F22" s="1678"/>
      <c r="G22" s="1686"/>
      <c r="I22" s="446" t="s">
        <v>1278</v>
      </c>
      <c r="J22" s="447">
        <v>3660</v>
      </c>
      <c r="K22" s="463">
        <v>22</v>
      </c>
      <c r="L22" s="474">
        <v>398</v>
      </c>
      <c r="M22" s="478">
        <v>525</v>
      </c>
      <c r="N22" s="470">
        <v>329.44</v>
      </c>
      <c r="O22" s="482">
        <v>429.02</v>
      </c>
    </row>
    <row r="23" spans="2:15" ht="12" customHeight="1" thickBot="1">
      <c r="B23" s="1680"/>
      <c r="C23" s="1674"/>
      <c r="D23" s="1677"/>
      <c r="E23" s="1686"/>
      <c r="F23" s="1678"/>
      <c r="G23" s="1686"/>
      <c r="I23" s="448" t="s">
        <v>1279</v>
      </c>
      <c r="J23" s="449">
        <v>3660</v>
      </c>
      <c r="K23" s="464">
        <v>12</v>
      </c>
      <c r="L23" s="474">
        <v>451</v>
      </c>
      <c r="M23" s="478">
        <v>556</v>
      </c>
      <c r="N23" s="470">
        <v>349</v>
      </c>
      <c r="O23" s="482">
        <v>452</v>
      </c>
    </row>
    <row r="24" spans="2:15" ht="29.25" customHeight="1" thickBot="1">
      <c r="B24" s="458" t="s">
        <v>361</v>
      </c>
      <c r="C24" s="459">
        <v>320</v>
      </c>
      <c r="D24" s="460">
        <v>254</v>
      </c>
      <c r="E24" s="461"/>
      <c r="F24" s="462"/>
      <c r="G24" s="461"/>
      <c r="I24" s="446" t="s">
        <v>1280</v>
      </c>
      <c r="J24" s="447">
        <v>3050</v>
      </c>
      <c r="K24" s="463">
        <v>50</v>
      </c>
      <c r="L24" s="476">
        <v>130</v>
      </c>
      <c r="M24" s="480" t="s">
        <v>1269</v>
      </c>
      <c r="N24" s="472">
        <v>95.31</v>
      </c>
      <c r="O24" s="484" t="s">
        <v>1269</v>
      </c>
    </row>
    <row r="25" spans="2:15" ht="10.5" customHeight="1">
      <c r="B25" s="1679" t="s">
        <v>362</v>
      </c>
      <c r="C25" s="1674">
        <v>220</v>
      </c>
      <c r="D25" s="1676">
        <v>194</v>
      </c>
      <c r="E25" s="1686"/>
      <c r="F25" s="1678"/>
      <c r="G25" s="1686"/>
      <c r="I25" s="445"/>
    </row>
    <row r="26" spans="2:15" ht="39" customHeight="1" thickBot="1">
      <c r="B26" s="1681"/>
      <c r="C26" s="1659"/>
      <c r="D26" s="1660"/>
      <c r="E26" s="1690"/>
      <c r="F26" s="1685"/>
      <c r="G26" s="1690"/>
    </row>
    <row r="27" spans="2:15" ht="12" customHeight="1"/>
    <row r="28" spans="2:15" ht="12" customHeight="1"/>
    <row r="29" spans="2:15" ht="12" customHeight="1"/>
    <row r="30" spans="2:15" ht="12" customHeight="1"/>
    <row r="31" spans="2:15" ht="12" customHeight="1"/>
    <row r="32" spans="2:15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</sheetData>
  <mergeCells count="53">
    <mergeCell ref="G25:G26"/>
    <mergeCell ref="E21:E23"/>
    <mergeCell ref="E25:E26"/>
    <mergeCell ref="F11:F13"/>
    <mergeCell ref="G11:G13"/>
    <mergeCell ref="E11:E13"/>
    <mergeCell ref="E14:E16"/>
    <mergeCell ref="E17:E19"/>
    <mergeCell ref="G21:G23"/>
    <mergeCell ref="F17:F19"/>
    <mergeCell ref="G14:G16"/>
    <mergeCell ref="G17:G19"/>
    <mergeCell ref="F14:F16"/>
    <mergeCell ref="F21:F23"/>
    <mergeCell ref="B21:B23"/>
    <mergeCell ref="B25:B26"/>
    <mergeCell ref="C21:C23"/>
    <mergeCell ref="B14:B16"/>
    <mergeCell ref="C14:C16"/>
    <mergeCell ref="F25:F26"/>
    <mergeCell ref="C25:C26"/>
    <mergeCell ref="D25:D26"/>
    <mergeCell ref="C17:C19"/>
    <mergeCell ref="D17:D19"/>
    <mergeCell ref="D21:D23"/>
    <mergeCell ref="D14:D16"/>
    <mergeCell ref="F7:F8"/>
    <mergeCell ref="G7:G8"/>
    <mergeCell ref="F9:F10"/>
    <mergeCell ref="G9:G10"/>
    <mergeCell ref="E7:E8"/>
    <mergeCell ref="E9:E10"/>
    <mergeCell ref="C11:C13"/>
    <mergeCell ref="D11:D13"/>
    <mergeCell ref="C9:C10"/>
    <mergeCell ref="C7:C8"/>
    <mergeCell ref="D7:D8"/>
    <mergeCell ref="D9:D10"/>
    <mergeCell ref="D3:D4"/>
    <mergeCell ref="E3:E4"/>
    <mergeCell ref="F3:G3"/>
    <mergeCell ref="D5:D6"/>
    <mergeCell ref="E5:E6"/>
    <mergeCell ref="B3:B4"/>
    <mergeCell ref="C3:C4"/>
    <mergeCell ref="C5:C6"/>
    <mergeCell ref="I3:I4"/>
    <mergeCell ref="J3:J4"/>
    <mergeCell ref="K3:K4"/>
    <mergeCell ref="L3:M3"/>
    <mergeCell ref="N3:O3"/>
    <mergeCell ref="F5:F6"/>
    <mergeCell ref="G5:G6"/>
  </mergeCells>
  <pageMargins left="0.7" right="0.7" top="0.75" bottom="0.75" header="0.3" footer="0.3"/>
  <pageSetup paperSize="9" scale="51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B1:Q33"/>
  <sheetViews>
    <sheetView tabSelected="1" zoomScaleNormal="100" workbookViewId="0">
      <selection activeCell="F1" sqref="F1:G3"/>
    </sheetView>
  </sheetViews>
  <sheetFormatPr defaultRowHeight="15"/>
  <cols>
    <col min="1" max="1" width="2.28515625" customWidth="1"/>
    <col min="2" max="2" width="49.28515625" customWidth="1"/>
    <col min="3" max="3" width="16.85546875" customWidth="1"/>
    <col min="5" max="5" width="23.28515625" customWidth="1"/>
    <col min="6" max="6" width="8.7109375" customWidth="1"/>
    <col min="7" max="7" width="11.28515625" customWidth="1"/>
    <col min="8" max="8" width="11" customWidth="1"/>
    <col min="9" max="9" width="6" customWidth="1"/>
    <col min="10" max="10" width="6.5703125" customWidth="1"/>
    <col min="11" max="11" width="37" customWidth="1"/>
    <col min="12" max="12" width="24" customWidth="1"/>
    <col min="14" max="14" width="25.140625" customWidth="1"/>
    <col min="15" max="15" width="14" customWidth="1"/>
    <col min="16" max="16" width="12.28515625" customWidth="1"/>
    <col min="17" max="17" width="12.140625" customWidth="1"/>
  </cols>
  <sheetData>
    <row r="1" spans="2:17">
      <c r="C1" s="1182"/>
      <c r="D1" s="1749"/>
      <c r="E1" s="93" t="s">
        <v>131</v>
      </c>
      <c r="F1" s="93"/>
      <c r="G1" s="93"/>
    </row>
    <row r="2" spans="2:17">
      <c r="C2" s="1182" t="s">
        <v>1215</v>
      </c>
      <c r="D2" s="1749"/>
      <c r="E2" s="110">
        <v>0.4</v>
      </c>
      <c r="F2" s="110"/>
      <c r="G2" s="110"/>
    </row>
    <row r="3" spans="2:17">
      <c r="C3" s="1750" t="s">
        <v>1216</v>
      </c>
      <c r="D3" s="1751"/>
      <c r="E3" s="110">
        <v>0.2</v>
      </c>
      <c r="F3" s="110"/>
      <c r="G3" s="110"/>
    </row>
    <row r="5" spans="2:17" ht="18">
      <c r="B5" s="1757" t="s">
        <v>1141</v>
      </c>
      <c r="C5" s="1757"/>
      <c r="D5" s="1757"/>
      <c r="E5" s="1757"/>
      <c r="F5" s="1757"/>
      <c r="G5" s="1757"/>
      <c r="H5" s="1757"/>
      <c r="K5" s="1757" t="s">
        <v>1176</v>
      </c>
      <c r="L5" s="1757"/>
      <c r="M5" s="1757"/>
      <c r="N5" s="1757"/>
      <c r="O5" s="1757"/>
      <c r="P5" s="1757"/>
      <c r="Q5" s="392"/>
    </row>
    <row r="6" spans="2:17">
      <c r="B6" s="390"/>
      <c r="C6" s="391"/>
      <c r="D6" s="392"/>
      <c r="E6" s="392"/>
      <c r="F6" s="393"/>
      <c r="G6" s="394"/>
      <c r="H6" s="395" t="s">
        <v>1142</v>
      </c>
      <c r="K6" s="421"/>
      <c r="L6" s="391"/>
      <c r="M6" s="392"/>
      <c r="N6" s="392"/>
      <c r="O6" s="422"/>
      <c r="P6" s="395"/>
      <c r="Q6" s="395" t="s">
        <v>1142</v>
      </c>
    </row>
    <row r="7" spans="2:17" ht="56.25">
      <c r="B7" s="396" t="s">
        <v>1143</v>
      </c>
      <c r="C7" s="396" t="s">
        <v>0</v>
      </c>
      <c r="D7" s="1743" t="s">
        <v>1144</v>
      </c>
      <c r="E7" s="1744"/>
      <c r="F7" s="397" t="s">
        <v>1145</v>
      </c>
      <c r="G7" s="398" t="s">
        <v>1146</v>
      </c>
      <c r="H7" s="399" t="s">
        <v>1147</v>
      </c>
      <c r="K7" s="396" t="s">
        <v>1143</v>
      </c>
      <c r="L7" s="396" t="s">
        <v>0</v>
      </c>
      <c r="M7" s="1743" t="s">
        <v>1144</v>
      </c>
      <c r="N7" s="1744"/>
      <c r="O7" s="423" t="s">
        <v>1177</v>
      </c>
      <c r="P7" s="423" t="s">
        <v>1178</v>
      </c>
      <c r="Q7" s="423" t="s">
        <v>1179</v>
      </c>
    </row>
    <row r="8" spans="2:17" ht="87.75" customHeight="1">
      <c r="B8" s="400"/>
      <c r="C8" s="401" t="s">
        <v>1148</v>
      </c>
      <c r="D8" s="1708" t="s">
        <v>1149</v>
      </c>
      <c r="E8" s="1716"/>
      <c r="F8" s="402">
        <v>9.0299999999999994</v>
      </c>
      <c r="G8" s="403">
        <f>ROUND(1960*(1-C36),2)</f>
        <v>1960</v>
      </c>
      <c r="H8" s="403">
        <f>ROUND(2155*(1-C36),2)</f>
        <v>2155</v>
      </c>
      <c r="K8" s="408"/>
      <c r="L8" s="401" t="s">
        <v>1180</v>
      </c>
      <c r="M8" s="1708" t="s">
        <v>1181</v>
      </c>
      <c r="N8" s="1716"/>
      <c r="O8" s="424">
        <v>5.58</v>
      </c>
      <c r="P8" s="403">
        <f>ROUND(1500*(1-L42),2)</f>
        <v>1500</v>
      </c>
      <c r="Q8" s="403">
        <f>ROUND(1725*(1-L42),2)</f>
        <v>1725</v>
      </c>
    </row>
    <row r="9" spans="2:17" ht="101.25" customHeight="1">
      <c r="B9" s="400"/>
      <c r="C9" s="401" t="s">
        <v>1150</v>
      </c>
      <c r="D9" s="1708" t="s">
        <v>1151</v>
      </c>
      <c r="E9" s="1716"/>
      <c r="F9" s="402">
        <v>9.6300000000000008</v>
      </c>
      <c r="G9" s="403">
        <f>ROUND(2630*(1-C36),2)</f>
        <v>2630</v>
      </c>
      <c r="H9" s="403">
        <f>ROUND(2890*(1-C36),2)</f>
        <v>2890</v>
      </c>
      <c r="K9" s="408"/>
      <c r="L9" s="401" t="s">
        <v>1182</v>
      </c>
      <c r="M9" s="1708" t="s">
        <v>1183</v>
      </c>
      <c r="N9" s="1716"/>
      <c r="O9" s="424">
        <v>6.03</v>
      </c>
      <c r="P9" s="403">
        <f>ROUND(2004*(1-L42),2)</f>
        <v>2004</v>
      </c>
      <c r="Q9" s="403">
        <f>ROUND(2308*(1-L42),2)</f>
        <v>2308</v>
      </c>
    </row>
    <row r="10" spans="2:17" ht="100.5" customHeight="1">
      <c r="B10" s="400"/>
      <c r="C10" s="401" t="s">
        <v>1152</v>
      </c>
      <c r="D10" s="1708" t="s">
        <v>1153</v>
      </c>
      <c r="E10" s="1709"/>
      <c r="F10" s="402">
        <v>3.54</v>
      </c>
      <c r="G10" s="403">
        <f>ROUND(910*(1-C36),2)</f>
        <v>910</v>
      </c>
      <c r="H10" s="403">
        <f>ROUND(1000*(1-C36),2)</f>
        <v>1000</v>
      </c>
      <c r="K10" s="408"/>
      <c r="L10" s="401" t="s">
        <v>1184</v>
      </c>
      <c r="M10" s="1708" t="s">
        <v>1185</v>
      </c>
      <c r="N10" s="1716"/>
      <c r="O10" s="424">
        <v>2.4500000000000002</v>
      </c>
      <c r="P10" s="403">
        <f>ROUND(815*(1-L42),2)</f>
        <v>815</v>
      </c>
      <c r="Q10" s="403">
        <f>ROUND(935*(1-L42),2)</f>
        <v>935</v>
      </c>
    </row>
    <row r="11" spans="2:17" ht="134.25" customHeight="1">
      <c r="B11" s="400"/>
      <c r="C11" s="401" t="s">
        <v>1154</v>
      </c>
      <c r="D11" s="1708" t="s">
        <v>1155</v>
      </c>
      <c r="E11" s="1709"/>
      <c r="F11" s="402">
        <v>3.84</v>
      </c>
      <c r="G11" s="403">
        <f>ROUND(1246*(1-C36),2)</f>
        <v>1246</v>
      </c>
      <c r="H11" s="403">
        <f>ROUND(1370*(1-C36),2)</f>
        <v>1370</v>
      </c>
      <c r="K11" s="408"/>
      <c r="L11" s="401" t="s">
        <v>1186</v>
      </c>
      <c r="M11" s="1708" t="s">
        <v>1187</v>
      </c>
      <c r="N11" s="1716"/>
      <c r="O11" s="424">
        <v>2.75</v>
      </c>
      <c r="P11" s="403">
        <f>ROUND(1150*(1-L42),2)</f>
        <v>1150</v>
      </c>
      <c r="Q11" s="403">
        <f>ROUND(1322*(1-L42),2)</f>
        <v>1322</v>
      </c>
    </row>
    <row r="12" spans="2:17" ht="79.5" customHeight="1">
      <c r="B12" s="404"/>
      <c r="C12" s="401" t="s">
        <v>1156</v>
      </c>
      <c r="D12" s="1708" t="s">
        <v>1157</v>
      </c>
      <c r="E12" s="1716"/>
      <c r="F12" s="405">
        <v>0.81</v>
      </c>
      <c r="G12" s="406">
        <f>ROUND(220*(1-C36),2)</f>
        <v>220</v>
      </c>
      <c r="H12" s="406">
        <f>ROUND(240*(1-C36),2)</f>
        <v>240</v>
      </c>
      <c r="K12" s="408"/>
      <c r="L12" s="401" t="s">
        <v>1188</v>
      </c>
      <c r="M12" s="1708" t="s">
        <v>1157</v>
      </c>
      <c r="N12" s="1716"/>
      <c r="O12" s="424">
        <v>0.55000000000000004</v>
      </c>
      <c r="P12" s="403">
        <f>ROUND(243*(1-L42),2)</f>
        <v>243</v>
      </c>
      <c r="Q12" s="403">
        <f>ROUND(280*(1-L42),2)</f>
        <v>280</v>
      </c>
    </row>
    <row r="13" spans="2:17" ht="90" customHeight="1">
      <c r="B13" s="407"/>
      <c r="C13" s="401" t="s">
        <v>1158</v>
      </c>
      <c r="D13" s="1703" t="s">
        <v>1159</v>
      </c>
      <c r="E13" s="1704"/>
      <c r="F13" s="405">
        <v>0.45</v>
      </c>
      <c r="G13" s="406">
        <f>ROUND(600*(1-C36),2)</f>
        <v>600</v>
      </c>
      <c r="H13" s="406">
        <f>ROUND(660*(1-C36),2)</f>
        <v>660</v>
      </c>
      <c r="K13" s="408"/>
      <c r="L13" s="401" t="s">
        <v>1189</v>
      </c>
      <c r="M13" s="1708" t="s">
        <v>1190</v>
      </c>
      <c r="N13" s="1716"/>
      <c r="O13" s="424"/>
      <c r="P13" s="1745">
        <f>ROUND(40*(1-L42),2)</f>
        <v>40</v>
      </c>
      <c r="Q13" s="1746"/>
    </row>
    <row r="14" spans="2:17" ht="79.5" customHeight="1">
      <c r="B14" s="408"/>
      <c r="C14" s="401" t="s">
        <v>1160</v>
      </c>
      <c r="D14" s="1703" t="s">
        <v>1161</v>
      </c>
      <c r="E14" s="1704"/>
      <c r="F14" s="405">
        <v>0.15</v>
      </c>
      <c r="G14" s="406">
        <f>ROUND(168*(1-C36),2)</f>
        <v>168</v>
      </c>
      <c r="H14" s="406">
        <f>ROUND(190*(1-C36),2)</f>
        <v>190</v>
      </c>
      <c r="K14" s="1717"/>
      <c r="L14" s="1753" t="s">
        <v>1191</v>
      </c>
      <c r="M14" s="1735" t="s">
        <v>1192</v>
      </c>
      <c r="N14" s="1736"/>
      <c r="O14" s="1731">
        <v>6.42</v>
      </c>
      <c r="P14" s="1733">
        <f>ROUND(2045*(1-L42),2)</f>
        <v>2045</v>
      </c>
      <c r="Q14" s="1733">
        <f>ROUND(2350*(1-L42),2)</f>
        <v>2350</v>
      </c>
    </row>
    <row r="15" spans="2:17" ht="39.75" customHeight="1">
      <c r="B15" s="1714"/>
      <c r="C15" s="401" t="s">
        <v>1162</v>
      </c>
      <c r="D15" s="1708" t="s">
        <v>1163</v>
      </c>
      <c r="E15" s="1709"/>
      <c r="F15" s="402">
        <v>19</v>
      </c>
      <c r="G15" s="1710">
        <f>ROUND(6600*(1-C36),2)</f>
        <v>6600</v>
      </c>
      <c r="H15" s="1711"/>
      <c r="K15" s="1742"/>
      <c r="L15" s="1754"/>
      <c r="M15" s="1755"/>
      <c r="N15" s="1756"/>
      <c r="O15" s="1739"/>
      <c r="P15" s="1740"/>
      <c r="Q15" s="1740"/>
    </row>
    <row r="16" spans="2:17" ht="57" customHeight="1">
      <c r="B16" s="1715"/>
      <c r="C16" s="401" t="s">
        <v>1164</v>
      </c>
      <c r="D16" s="1712" t="s">
        <v>1165</v>
      </c>
      <c r="E16" s="1713"/>
      <c r="F16" s="402">
        <v>8</v>
      </c>
      <c r="G16" s="1710">
        <f>ROUND(3500*(1-C36),2)</f>
        <v>3500</v>
      </c>
      <c r="H16" s="1711"/>
      <c r="K16" s="1717"/>
      <c r="L16" s="1691" t="s">
        <v>1193</v>
      </c>
      <c r="M16" s="1735" t="s">
        <v>1194</v>
      </c>
      <c r="N16" s="1736"/>
      <c r="O16" s="1731">
        <v>9.0399999999999991</v>
      </c>
      <c r="P16" s="1733">
        <f>ROUND(2617*(1-L42),2)</f>
        <v>2617</v>
      </c>
      <c r="Q16" s="1733">
        <f>ROUND(3010*(1-L42),2)</f>
        <v>3010</v>
      </c>
    </row>
    <row r="17" spans="2:17" ht="26.25" customHeight="1">
      <c r="B17" s="1705"/>
      <c r="C17" s="1691" t="s">
        <v>1166</v>
      </c>
      <c r="D17" s="1693" t="s">
        <v>1167</v>
      </c>
      <c r="E17" s="1694"/>
      <c r="F17" s="1697">
        <v>10.3</v>
      </c>
      <c r="G17" s="1699">
        <f>ROUND(7600*(1-C36),2)</f>
        <v>7600</v>
      </c>
      <c r="H17" s="1700"/>
      <c r="K17" s="1718"/>
      <c r="L17" s="1719"/>
      <c r="M17" s="1737"/>
      <c r="N17" s="1738"/>
      <c r="O17" s="1732"/>
      <c r="P17" s="1734"/>
      <c r="Q17" s="1734"/>
    </row>
    <row r="18" spans="2:17" ht="71.25" customHeight="1">
      <c r="B18" s="1706"/>
      <c r="C18" s="1692"/>
      <c r="D18" s="1695"/>
      <c r="E18" s="1696"/>
      <c r="F18" s="1698"/>
      <c r="G18" s="1701"/>
      <c r="H18" s="1702"/>
      <c r="K18" s="408"/>
      <c r="L18" s="401" t="s">
        <v>1195</v>
      </c>
      <c r="M18" s="1703" t="s">
        <v>1196</v>
      </c>
      <c r="N18" s="1752"/>
      <c r="O18" s="424">
        <v>9.0399999999999991</v>
      </c>
      <c r="P18" s="403">
        <v>2800</v>
      </c>
      <c r="Q18" s="403">
        <v>3220</v>
      </c>
    </row>
    <row r="19" spans="2:17" ht="54.75" customHeight="1">
      <c r="B19" s="1706"/>
      <c r="C19" s="1691" t="s">
        <v>1168</v>
      </c>
      <c r="D19" s="1693" t="s">
        <v>1169</v>
      </c>
      <c r="E19" s="1694"/>
      <c r="F19" s="1697">
        <v>20.399999999999999</v>
      </c>
      <c r="G19" s="1699">
        <f>ROUND(12000*(1-C36),2)</f>
        <v>12000</v>
      </c>
      <c r="H19" s="1700"/>
      <c r="K19" s="1717"/>
      <c r="L19" s="401" t="s">
        <v>1197</v>
      </c>
      <c r="M19" s="1747" t="s">
        <v>1198</v>
      </c>
      <c r="N19" s="1748"/>
      <c r="O19" s="424">
        <v>8.6999999999999993</v>
      </c>
      <c r="P19" s="403">
        <v>2600</v>
      </c>
      <c r="Q19" s="403">
        <v>2990</v>
      </c>
    </row>
    <row r="20" spans="2:17" ht="157.5" customHeight="1">
      <c r="B20" s="1707"/>
      <c r="C20" s="1692"/>
      <c r="D20" s="1695"/>
      <c r="E20" s="1696"/>
      <c r="F20" s="1698"/>
      <c r="G20" s="1701"/>
      <c r="H20" s="1702"/>
      <c r="K20" s="1741"/>
      <c r="L20" s="401" t="s">
        <v>1199</v>
      </c>
      <c r="M20" s="1747" t="s">
        <v>1200</v>
      </c>
      <c r="N20" s="1748"/>
      <c r="O20" s="424">
        <v>14.2</v>
      </c>
      <c r="P20" s="403">
        <v>4960</v>
      </c>
      <c r="Q20" s="403">
        <v>5704</v>
      </c>
    </row>
    <row r="21" spans="2:17" ht="111" customHeight="1">
      <c r="B21" s="409"/>
      <c r="C21" s="401" t="s">
        <v>1170</v>
      </c>
      <c r="D21" s="1703" t="s">
        <v>1171</v>
      </c>
      <c r="E21" s="1704"/>
      <c r="F21" s="405">
        <v>0.6</v>
      </c>
      <c r="G21" s="1710">
        <f>ROUND(750*(1-C36),2)</f>
        <v>750</v>
      </c>
      <c r="H21" s="1711"/>
      <c r="K21" s="1741"/>
      <c r="L21" s="401" t="s">
        <v>1201</v>
      </c>
      <c r="M21" s="1747" t="s">
        <v>1202</v>
      </c>
      <c r="N21" s="1748"/>
      <c r="O21" s="424">
        <v>8.3000000000000007</v>
      </c>
      <c r="P21" s="403">
        <v>2850</v>
      </c>
      <c r="Q21" s="403">
        <v>3277.5</v>
      </c>
    </row>
    <row r="22" spans="2:17" ht="45" customHeight="1">
      <c r="B22" s="410" t="s">
        <v>1172</v>
      </c>
      <c r="C22" s="392"/>
      <c r="D22" s="128"/>
      <c r="E22" s="128"/>
      <c r="F22" s="411"/>
      <c r="G22" s="412"/>
      <c r="H22" s="413"/>
      <c r="K22" s="1742"/>
      <c r="L22" s="401" t="s">
        <v>1203</v>
      </c>
      <c r="M22" s="1747" t="s">
        <v>1204</v>
      </c>
      <c r="N22" s="1748"/>
      <c r="O22" s="424">
        <v>13.6</v>
      </c>
      <c r="P22" s="403">
        <v>5160</v>
      </c>
      <c r="Q22" s="403">
        <v>5934</v>
      </c>
    </row>
    <row r="23" spans="2:17">
      <c r="B23" s="128" t="s">
        <v>1173</v>
      </c>
      <c r="C23" s="392"/>
      <c r="D23" s="128"/>
      <c r="E23" s="128"/>
      <c r="F23" s="411"/>
      <c r="G23" s="412"/>
      <c r="H23" s="413"/>
      <c r="K23" s="1720"/>
      <c r="L23" s="1725" t="s">
        <v>1205</v>
      </c>
      <c r="M23" s="1726"/>
      <c r="N23" s="1727"/>
      <c r="O23" s="1722" t="s">
        <v>21</v>
      </c>
      <c r="P23" s="425">
        <f>ROUND(3080*(1-L42),2)</f>
        <v>3080</v>
      </c>
      <c r="Q23" s="403">
        <v>3542</v>
      </c>
    </row>
    <row r="24" spans="2:17">
      <c r="B24" s="392"/>
      <c r="C24" s="392"/>
      <c r="D24" s="128"/>
      <c r="E24" s="128"/>
      <c r="F24" s="411"/>
      <c r="G24" s="414"/>
      <c r="H24" s="415"/>
      <c r="K24" s="1721"/>
      <c r="L24" s="1725" t="s">
        <v>1206</v>
      </c>
      <c r="M24" s="1726"/>
      <c r="N24" s="1727"/>
      <c r="O24" s="1723"/>
      <c r="P24" s="425">
        <f>ROUND(3080*(1-L42),2)</f>
        <v>3080</v>
      </c>
      <c r="Q24" s="403">
        <v>3542</v>
      </c>
    </row>
    <row r="25" spans="2:17">
      <c r="B25" s="416" t="s">
        <v>1174</v>
      </c>
      <c r="C25" s="417"/>
      <c r="D25" s="417"/>
      <c r="E25" s="417"/>
      <c r="F25" s="418"/>
      <c r="G25" s="417"/>
      <c r="H25" s="419"/>
      <c r="K25" s="1721"/>
      <c r="L25" s="1725" t="s">
        <v>1207</v>
      </c>
      <c r="M25" s="1726"/>
      <c r="N25" s="1727"/>
      <c r="O25" s="1723"/>
      <c r="P25" s="425">
        <f>ROUND(4640*(1-L42),2)</f>
        <v>4640</v>
      </c>
      <c r="Q25" s="403">
        <v>5336</v>
      </c>
    </row>
    <row r="26" spans="2:17">
      <c r="B26" s="420" t="s">
        <v>1175</v>
      </c>
      <c r="C26" s="417"/>
      <c r="D26" s="417"/>
      <c r="E26" s="417"/>
      <c r="F26" s="418"/>
      <c r="G26" s="417"/>
      <c r="H26" s="419"/>
      <c r="K26" s="1721"/>
      <c r="L26" s="1725" t="s">
        <v>1208</v>
      </c>
      <c r="M26" s="1726"/>
      <c r="N26" s="1727"/>
      <c r="O26" s="1723"/>
      <c r="P26" s="425">
        <f>ROUND(265*(1-L42),2)</f>
        <v>265</v>
      </c>
      <c r="Q26" s="403">
        <v>305</v>
      </c>
    </row>
    <row r="27" spans="2:17">
      <c r="K27" s="1721"/>
      <c r="L27" s="1728" t="s">
        <v>1209</v>
      </c>
      <c r="M27" s="1729"/>
      <c r="N27" s="1730"/>
      <c r="O27" s="1723"/>
      <c r="P27" s="426">
        <f>ROUND(400*(1-L42),2)</f>
        <v>400</v>
      </c>
      <c r="Q27" s="403">
        <v>460</v>
      </c>
    </row>
    <row r="28" spans="2:17">
      <c r="K28" s="1721"/>
      <c r="L28" s="1728" t="s">
        <v>1210</v>
      </c>
      <c r="M28" s="1729"/>
      <c r="N28" s="1730"/>
      <c r="O28" s="1723"/>
      <c r="P28" s="426">
        <f>ROUND(245*(1-L42),2)</f>
        <v>245</v>
      </c>
      <c r="Q28" s="403">
        <v>282</v>
      </c>
    </row>
    <row r="29" spans="2:17">
      <c r="K29" s="1721"/>
      <c r="L29" s="1728" t="s">
        <v>1211</v>
      </c>
      <c r="M29" s="1729"/>
      <c r="N29" s="1730"/>
      <c r="O29" s="1723"/>
      <c r="P29" s="426">
        <f>ROUND(280*(1-L42),2)</f>
        <v>280</v>
      </c>
      <c r="Q29" s="403">
        <v>322</v>
      </c>
    </row>
    <row r="30" spans="2:17">
      <c r="K30" s="1721"/>
      <c r="L30" s="1725" t="s">
        <v>1212</v>
      </c>
      <c r="M30" s="1726"/>
      <c r="N30" s="1727"/>
      <c r="O30" s="1724"/>
      <c r="P30" s="425">
        <f>ROUND(840*(1-L42),2)</f>
        <v>840</v>
      </c>
      <c r="Q30" s="424">
        <v>966</v>
      </c>
    </row>
    <row r="31" spans="2:17">
      <c r="K31" s="427"/>
      <c r="L31" s="428"/>
      <c r="M31" s="428"/>
      <c r="N31" s="428"/>
      <c r="O31" s="429"/>
      <c r="P31" s="430"/>
      <c r="Q31" s="430"/>
    </row>
    <row r="32" spans="2:17">
      <c r="K32" s="416" t="s">
        <v>1213</v>
      </c>
      <c r="L32" s="392"/>
      <c r="M32" s="392"/>
      <c r="N32" s="392"/>
      <c r="O32" s="422"/>
      <c r="P32" s="431"/>
      <c r="Q32" s="431"/>
    </row>
    <row r="33" spans="11:17">
      <c r="K33" s="416" t="s">
        <v>1214</v>
      </c>
      <c r="L33" s="392"/>
      <c r="M33" s="392"/>
      <c r="N33" s="392"/>
      <c r="O33" s="422"/>
      <c r="P33" s="431"/>
      <c r="Q33" s="431"/>
    </row>
  </sheetData>
  <mergeCells count="65">
    <mergeCell ref="C2:D2"/>
    <mergeCell ref="C3:D3"/>
    <mergeCell ref="C1:D1"/>
    <mergeCell ref="M18:N18"/>
    <mergeCell ref="M19:N19"/>
    <mergeCell ref="K14:K15"/>
    <mergeCell ref="L14:L15"/>
    <mergeCell ref="M14:N15"/>
    <mergeCell ref="K5:P5"/>
    <mergeCell ref="B5:H5"/>
    <mergeCell ref="D7:E7"/>
    <mergeCell ref="D8:E8"/>
    <mergeCell ref="D9:E9"/>
    <mergeCell ref="D10:E10"/>
    <mergeCell ref="D11:E11"/>
    <mergeCell ref="D12:E12"/>
    <mergeCell ref="O14:O15"/>
    <mergeCell ref="P14:P15"/>
    <mergeCell ref="Q14:Q15"/>
    <mergeCell ref="K19:K22"/>
    <mergeCell ref="M7:N7"/>
    <mergeCell ref="M8:N8"/>
    <mergeCell ref="P13:Q13"/>
    <mergeCell ref="M20:N20"/>
    <mergeCell ref="M21:N21"/>
    <mergeCell ref="M22:N22"/>
    <mergeCell ref="O16:O17"/>
    <mergeCell ref="P16:P17"/>
    <mergeCell ref="Q16:Q17"/>
    <mergeCell ref="L30:N30"/>
    <mergeCell ref="L23:N23"/>
    <mergeCell ref="L24:N24"/>
    <mergeCell ref="M16:N17"/>
    <mergeCell ref="K23:K30"/>
    <mergeCell ref="O23:O30"/>
    <mergeCell ref="L25:N25"/>
    <mergeCell ref="L26:N26"/>
    <mergeCell ref="L27:N27"/>
    <mergeCell ref="L28:N28"/>
    <mergeCell ref="L29:N29"/>
    <mergeCell ref="B15:B16"/>
    <mergeCell ref="M9:N9"/>
    <mergeCell ref="M10:N10"/>
    <mergeCell ref="M11:N11"/>
    <mergeCell ref="M12:N12"/>
    <mergeCell ref="M13:N13"/>
    <mergeCell ref="K16:K17"/>
    <mergeCell ref="L16:L17"/>
    <mergeCell ref="D15:E15"/>
    <mergeCell ref="G15:H15"/>
    <mergeCell ref="D16:E16"/>
    <mergeCell ref="G16:H16"/>
    <mergeCell ref="G17:H18"/>
    <mergeCell ref="D21:E21"/>
    <mergeCell ref="G21:H21"/>
    <mergeCell ref="C19:C20"/>
    <mergeCell ref="D19:E20"/>
    <mergeCell ref="F19:F20"/>
    <mergeCell ref="G19:H20"/>
    <mergeCell ref="D13:E13"/>
    <mergeCell ref="B17:B20"/>
    <mergeCell ref="C17:C18"/>
    <mergeCell ref="D17:E18"/>
    <mergeCell ref="F17:F18"/>
    <mergeCell ref="D14:E1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2" tint="-9.9978637043366805E-2"/>
    <pageSetUpPr fitToPage="1"/>
  </sheetPr>
  <dimension ref="B1:O70"/>
  <sheetViews>
    <sheetView topLeftCell="A40" workbookViewId="0">
      <selection activeCell="S13" sqref="S13"/>
    </sheetView>
  </sheetViews>
  <sheetFormatPr defaultRowHeight="15"/>
  <cols>
    <col min="1" max="1" width="4" customWidth="1"/>
    <col min="2" max="2" width="33" customWidth="1"/>
    <col min="5" max="5" width="5.140625" customWidth="1"/>
    <col min="6" max="6" width="45" customWidth="1"/>
    <col min="7" max="7" width="9.7109375" bestFit="1" customWidth="1"/>
    <col min="8" max="8" width="9.85546875" customWidth="1"/>
    <col min="9" max="9" width="4.42578125" customWidth="1"/>
    <col min="10" max="10" width="26.140625" customWidth="1"/>
    <col min="11" max="11" width="10.7109375" customWidth="1"/>
    <col min="12" max="12" width="10.28515625" customWidth="1"/>
    <col min="13" max="13" width="9" customWidth="1"/>
    <col min="14" max="14" width="8.28515625" customWidth="1"/>
  </cols>
  <sheetData>
    <row r="1" spans="2:15" ht="15.75" thickBot="1"/>
    <row r="2" spans="2:15" ht="30.75" customHeight="1" thickBot="1">
      <c r="B2" s="1023" t="s">
        <v>24</v>
      </c>
      <c r="C2" s="1029" t="s">
        <v>3</v>
      </c>
      <c r="D2" s="5" t="s">
        <v>1</v>
      </c>
      <c r="F2" s="1023" t="s">
        <v>1006</v>
      </c>
      <c r="G2" s="1044" t="s">
        <v>3</v>
      </c>
      <c r="H2" s="5" t="s">
        <v>1</v>
      </c>
      <c r="J2" s="1029" t="s">
        <v>1005</v>
      </c>
      <c r="K2" s="1031" t="s">
        <v>3</v>
      </c>
      <c r="L2" s="1032"/>
      <c r="M2" s="1031" t="s">
        <v>1</v>
      </c>
      <c r="N2" s="1033"/>
      <c r="O2" s="268"/>
    </row>
    <row r="3" spans="2:15" ht="17.25" customHeight="1" thickBot="1">
      <c r="B3" s="1024"/>
      <c r="C3" s="1046"/>
      <c r="D3" s="61">
        <v>0.37</v>
      </c>
      <c r="F3" s="1039"/>
      <c r="G3" s="1045"/>
      <c r="H3" s="60">
        <v>0.37</v>
      </c>
      <c r="J3" s="1030"/>
      <c r="K3" s="278" t="s">
        <v>966</v>
      </c>
      <c r="L3" s="279" t="s">
        <v>967</v>
      </c>
      <c r="M3" s="1034">
        <v>0.25</v>
      </c>
      <c r="N3" s="1035"/>
      <c r="O3" s="269"/>
    </row>
    <row r="4" spans="2:15" ht="17.25" customHeight="1">
      <c r="B4" s="23" t="s">
        <v>25</v>
      </c>
      <c r="C4" s="30">
        <v>880</v>
      </c>
      <c r="D4" s="31">
        <f>C4-(C4*D3)</f>
        <v>554.4</v>
      </c>
      <c r="F4" s="12" t="s">
        <v>25</v>
      </c>
      <c r="G4" s="44">
        <v>1052</v>
      </c>
      <c r="H4" s="27">
        <f>G4-(G4*H3)</f>
        <v>662.76</v>
      </c>
      <c r="J4" s="23" t="s">
        <v>25</v>
      </c>
      <c r="K4" s="30">
        <v>350</v>
      </c>
      <c r="L4" s="32">
        <v>395</v>
      </c>
      <c r="M4" s="280">
        <f>K4-(K4*$M$3)</f>
        <v>262.5</v>
      </c>
      <c r="N4" s="271">
        <f>L4-(L4*$M$3)</f>
        <v>296.25</v>
      </c>
      <c r="O4" s="270"/>
    </row>
    <row r="5" spans="2:15" ht="16.5" customHeight="1">
      <c r="B5" s="24" t="s">
        <v>26</v>
      </c>
      <c r="C5" s="33">
        <v>187</v>
      </c>
      <c r="D5" s="34">
        <f>C5-(C5*D3)</f>
        <v>117.81</v>
      </c>
      <c r="F5" s="13" t="s">
        <v>26</v>
      </c>
      <c r="G5" s="45">
        <v>190</v>
      </c>
      <c r="H5" s="28">
        <f>G5-(G5*H3)</f>
        <v>119.7</v>
      </c>
      <c r="J5" s="24" t="s">
        <v>952</v>
      </c>
      <c r="K5" s="41">
        <v>427</v>
      </c>
      <c r="L5" s="35">
        <v>480</v>
      </c>
      <c r="M5" s="274">
        <f t="shared" ref="M5:M19" si="0">K5-(K5*$M$3)</f>
        <v>320.25</v>
      </c>
      <c r="N5" s="276">
        <f t="shared" ref="N5:N19" si="1">L5-(L5*$M$3)</f>
        <v>360</v>
      </c>
      <c r="O5" s="270"/>
    </row>
    <row r="6" spans="2:15" ht="14.25" customHeight="1">
      <c r="B6" s="24" t="s">
        <v>27</v>
      </c>
      <c r="C6" s="33">
        <v>156</v>
      </c>
      <c r="D6" s="34">
        <f>C6-(C6*D3)</f>
        <v>98.28</v>
      </c>
      <c r="F6" s="13" t="s">
        <v>27</v>
      </c>
      <c r="G6" s="45">
        <v>161</v>
      </c>
      <c r="H6" s="28">
        <f>G6-(G6*H3)</f>
        <v>101.43</v>
      </c>
      <c r="J6" s="24" t="s">
        <v>88</v>
      </c>
      <c r="K6" s="41">
        <v>220</v>
      </c>
      <c r="L6" s="35">
        <v>238</v>
      </c>
      <c r="M6" s="274">
        <f t="shared" si="0"/>
        <v>165</v>
      </c>
      <c r="N6" s="276">
        <f t="shared" si="1"/>
        <v>178.5</v>
      </c>
      <c r="O6" s="270"/>
    </row>
    <row r="7" spans="2:15" ht="15" customHeight="1">
      <c r="B7" s="24" t="s">
        <v>28</v>
      </c>
      <c r="C7" s="33">
        <v>795</v>
      </c>
      <c r="D7" s="34">
        <f>C7-(C7*D3)</f>
        <v>500.85</v>
      </c>
      <c r="F7" s="13" t="s">
        <v>28</v>
      </c>
      <c r="G7" s="45">
        <v>914</v>
      </c>
      <c r="H7" s="28">
        <f>G7-(G7*H3)</f>
        <v>575.81999999999994</v>
      </c>
      <c r="J7" s="24" t="s">
        <v>953</v>
      </c>
      <c r="K7" s="41">
        <v>125</v>
      </c>
      <c r="L7" s="35">
        <v>135</v>
      </c>
      <c r="M7" s="274">
        <f t="shared" si="0"/>
        <v>93.75</v>
      </c>
      <c r="N7" s="276">
        <f t="shared" si="1"/>
        <v>101.25</v>
      </c>
      <c r="O7" s="270"/>
    </row>
    <row r="8" spans="2:15" ht="14.25" customHeight="1">
      <c r="B8" s="24" t="s">
        <v>29</v>
      </c>
      <c r="C8" s="33">
        <v>1224</v>
      </c>
      <c r="D8" s="34">
        <f>C8-(C8*D3)</f>
        <v>771.12</v>
      </c>
      <c r="F8" s="13" t="s">
        <v>29</v>
      </c>
      <c r="G8" s="45">
        <v>1650</v>
      </c>
      <c r="H8" s="28">
        <f>G8-(G8*H3)</f>
        <v>1039.5</v>
      </c>
      <c r="J8" s="24" t="s">
        <v>954</v>
      </c>
      <c r="K8" s="41">
        <v>60</v>
      </c>
      <c r="L8" s="35">
        <v>65</v>
      </c>
      <c r="M8" s="274">
        <f t="shared" si="0"/>
        <v>45</v>
      </c>
      <c r="N8" s="276">
        <f t="shared" si="1"/>
        <v>48.75</v>
      </c>
      <c r="O8" s="270"/>
    </row>
    <row r="9" spans="2:15" ht="15" customHeight="1">
      <c r="B9" s="24" t="s">
        <v>30</v>
      </c>
      <c r="C9" s="33">
        <v>363</v>
      </c>
      <c r="D9" s="34">
        <f>C9-(C9*D3)</f>
        <v>228.69</v>
      </c>
      <c r="F9" s="13" t="s">
        <v>30</v>
      </c>
      <c r="G9" s="45">
        <v>368</v>
      </c>
      <c r="H9" s="28">
        <f>G9-(G9*H3)</f>
        <v>231.84</v>
      </c>
      <c r="J9" s="24" t="s">
        <v>955</v>
      </c>
      <c r="K9" s="41">
        <v>190</v>
      </c>
      <c r="L9" s="35">
        <v>210</v>
      </c>
      <c r="M9" s="274">
        <f t="shared" si="0"/>
        <v>142.5</v>
      </c>
      <c r="N9" s="276">
        <f t="shared" si="1"/>
        <v>157.5</v>
      </c>
      <c r="O9" s="270"/>
    </row>
    <row r="10" spans="2:15" ht="16.5" customHeight="1">
      <c r="B10" s="24" t="s">
        <v>31</v>
      </c>
      <c r="C10" s="33">
        <v>1307</v>
      </c>
      <c r="D10" s="34">
        <f>C10-(C10*D3)</f>
        <v>823.41000000000008</v>
      </c>
      <c r="F10" s="13" t="s">
        <v>31</v>
      </c>
      <c r="G10" s="45">
        <v>1324</v>
      </c>
      <c r="H10" s="28">
        <f>G10-(G10*H3)</f>
        <v>834.12</v>
      </c>
      <c r="J10" s="24" t="s">
        <v>956</v>
      </c>
      <c r="K10" s="41">
        <v>650</v>
      </c>
      <c r="L10" s="35">
        <v>705</v>
      </c>
      <c r="M10" s="274">
        <f t="shared" si="0"/>
        <v>487.5</v>
      </c>
      <c r="N10" s="276">
        <f t="shared" si="1"/>
        <v>528.75</v>
      </c>
      <c r="O10" s="270"/>
    </row>
    <row r="11" spans="2:15" ht="17.25" customHeight="1">
      <c r="B11" s="24" t="s">
        <v>32</v>
      </c>
      <c r="C11" s="33">
        <v>167</v>
      </c>
      <c r="D11" s="34">
        <f>C11-(C11*D3)</f>
        <v>105.21000000000001</v>
      </c>
      <c r="F11" s="13" t="s">
        <v>32</v>
      </c>
      <c r="G11" s="45">
        <v>172</v>
      </c>
      <c r="H11" s="28">
        <f>G11-(G11*H3)</f>
        <v>108.36</v>
      </c>
      <c r="J11" s="24" t="s">
        <v>957</v>
      </c>
      <c r="K11" s="41">
        <v>45</v>
      </c>
      <c r="L11" s="35">
        <v>48</v>
      </c>
      <c r="M11" s="274">
        <f t="shared" si="0"/>
        <v>33.75</v>
      </c>
      <c r="N11" s="276">
        <f t="shared" si="1"/>
        <v>36</v>
      </c>
      <c r="O11" s="270"/>
    </row>
    <row r="12" spans="2:15" ht="16.5" customHeight="1">
      <c r="B12" s="24" t="s">
        <v>33</v>
      </c>
      <c r="C12" s="33">
        <v>130</v>
      </c>
      <c r="D12" s="34">
        <f>C12-(C12*D3)</f>
        <v>81.900000000000006</v>
      </c>
      <c r="F12" s="13" t="s">
        <v>1027</v>
      </c>
      <c r="G12" s="45">
        <v>154</v>
      </c>
      <c r="H12" s="28">
        <f>G12-(G12*H3)</f>
        <v>97.02000000000001</v>
      </c>
      <c r="J12" s="24" t="s">
        <v>958</v>
      </c>
      <c r="K12" s="41">
        <v>145</v>
      </c>
      <c r="L12" s="35">
        <v>150</v>
      </c>
      <c r="M12" s="274">
        <f t="shared" si="0"/>
        <v>108.75</v>
      </c>
      <c r="N12" s="276">
        <f t="shared" si="1"/>
        <v>112.5</v>
      </c>
      <c r="O12" s="270"/>
    </row>
    <row r="13" spans="2:15" ht="18" customHeight="1">
      <c r="B13" s="24" t="s">
        <v>34</v>
      </c>
      <c r="C13" s="33">
        <v>1545</v>
      </c>
      <c r="D13" s="34">
        <f>C13-(C13*D3)</f>
        <v>973.35</v>
      </c>
      <c r="F13" s="13" t="s">
        <v>34</v>
      </c>
      <c r="G13" s="45">
        <v>1586</v>
      </c>
      <c r="H13" s="28">
        <f>G13-(G13*H3)</f>
        <v>999.18000000000006</v>
      </c>
      <c r="J13" s="24" t="s">
        <v>959</v>
      </c>
      <c r="K13" s="41">
        <v>58</v>
      </c>
      <c r="L13" s="35">
        <v>62</v>
      </c>
      <c r="M13" s="274">
        <f t="shared" si="0"/>
        <v>43.5</v>
      </c>
      <c r="N13" s="276">
        <f t="shared" si="1"/>
        <v>46.5</v>
      </c>
      <c r="O13" s="270"/>
    </row>
    <row r="14" spans="2:15" ht="18.75" customHeight="1">
      <c r="B14" s="24" t="s">
        <v>35</v>
      </c>
      <c r="C14" s="33">
        <v>1176</v>
      </c>
      <c r="D14" s="34">
        <f>C14-(C14*D3)</f>
        <v>740.88</v>
      </c>
      <c r="F14" s="13" t="s">
        <v>35</v>
      </c>
      <c r="G14" s="45">
        <v>1265</v>
      </c>
      <c r="H14" s="28">
        <f>G14-(G14*H3)</f>
        <v>796.95</v>
      </c>
      <c r="J14" s="24" t="s">
        <v>960</v>
      </c>
      <c r="K14" s="41">
        <v>46</v>
      </c>
      <c r="L14" s="35">
        <v>50</v>
      </c>
      <c r="M14" s="274">
        <f t="shared" si="0"/>
        <v>34.5</v>
      </c>
      <c r="N14" s="276">
        <f t="shared" si="1"/>
        <v>37.5</v>
      </c>
      <c r="O14" s="270"/>
    </row>
    <row r="15" spans="2:15" ht="18" customHeight="1">
      <c r="B15" s="24" t="s">
        <v>36</v>
      </c>
      <c r="C15" s="33">
        <v>414</v>
      </c>
      <c r="D15" s="34">
        <f>C15-(C15*D3)</f>
        <v>260.82</v>
      </c>
      <c r="F15" s="13" t="s">
        <v>36</v>
      </c>
      <c r="G15" s="45">
        <v>422</v>
      </c>
      <c r="H15" s="28">
        <f>G15-(G15*H3)</f>
        <v>265.86</v>
      </c>
      <c r="J15" s="24" t="s">
        <v>77</v>
      </c>
      <c r="K15" s="41">
        <v>140</v>
      </c>
      <c r="L15" s="35">
        <v>150</v>
      </c>
      <c r="M15" s="274">
        <f t="shared" si="0"/>
        <v>105</v>
      </c>
      <c r="N15" s="276">
        <f t="shared" si="1"/>
        <v>112.5</v>
      </c>
      <c r="O15" s="270"/>
    </row>
    <row r="16" spans="2:15" ht="18" customHeight="1">
      <c r="B16" s="24" t="s">
        <v>37</v>
      </c>
      <c r="C16" s="33">
        <v>370</v>
      </c>
      <c r="D16" s="34">
        <f>C16-(C16*D3)</f>
        <v>233.1</v>
      </c>
      <c r="F16" s="13" t="s">
        <v>37</v>
      </c>
      <c r="G16" s="45">
        <v>380</v>
      </c>
      <c r="H16" s="28">
        <f>G16-(G16*H3)</f>
        <v>239.4</v>
      </c>
      <c r="J16" s="24" t="s">
        <v>961</v>
      </c>
      <c r="K16" s="41">
        <v>140</v>
      </c>
      <c r="L16" s="35">
        <v>150</v>
      </c>
      <c r="M16" s="274">
        <f t="shared" si="0"/>
        <v>105</v>
      </c>
      <c r="N16" s="276">
        <f t="shared" si="1"/>
        <v>112.5</v>
      </c>
      <c r="O16" s="270"/>
    </row>
    <row r="17" spans="2:15" ht="18" customHeight="1">
      <c r="B17" s="24" t="s">
        <v>38</v>
      </c>
      <c r="C17" s="33">
        <v>398</v>
      </c>
      <c r="D17" s="34">
        <f>C17-(C17*D3)</f>
        <v>250.74</v>
      </c>
      <c r="F17" s="13" t="s">
        <v>38</v>
      </c>
      <c r="G17" s="45">
        <v>404</v>
      </c>
      <c r="H17" s="28">
        <f>G17-(G17*H3)</f>
        <v>254.52</v>
      </c>
      <c r="J17" s="24" t="s">
        <v>962</v>
      </c>
      <c r="K17" s="41">
        <v>130</v>
      </c>
      <c r="L17" s="35">
        <v>145</v>
      </c>
      <c r="M17" s="274">
        <f t="shared" si="0"/>
        <v>97.5</v>
      </c>
      <c r="N17" s="276">
        <f t="shared" si="1"/>
        <v>108.75</v>
      </c>
      <c r="O17" s="270"/>
    </row>
    <row r="18" spans="2:15" ht="18" customHeight="1">
      <c r="B18" s="24" t="s">
        <v>39</v>
      </c>
      <c r="C18" s="33">
        <v>232</v>
      </c>
      <c r="D18" s="34">
        <f>C18-(C18*D3)</f>
        <v>146.16</v>
      </c>
      <c r="F18" s="13" t="s">
        <v>39</v>
      </c>
      <c r="G18" s="45">
        <v>238</v>
      </c>
      <c r="H18" s="28">
        <f>G18-(G18*H3)</f>
        <v>149.94</v>
      </c>
      <c r="J18" s="24" t="s">
        <v>963</v>
      </c>
      <c r="K18" s="41">
        <v>75</v>
      </c>
      <c r="L18" s="35">
        <v>80</v>
      </c>
      <c r="M18" s="274">
        <f t="shared" si="0"/>
        <v>56.25</v>
      </c>
      <c r="N18" s="276">
        <f t="shared" si="1"/>
        <v>60</v>
      </c>
      <c r="O18" s="270"/>
    </row>
    <row r="19" spans="2:15" ht="19.5" customHeight="1" thickBot="1">
      <c r="B19" s="24" t="s">
        <v>40</v>
      </c>
      <c r="C19" s="41">
        <v>157</v>
      </c>
      <c r="D19" s="34">
        <f>C19-(C19*D3)</f>
        <v>98.91</v>
      </c>
      <c r="F19" s="13" t="s">
        <v>40</v>
      </c>
      <c r="G19" s="45">
        <v>161</v>
      </c>
      <c r="H19" s="28">
        <f>G19-(G19*H3)</f>
        <v>101.43</v>
      </c>
      <c r="J19" s="25" t="s">
        <v>964</v>
      </c>
      <c r="K19" s="41">
        <v>190</v>
      </c>
      <c r="L19" s="35">
        <v>190</v>
      </c>
      <c r="M19" s="274">
        <f t="shared" si="0"/>
        <v>142.5</v>
      </c>
      <c r="N19" s="276">
        <f t="shared" si="1"/>
        <v>142.5</v>
      </c>
      <c r="O19" s="270"/>
    </row>
    <row r="20" spans="2:15" ht="15.75" thickBot="1">
      <c r="B20" s="354" t="s">
        <v>100</v>
      </c>
      <c r="C20" s="36">
        <v>291</v>
      </c>
      <c r="D20" s="37">
        <f>C20-(C20*D3)</f>
        <v>183.32999999999998</v>
      </c>
      <c r="F20" s="14" t="s">
        <v>100</v>
      </c>
      <c r="G20" s="46">
        <v>303</v>
      </c>
      <c r="H20" s="29">
        <f>G20-(G20*H3)</f>
        <v>190.89</v>
      </c>
      <c r="J20" s="25" t="s">
        <v>965</v>
      </c>
      <c r="K20" s="1025">
        <v>44</v>
      </c>
      <c r="L20" s="1026"/>
      <c r="M20" s="1027">
        <f>K20-(K20*M3)</f>
        <v>33</v>
      </c>
      <c r="N20" s="1028"/>
      <c r="O20" s="270"/>
    </row>
    <row r="21" spans="2:15" ht="15.75" thickBot="1"/>
    <row r="22" spans="2:15" ht="30.75" customHeight="1" thickBot="1">
      <c r="B22" s="1040" t="s">
        <v>41</v>
      </c>
      <c r="C22" s="5" t="s">
        <v>3</v>
      </c>
      <c r="D22" s="5" t="s">
        <v>1</v>
      </c>
      <c r="F22" s="1041" t="s">
        <v>1257</v>
      </c>
      <c r="G22" s="5" t="s">
        <v>3</v>
      </c>
      <c r="H22" s="5" t="s">
        <v>1</v>
      </c>
      <c r="J22" s="1029" t="s">
        <v>1258</v>
      </c>
      <c r="K22" s="1031" t="s">
        <v>3</v>
      </c>
      <c r="L22" s="1032"/>
      <c r="M22" s="1031" t="s">
        <v>1</v>
      </c>
      <c r="N22" s="1033"/>
    </row>
    <row r="23" spans="2:15" ht="15.75" thickBot="1">
      <c r="B23" s="1024"/>
      <c r="C23" s="39"/>
      <c r="D23" s="62">
        <v>0.34</v>
      </c>
      <c r="F23" s="1030"/>
      <c r="G23" s="26"/>
      <c r="H23" s="60">
        <v>0.4</v>
      </c>
      <c r="J23" s="1030"/>
      <c r="K23" s="267" t="s">
        <v>966</v>
      </c>
      <c r="L23" s="267" t="s">
        <v>1261</v>
      </c>
      <c r="M23" s="1047">
        <v>0.25</v>
      </c>
      <c r="N23" s="1048"/>
    </row>
    <row r="24" spans="2:15" ht="15.75" thickBot="1">
      <c r="B24" s="2" t="s">
        <v>42</v>
      </c>
      <c r="C24" s="30">
        <v>870</v>
      </c>
      <c r="D24" s="31">
        <f>C24-(C24*D23)</f>
        <v>574.20000000000005</v>
      </c>
      <c r="F24" s="336" t="s">
        <v>71</v>
      </c>
      <c r="G24" s="435">
        <v>954</v>
      </c>
      <c r="H24" s="436">
        <f>G24-(G24*$H$23)</f>
        <v>572.4</v>
      </c>
      <c r="J24" s="23" t="s">
        <v>1260</v>
      </c>
      <c r="K24" s="30">
        <v>490</v>
      </c>
      <c r="L24" s="32">
        <v>515</v>
      </c>
      <c r="M24" s="277">
        <f>K24-(K24*M23)</f>
        <v>367.5</v>
      </c>
      <c r="N24" s="272">
        <f>L24-(L24*$M$3)</f>
        <v>386.25</v>
      </c>
    </row>
    <row r="25" spans="2:15" ht="15.75" thickBot="1">
      <c r="B25" s="3" t="s">
        <v>43</v>
      </c>
      <c r="C25" s="41">
        <v>165</v>
      </c>
      <c r="D25" s="34">
        <f>C25-(C25*D23)</f>
        <v>108.9</v>
      </c>
      <c r="F25" s="337" t="s">
        <v>81</v>
      </c>
      <c r="G25" s="437">
        <v>165</v>
      </c>
      <c r="H25" s="438">
        <f t="shared" ref="H25:H46" si="2">G25-(G25*$H$23)</f>
        <v>99</v>
      </c>
      <c r="J25" s="24" t="s">
        <v>1259</v>
      </c>
      <c r="K25" s="41">
        <v>585</v>
      </c>
      <c r="L25" s="35">
        <v>610</v>
      </c>
      <c r="M25" s="30">
        <f>K25-(K25*M23)</f>
        <v>438.75</v>
      </c>
      <c r="N25" s="273">
        <f t="shared" ref="N25:N39" si="3">L25-(L25*$M$3)</f>
        <v>457.5</v>
      </c>
    </row>
    <row r="26" spans="2:15" ht="15.75" thickBot="1">
      <c r="B26" s="3" t="s">
        <v>44</v>
      </c>
      <c r="C26" s="41">
        <v>130</v>
      </c>
      <c r="D26" s="34">
        <f>C26-(C26*D23)</f>
        <v>85.8</v>
      </c>
      <c r="F26" s="337" t="s">
        <v>72</v>
      </c>
      <c r="G26" s="437">
        <v>189</v>
      </c>
      <c r="H26" s="438">
        <f t="shared" si="2"/>
        <v>113.39999999999999</v>
      </c>
      <c r="J26" s="24" t="s">
        <v>88</v>
      </c>
      <c r="K26" s="41">
        <v>350</v>
      </c>
      <c r="L26" s="35">
        <v>370</v>
      </c>
      <c r="M26" s="277">
        <f>K26-(K26*M23)</f>
        <v>262.5</v>
      </c>
      <c r="N26" s="273">
        <f t="shared" si="3"/>
        <v>277.5</v>
      </c>
    </row>
    <row r="27" spans="2:15" ht="15.75" thickBot="1">
      <c r="B27" s="3" t="s">
        <v>45</v>
      </c>
      <c r="C27" s="41">
        <v>160</v>
      </c>
      <c r="D27" s="34">
        <f>C27-(C27*D23)</f>
        <v>105.6</v>
      </c>
      <c r="F27" s="338" t="s">
        <v>63</v>
      </c>
      <c r="G27" s="437">
        <v>119</v>
      </c>
      <c r="H27" s="438">
        <f t="shared" si="2"/>
        <v>71.400000000000006</v>
      </c>
      <c r="J27" s="24" t="s">
        <v>953</v>
      </c>
      <c r="K27" s="41">
        <v>135</v>
      </c>
      <c r="L27" s="35">
        <v>145</v>
      </c>
      <c r="M27" s="277">
        <f>K27-(K27*M23)</f>
        <v>101.25</v>
      </c>
      <c r="N27" s="273">
        <f t="shared" si="3"/>
        <v>108.75</v>
      </c>
    </row>
    <row r="28" spans="2:15" ht="15.75" thickBot="1">
      <c r="B28" s="3" t="s">
        <v>46</v>
      </c>
      <c r="C28" s="41">
        <v>190</v>
      </c>
      <c r="D28" s="34">
        <f>C28-(C28*D23)</f>
        <v>125.39999999999999</v>
      </c>
      <c r="F28" s="339" t="s">
        <v>64</v>
      </c>
      <c r="G28" s="437">
        <v>124</v>
      </c>
      <c r="H28" s="438">
        <f t="shared" si="2"/>
        <v>74.400000000000006</v>
      </c>
      <c r="J28" s="24" t="s">
        <v>954</v>
      </c>
      <c r="K28" s="41">
        <v>80</v>
      </c>
      <c r="L28" s="35">
        <v>85</v>
      </c>
      <c r="M28" s="277">
        <f>K28-(K28*M23)</f>
        <v>60</v>
      </c>
      <c r="N28" s="273">
        <f t="shared" si="3"/>
        <v>63.75</v>
      </c>
    </row>
    <row r="29" spans="2:15" ht="15.75" thickBot="1">
      <c r="B29" s="3" t="s">
        <v>47</v>
      </c>
      <c r="C29" s="41">
        <v>790</v>
      </c>
      <c r="D29" s="34">
        <f>C29-(C29*D23)</f>
        <v>521.4</v>
      </c>
      <c r="F29" s="339" t="s">
        <v>65</v>
      </c>
      <c r="G29" s="437" t="s">
        <v>21</v>
      </c>
      <c r="H29" s="438" t="s">
        <v>21</v>
      </c>
      <c r="J29" s="24" t="s">
        <v>1262</v>
      </c>
      <c r="K29" s="41">
        <v>250</v>
      </c>
      <c r="L29" s="35">
        <v>257</v>
      </c>
      <c r="M29" s="277">
        <f>K29-(K29*M23)</f>
        <v>187.5</v>
      </c>
      <c r="N29" s="273">
        <f t="shared" si="3"/>
        <v>192.75</v>
      </c>
    </row>
    <row r="30" spans="2:15" ht="15.75" thickBot="1">
      <c r="B30" s="3" t="s">
        <v>48</v>
      </c>
      <c r="C30" s="41">
        <v>790</v>
      </c>
      <c r="D30" s="34">
        <f>C30-(C30*D23)</f>
        <v>521.4</v>
      </c>
      <c r="F30" s="339" t="s">
        <v>66</v>
      </c>
      <c r="G30" s="437">
        <v>377</v>
      </c>
      <c r="H30" s="438">
        <f t="shared" si="2"/>
        <v>226.2</v>
      </c>
      <c r="J30" s="24" t="s">
        <v>956</v>
      </c>
      <c r="K30" s="41">
        <v>690</v>
      </c>
      <c r="L30" s="35">
        <v>720</v>
      </c>
      <c r="M30" s="277">
        <f>K30-(K30*M23)</f>
        <v>517.5</v>
      </c>
      <c r="N30" s="273">
        <f t="shared" si="3"/>
        <v>540</v>
      </c>
    </row>
    <row r="31" spans="2:15" ht="15.75" thickBot="1">
      <c r="B31" s="3" t="s">
        <v>49</v>
      </c>
      <c r="C31" s="41">
        <v>1315</v>
      </c>
      <c r="D31" s="34">
        <f>C31-(C31*D23)</f>
        <v>867.9</v>
      </c>
      <c r="F31" s="339" t="s">
        <v>67</v>
      </c>
      <c r="G31" s="437">
        <v>504</v>
      </c>
      <c r="H31" s="438">
        <f t="shared" si="2"/>
        <v>302.39999999999998</v>
      </c>
      <c r="J31" s="24" t="s">
        <v>957</v>
      </c>
      <c r="K31" s="41">
        <v>64</v>
      </c>
      <c r="L31" s="35">
        <v>67</v>
      </c>
      <c r="M31" s="277">
        <f>K31-(K31*M23)</f>
        <v>48</v>
      </c>
      <c r="N31" s="273">
        <f t="shared" si="3"/>
        <v>50.25</v>
      </c>
    </row>
    <row r="32" spans="2:15" ht="15.75" thickBot="1">
      <c r="B32" s="3" t="s">
        <v>50</v>
      </c>
      <c r="C32" s="41">
        <v>1315</v>
      </c>
      <c r="D32" s="34">
        <f>C32-(C32*D23)</f>
        <v>867.9</v>
      </c>
      <c r="F32" s="339" t="s">
        <v>344</v>
      </c>
      <c r="G32" s="437">
        <v>1148</v>
      </c>
      <c r="H32" s="438">
        <f t="shared" si="2"/>
        <v>688.8</v>
      </c>
      <c r="J32" s="24" t="s">
        <v>958</v>
      </c>
      <c r="K32" s="41">
        <v>145</v>
      </c>
      <c r="L32" s="35">
        <v>150</v>
      </c>
      <c r="M32" s="277">
        <f>K32-(K32*M23)</f>
        <v>108.75</v>
      </c>
      <c r="N32" s="273">
        <f t="shared" si="3"/>
        <v>112.5</v>
      </c>
    </row>
    <row r="33" spans="2:14">
      <c r="B33" s="3" t="s">
        <v>51</v>
      </c>
      <c r="C33" s="41">
        <v>290</v>
      </c>
      <c r="D33" s="34">
        <f>C33-(C33*D23)</f>
        <v>191.39999999999998</v>
      </c>
      <c r="F33" s="339" t="s">
        <v>345</v>
      </c>
      <c r="G33" s="437">
        <v>2295</v>
      </c>
      <c r="H33" s="438">
        <f t="shared" si="2"/>
        <v>1377</v>
      </c>
      <c r="J33" s="24" t="s">
        <v>959</v>
      </c>
      <c r="K33" s="41">
        <v>84</v>
      </c>
      <c r="L33" s="35">
        <v>86</v>
      </c>
      <c r="M33" s="277">
        <f>K33-(K33*M23)</f>
        <v>63</v>
      </c>
      <c r="N33" s="273">
        <f t="shared" si="3"/>
        <v>64.5</v>
      </c>
    </row>
    <row r="34" spans="2:14" ht="14.25" customHeight="1">
      <c r="B34" s="3" t="s">
        <v>52</v>
      </c>
      <c r="C34" s="41">
        <v>360</v>
      </c>
      <c r="D34" s="34">
        <f>C34-(C34*D23)</f>
        <v>237.6</v>
      </c>
      <c r="F34" s="339" t="s">
        <v>68</v>
      </c>
      <c r="G34" s="437">
        <v>3304</v>
      </c>
      <c r="H34" s="438">
        <f t="shared" si="2"/>
        <v>1982.3999999999999</v>
      </c>
      <c r="J34" s="24" t="s">
        <v>1263</v>
      </c>
      <c r="K34" s="1053">
        <v>200</v>
      </c>
      <c r="L34" s="1054"/>
      <c r="M34" s="1055">
        <v>164</v>
      </c>
      <c r="N34" s="1054"/>
    </row>
    <row r="35" spans="2:14">
      <c r="B35" s="3" t="s">
        <v>53</v>
      </c>
      <c r="C35" s="41">
        <v>470</v>
      </c>
      <c r="D35" s="34">
        <f>C35-(C35*D23)</f>
        <v>310.2</v>
      </c>
      <c r="F35" s="339" t="s">
        <v>82</v>
      </c>
      <c r="G35" s="437">
        <v>600</v>
      </c>
      <c r="H35" s="438">
        <f t="shared" si="2"/>
        <v>360</v>
      </c>
      <c r="J35" s="24" t="s">
        <v>77</v>
      </c>
      <c r="K35" s="41">
        <v>190</v>
      </c>
      <c r="L35" s="35">
        <v>199</v>
      </c>
      <c r="M35" s="275">
        <f>K35-(K35*M23)</f>
        <v>142.5</v>
      </c>
      <c r="N35" s="273">
        <f t="shared" si="3"/>
        <v>149.25</v>
      </c>
    </row>
    <row r="36" spans="2:14">
      <c r="B36" s="3" t="s">
        <v>54</v>
      </c>
      <c r="C36" s="41">
        <v>1370</v>
      </c>
      <c r="D36" s="34">
        <f>C36-(C36*D23)</f>
        <v>904.2</v>
      </c>
      <c r="F36" s="338" t="s">
        <v>69</v>
      </c>
      <c r="G36" s="437">
        <v>208</v>
      </c>
      <c r="H36" s="438">
        <f t="shared" si="2"/>
        <v>124.8</v>
      </c>
      <c r="J36" s="24" t="s">
        <v>961</v>
      </c>
      <c r="K36" s="41">
        <v>190</v>
      </c>
      <c r="L36" s="35">
        <v>199</v>
      </c>
      <c r="M36" s="275">
        <f>K36-(K36*M23)</f>
        <v>142.5</v>
      </c>
      <c r="N36" s="273">
        <f t="shared" si="3"/>
        <v>149.25</v>
      </c>
    </row>
    <row r="37" spans="2:14" ht="15.75" thickBot="1">
      <c r="B37" s="3" t="s">
        <v>55</v>
      </c>
      <c r="C37" s="41">
        <v>1200</v>
      </c>
      <c r="D37" s="34">
        <f>C37-(C37*D23)</f>
        <v>792</v>
      </c>
      <c r="F37" s="342" t="s">
        <v>70</v>
      </c>
      <c r="G37" s="439">
        <v>208</v>
      </c>
      <c r="H37" s="440">
        <f t="shared" si="2"/>
        <v>124.8</v>
      </c>
      <c r="J37" s="24" t="s">
        <v>962</v>
      </c>
      <c r="K37" s="41">
        <v>212</v>
      </c>
      <c r="L37" s="35">
        <v>225</v>
      </c>
      <c r="M37" s="275">
        <f>K37-(K37*M23)</f>
        <v>159</v>
      </c>
      <c r="N37" s="273">
        <f t="shared" si="3"/>
        <v>168.75</v>
      </c>
    </row>
    <row r="38" spans="2:14" ht="15.75" thickBot="1">
      <c r="B38" s="3" t="s">
        <v>56</v>
      </c>
      <c r="C38" s="41">
        <v>820</v>
      </c>
      <c r="D38" s="34">
        <f>C38-(C38*D23)</f>
        <v>541.20000000000005</v>
      </c>
      <c r="F38" s="1042" t="s">
        <v>80</v>
      </c>
      <c r="G38" s="1043"/>
      <c r="H38" s="1043"/>
      <c r="J38" s="24" t="s">
        <v>963</v>
      </c>
      <c r="K38" s="41">
        <v>120</v>
      </c>
      <c r="L38" s="35">
        <v>125</v>
      </c>
      <c r="M38" s="275">
        <f>K38-(K38*$M$3)</f>
        <v>90</v>
      </c>
      <c r="N38" s="273">
        <f t="shared" si="3"/>
        <v>93.75</v>
      </c>
    </row>
    <row r="39" spans="2:14" ht="15.75" thickBot="1">
      <c r="B39" s="3" t="s">
        <v>57</v>
      </c>
      <c r="C39" s="41">
        <v>430</v>
      </c>
      <c r="D39" s="34">
        <f>C39-(C39*D23)</f>
        <v>283.79999999999995</v>
      </c>
      <c r="F39" s="340" t="s">
        <v>73</v>
      </c>
      <c r="G39" s="435">
        <v>1294</v>
      </c>
      <c r="H39" s="436">
        <f t="shared" si="2"/>
        <v>776.4</v>
      </c>
      <c r="J39" s="25" t="s">
        <v>1264</v>
      </c>
      <c r="K39" s="443">
        <v>505</v>
      </c>
      <c r="L39" s="444">
        <v>530</v>
      </c>
      <c r="M39" s="441">
        <f>K39-(K39*M23)</f>
        <v>378.75</v>
      </c>
      <c r="N39" s="442">
        <f t="shared" si="3"/>
        <v>397.5</v>
      </c>
    </row>
    <row r="40" spans="2:14" ht="15.75" thickBot="1">
      <c r="B40" s="38" t="s">
        <v>58</v>
      </c>
      <c r="C40" s="41">
        <v>235</v>
      </c>
      <c r="D40" s="34">
        <f>C40-(C40*D23)</f>
        <v>155.1</v>
      </c>
      <c r="F40" s="339" t="s">
        <v>74</v>
      </c>
      <c r="G40" s="437">
        <v>292</v>
      </c>
      <c r="H40" s="438">
        <f t="shared" si="2"/>
        <v>175.2</v>
      </c>
      <c r="J40" s="25" t="s">
        <v>965</v>
      </c>
      <c r="K40" s="1049">
        <v>45</v>
      </c>
      <c r="L40" s="1050"/>
      <c r="M40" s="1051">
        <f>K40-(K40*M23)</f>
        <v>33.75</v>
      </c>
      <c r="N40" s="1052"/>
    </row>
    <row r="41" spans="2:14">
      <c r="B41" s="3" t="s">
        <v>59</v>
      </c>
      <c r="C41" s="41">
        <v>150</v>
      </c>
      <c r="D41" s="34">
        <f>C41-(C41*D23)</f>
        <v>99</v>
      </c>
      <c r="F41" s="339" t="s">
        <v>76</v>
      </c>
      <c r="G41" s="437">
        <v>316</v>
      </c>
      <c r="H41" s="438">
        <f t="shared" si="2"/>
        <v>189.6</v>
      </c>
    </row>
    <row r="42" spans="2:14">
      <c r="B42" s="3" t="s">
        <v>60</v>
      </c>
      <c r="C42" s="41">
        <v>370</v>
      </c>
      <c r="D42" s="34">
        <f>C42-(C42*D23)</f>
        <v>244.2</v>
      </c>
      <c r="F42" s="339" t="s">
        <v>77</v>
      </c>
      <c r="G42" s="437">
        <v>387</v>
      </c>
      <c r="H42" s="438">
        <f t="shared" si="2"/>
        <v>232.2</v>
      </c>
    </row>
    <row r="43" spans="2:14">
      <c r="B43" s="3" t="s">
        <v>61</v>
      </c>
      <c r="C43" s="41">
        <v>405</v>
      </c>
      <c r="D43" s="34">
        <f>C43-(C43*D23)</f>
        <v>267.29999999999995</v>
      </c>
      <c r="F43" s="339" t="s">
        <v>346</v>
      </c>
      <c r="G43" s="437">
        <v>549</v>
      </c>
      <c r="H43" s="438">
        <f t="shared" si="2"/>
        <v>329.4</v>
      </c>
    </row>
    <row r="44" spans="2:14" ht="15.75" thickBot="1">
      <c r="B44" s="4" t="s">
        <v>62</v>
      </c>
      <c r="C44" s="42">
        <v>1615</v>
      </c>
      <c r="D44" s="37">
        <f>C44-(C44*D23)</f>
        <v>1065.9000000000001</v>
      </c>
      <c r="F44" s="339" t="s">
        <v>75</v>
      </c>
      <c r="G44" s="437">
        <v>179</v>
      </c>
      <c r="H44" s="438">
        <f t="shared" si="2"/>
        <v>107.39999999999999</v>
      </c>
    </row>
    <row r="45" spans="2:14">
      <c r="F45" s="339" t="s">
        <v>78</v>
      </c>
      <c r="G45" s="437">
        <v>43</v>
      </c>
      <c r="H45" s="438">
        <f t="shared" si="2"/>
        <v>25.8</v>
      </c>
    </row>
    <row r="46" spans="2:14" ht="15.75" thickBot="1">
      <c r="F46" s="341" t="s">
        <v>79</v>
      </c>
      <c r="G46" s="439">
        <v>47</v>
      </c>
      <c r="H46" s="440">
        <f t="shared" si="2"/>
        <v>28.2</v>
      </c>
    </row>
    <row r="48" spans="2:14" ht="15.75" thickBot="1"/>
    <row r="49" spans="2:8" ht="30.75" thickBot="1">
      <c r="B49" s="1036" t="s">
        <v>83</v>
      </c>
      <c r="C49" s="5" t="s">
        <v>3</v>
      </c>
      <c r="D49" s="5" t="s">
        <v>1</v>
      </c>
      <c r="F49" s="1036" t="s">
        <v>84</v>
      </c>
      <c r="G49" s="5" t="s">
        <v>3</v>
      </c>
      <c r="H49" s="5" t="s">
        <v>1</v>
      </c>
    </row>
    <row r="50" spans="2:8" ht="15.75" thickBot="1">
      <c r="B50" s="1037"/>
      <c r="C50" s="39"/>
      <c r="D50" s="62">
        <v>0.35</v>
      </c>
      <c r="F50" s="1038"/>
      <c r="G50" s="26"/>
      <c r="H50" s="60">
        <v>0.37</v>
      </c>
    </row>
    <row r="51" spans="2:8">
      <c r="B51" s="12" t="s">
        <v>85</v>
      </c>
      <c r="C51" s="30">
        <v>455</v>
      </c>
      <c r="D51" s="31">
        <f>C51-(C51*D50)</f>
        <v>295.75</v>
      </c>
      <c r="F51" s="23" t="s">
        <v>85</v>
      </c>
      <c r="G51" s="44">
        <v>494</v>
      </c>
      <c r="H51" s="27">
        <f>G51-(G51*H50)</f>
        <v>311.22000000000003</v>
      </c>
    </row>
    <row r="52" spans="2:8">
      <c r="B52" s="13" t="s">
        <v>86</v>
      </c>
      <c r="C52" s="41">
        <v>1209</v>
      </c>
      <c r="D52" s="34">
        <f>C52-(C52*D50)</f>
        <v>785.85</v>
      </c>
      <c r="F52" s="24" t="s">
        <v>86</v>
      </c>
      <c r="G52" s="45">
        <v>1437</v>
      </c>
      <c r="H52" s="28">
        <f>G52-(G52*H50)</f>
        <v>905.31000000000006</v>
      </c>
    </row>
    <row r="53" spans="2:8">
      <c r="B53" s="13" t="s">
        <v>87</v>
      </c>
      <c r="C53" s="41">
        <v>940</v>
      </c>
      <c r="D53" s="34">
        <f>C53-(C53*D50)</f>
        <v>611</v>
      </c>
      <c r="F53" s="24" t="s">
        <v>87</v>
      </c>
      <c r="G53" s="45">
        <v>1211</v>
      </c>
      <c r="H53" s="28">
        <f>G53-(G53*H50)</f>
        <v>762.93000000000006</v>
      </c>
    </row>
    <row r="54" spans="2:8">
      <c r="B54" s="13" t="s">
        <v>88</v>
      </c>
      <c r="C54" s="41">
        <v>398</v>
      </c>
      <c r="D54" s="34">
        <f>C54-(C54*D50)</f>
        <v>258.70000000000005</v>
      </c>
      <c r="F54" s="24" t="s">
        <v>88</v>
      </c>
      <c r="G54" s="45">
        <v>439</v>
      </c>
      <c r="H54" s="28">
        <f>G54-(G54*H50)</f>
        <v>276.57</v>
      </c>
    </row>
    <row r="55" spans="2:8">
      <c r="B55" s="13" t="s">
        <v>89</v>
      </c>
      <c r="C55" s="41">
        <v>363</v>
      </c>
      <c r="D55" s="34">
        <f>C55-(C55*D50)</f>
        <v>235.95</v>
      </c>
      <c r="F55" s="24" t="s">
        <v>89</v>
      </c>
      <c r="G55" s="45">
        <v>407</v>
      </c>
      <c r="H55" s="28">
        <f>G55-(G55*H50)</f>
        <v>256.40999999999997</v>
      </c>
    </row>
    <row r="56" spans="2:8">
      <c r="B56" s="13" t="s">
        <v>1436</v>
      </c>
      <c r="C56" s="41">
        <v>398</v>
      </c>
      <c r="D56" s="34">
        <f>C56-(C56*D50)</f>
        <v>258.70000000000005</v>
      </c>
      <c r="F56" s="24" t="s">
        <v>1436</v>
      </c>
      <c r="G56" s="45">
        <v>445</v>
      </c>
      <c r="H56" s="28">
        <f>G56-(G56*H50)</f>
        <v>280.35000000000002</v>
      </c>
    </row>
    <row r="57" spans="2:8">
      <c r="B57" s="13" t="s">
        <v>90</v>
      </c>
      <c r="C57" s="41">
        <v>1801</v>
      </c>
      <c r="D57" s="34">
        <f>C57-(C57*D50)</f>
        <v>1170.6500000000001</v>
      </c>
      <c r="F57" s="24" t="s">
        <v>90</v>
      </c>
      <c r="G57" s="45">
        <v>1834</v>
      </c>
      <c r="H57" s="28">
        <f>G57-(G57*H50)</f>
        <v>1155.42</v>
      </c>
    </row>
    <row r="58" spans="2:8">
      <c r="B58" s="13" t="s">
        <v>91</v>
      </c>
      <c r="C58" s="41">
        <v>904</v>
      </c>
      <c r="D58" s="34">
        <f>C58-(C58*D50)</f>
        <v>587.6</v>
      </c>
      <c r="F58" s="24" t="s">
        <v>91</v>
      </c>
      <c r="G58" s="45">
        <v>1062</v>
      </c>
      <c r="H58" s="28">
        <f>G58-(G58*H50)</f>
        <v>669.06</v>
      </c>
    </row>
    <row r="59" spans="2:8">
      <c r="B59" s="13" t="s">
        <v>92</v>
      </c>
      <c r="C59" s="41">
        <v>1534</v>
      </c>
      <c r="D59" s="34">
        <f>C59-(C59*D50)</f>
        <v>997.1</v>
      </c>
      <c r="F59" s="24" t="s">
        <v>92</v>
      </c>
      <c r="G59" s="45">
        <v>1840</v>
      </c>
      <c r="H59" s="28">
        <f>G59-(G59*H50)</f>
        <v>1159.2</v>
      </c>
    </row>
    <row r="60" spans="2:8">
      <c r="B60" s="13" t="s">
        <v>93</v>
      </c>
      <c r="C60" s="41">
        <v>202</v>
      </c>
      <c r="D60" s="34">
        <f>C60-(C60*D50)</f>
        <v>131.30000000000001</v>
      </c>
      <c r="F60" s="24" t="s">
        <v>93</v>
      </c>
      <c r="G60" s="45">
        <v>232</v>
      </c>
      <c r="H60" s="28">
        <f>G60-(G60*H50)</f>
        <v>146.16</v>
      </c>
    </row>
    <row r="61" spans="2:8">
      <c r="B61" s="13" t="s">
        <v>94</v>
      </c>
      <c r="C61" s="41">
        <v>1178</v>
      </c>
      <c r="D61" s="34">
        <f>C61-(C61*D50)</f>
        <v>765.7</v>
      </c>
      <c r="F61" s="24" t="s">
        <v>94</v>
      </c>
      <c r="G61" s="45">
        <v>1183</v>
      </c>
      <c r="H61" s="28">
        <f>G61-(G61*H50)</f>
        <v>745.29</v>
      </c>
    </row>
    <row r="62" spans="2:8">
      <c r="B62" s="13" t="s">
        <v>95</v>
      </c>
      <c r="C62" s="41">
        <v>284</v>
      </c>
      <c r="D62" s="34">
        <f>C62-(C62*D50)</f>
        <v>184.60000000000002</v>
      </c>
      <c r="F62" s="24" t="s">
        <v>95</v>
      </c>
      <c r="G62" s="45">
        <v>284</v>
      </c>
      <c r="H62" s="28">
        <f>G62-(G62*H50)</f>
        <v>178.92000000000002</v>
      </c>
    </row>
    <row r="63" spans="2:8">
      <c r="B63" s="13" t="s">
        <v>96</v>
      </c>
      <c r="C63" s="41">
        <v>223</v>
      </c>
      <c r="D63" s="34">
        <f>C63-(C63*D50)</f>
        <v>144.94999999999999</v>
      </c>
      <c r="F63" s="24" t="s">
        <v>96</v>
      </c>
      <c r="G63" s="45">
        <v>235</v>
      </c>
      <c r="H63" s="28">
        <f>G63-(G63*H50)</f>
        <v>148.05000000000001</v>
      </c>
    </row>
    <row r="64" spans="2:8">
      <c r="B64" s="13" t="s">
        <v>1438</v>
      </c>
      <c r="C64" s="41">
        <v>166</v>
      </c>
      <c r="D64" s="34">
        <f>C64-(C64*D50)</f>
        <v>107.9</v>
      </c>
      <c r="F64" s="24" t="s">
        <v>1438</v>
      </c>
      <c r="G64" s="45">
        <v>171</v>
      </c>
      <c r="H64" s="28">
        <f>G64-(G64*H50)</f>
        <v>107.73</v>
      </c>
    </row>
    <row r="65" spans="2:8">
      <c r="B65" s="13" t="s">
        <v>1437</v>
      </c>
      <c r="C65" s="41">
        <v>181</v>
      </c>
      <c r="D65" s="34">
        <f>C65-(C65*D50)</f>
        <v>117.65</v>
      </c>
      <c r="F65" s="24" t="s">
        <v>1437</v>
      </c>
      <c r="G65" s="45">
        <v>187</v>
      </c>
      <c r="H65" s="28">
        <f>G65-(G65*H50)</f>
        <v>117.81</v>
      </c>
    </row>
    <row r="66" spans="2:8">
      <c r="B66" s="13" t="s">
        <v>97</v>
      </c>
      <c r="C66" s="41">
        <v>306</v>
      </c>
      <c r="D66" s="34">
        <f>C66-(C66*D50)</f>
        <v>198.9</v>
      </c>
      <c r="F66" s="24" t="s">
        <v>97</v>
      </c>
      <c r="G66" s="45">
        <v>324</v>
      </c>
      <c r="H66" s="28">
        <f>G66-(G66*H50)</f>
        <v>204.12</v>
      </c>
    </row>
    <row r="67" spans="2:8">
      <c r="B67" s="13" t="s">
        <v>98</v>
      </c>
      <c r="C67" s="41">
        <v>784</v>
      </c>
      <c r="D67" s="34">
        <f>C67-(C67*D50)</f>
        <v>509.6</v>
      </c>
      <c r="F67" s="24" t="s">
        <v>98</v>
      </c>
      <c r="G67" s="45">
        <v>804</v>
      </c>
      <c r="H67" s="28">
        <f>G67-(G67*H50)</f>
        <v>506.52</v>
      </c>
    </row>
    <row r="68" spans="2:8">
      <c r="B68" s="13" t="s">
        <v>99</v>
      </c>
      <c r="C68" s="41">
        <v>2335</v>
      </c>
      <c r="D68" s="34">
        <f>C68-(C68*D50)</f>
        <v>1517.75</v>
      </c>
      <c r="F68" s="24" t="s">
        <v>99</v>
      </c>
      <c r="G68" s="45">
        <v>2380</v>
      </c>
      <c r="H68" s="28">
        <f>G68-(G68*H50)</f>
        <v>1499.4</v>
      </c>
    </row>
    <row r="69" spans="2:8">
      <c r="B69" s="13" t="s">
        <v>31</v>
      </c>
      <c r="C69" s="41">
        <v>9006</v>
      </c>
      <c r="D69" s="34">
        <f>C69-(C69*D50)</f>
        <v>5853.9</v>
      </c>
      <c r="F69" s="24" t="s">
        <v>31</v>
      </c>
      <c r="G69" s="45">
        <v>9196</v>
      </c>
      <c r="H69" s="28">
        <f>G69-(G69*H50)</f>
        <v>5793.48</v>
      </c>
    </row>
    <row r="70" spans="2:8" ht="15.75" thickBot="1">
      <c r="B70" s="14" t="s">
        <v>100</v>
      </c>
      <c r="C70" s="42">
        <v>398</v>
      </c>
      <c r="D70" s="37">
        <f>C70-(C70*D50)</f>
        <v>258.70000000000005</v>
      </c>
      <c r="F70" s="25" t="s">
        <v>100</v>
      </c>
      <c r="G70" s="46">
        <v>424</v>
      </c>
      <c r="H70" s="29">
        <f>G70-(G70*H50)</f>
        <v>267.12</v>
      </c>
    </row>
  </sheetData>
  <sheetProtection formatCells="0" formatColumns="0" formatRows="0" insertColumns="0" insertRows="0" insertHyperlinks="0" deleteColumns="0" deleteRows="0" sort="0" autoFilter="0" pivotTables="0"/>
  <mergeCells count="23">
    <mergeCell ref="J22:J23"/>
    <mergeCell ref="K22:L22"/>
    <mergeCell ref="M22:N22"/>
    <mergeCell ref="M23:N23"/>
    <mergeCell ref="K40:L40"/>
    <mergeCell ref="M40:N40"/>
    <mergeCell ref="K34:L34"/>
    <mergeCell ref="M34:N34"/>
    <mergeCell ref="B49:B50"/>
    <mergeCell ref="F49:F50"/>
    <mergeCell ref="B2:B3"/>
    <mergeCell ref="F2:F3"/>
    <mergeCell ref="B22:B23"/>
    <mergeCell ref="F22:F23"/>
    <mergeCell ref="F38:H38"/>
    <mergeCell ref="G2:G3"/>
    <mergeCell ref="C2:C3"/>
    <mergeCell ref="K20:L20"/>
    <mergeCell ref="M20:N20"/>
    <mergeCell ref="J2:J3"/>
    <mergeCell ref="K2:L2"/>
    <mergeCell ref="M2:N2"/>
    <mergeCell ref="M3:N3"/>
  </mergeCells>
  <pageMargins left="0.7" right="0.7" top="0.75" bottom="0.75" header="0.3" footer="0.3"/>
  <pageSetup paperSize="9" scale="4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0" tint="-0.249977111117893"/>
    <pageSetUpPr fitToPage="1"/>
  </sheetPr>
  <dimension ref="C2:H999"/>
  <sheetViews>
    <sheetView topLeftCell="B1" workbookViewId="0">
      <selection activeCell="O16" sqref="O16"/>
    </sheetView>
  </sheetViews>
  <sheetFormatPr defaultRowHeight="15"/>
  <cols>
    <col min="2" max="2" width="5.42578125" customWidth="1"/>
    <col min="3" max="3" width="43" customWidth="1"/>
    <col min="4" max="4" width="18.42578125" customWidth="1"/>
    <col min="6" max="6" width="6.28515625" customWidth="1"/>
    <col min="7" max="7" width="12.5703125" customWidth="1"/>
    <col min="8" max="8" width="17.140625" style="722" customWidth="1"/>
  </cols>
  <sheetData>
    <row r="2" spans="3:8" ht="24.75" customHeight="1">
      <c r="D2" s="1767" t="s">
        <v>802</v>
      </c>
      <c r="E2" s="1768"/>
      <c r="F2" s="1768"/>
      <c r="G2" s="1769"/>
      <c r="H2" s="1764" t="s">
        <v>803</v>
      </c>
    </row>
    <row r="3" spans="3:8" ht="15" customHeight="1">
      <c r="C3" s="157"/>
      <c r="D3" s="1770"/>
      <c r="E3" s="1771"/>
      <c r="F3" s="1771"/>
      <c r="G3" s="1772"/>
      <c r="H3" s="1765"/>
    </row>
    <row r="4" spans="3:8" ht="59.25" customHeight="1">
      <c r="C4" s="158"/>
      <c r="D4" s="1773"/>
      <c r="E4" s="1774"/>
      <c r="F4" s="1774"/>
      <c r="G4" s="1775"/>
      <c r="H4" s="1766"/>
    </row>
    <row r="5" spans="3:8" ht="15.75" customHeight="1">
      <c r="C5" s="1776" t="s">
        <v>463</v>
      </c>
      <c r="D5" s="1777"/>
      <c r="E5" s="1777"/>
      <c r="F5" s="1777"/>
      <c r="G5" s="1778"/>
      <c r="H5" s="718">
        <v>0.27</v>
      </c>
    </row>
    <row r="6" spans="3:8" ht="15" customHeight="1">
      <c r="C6" s="1779" t="s">
        <v>0</v>
      </c>
      <c r="D6" s="1781" t="s">
        <v>464</v>
      </c>
      <c r="E6" s="1783" t="s">
        <v>465</v>
      </c>
      <c r="F6" s="159"/>
      <c r="G6" s="160" t="s">
        <v>466</v>
      </c>
      <c r="H6" s="1762" t="s">
        <v>804</v>
      </c>
    </row>
    <row r="7" spans="3:8" ht="24" customHeight="1">
      <c r="C7" s="1780"/>
      <c r="D7" s="1782"/>
      <c r="E7" s="1784"/>
      <c r="F7" s="161"/>
      <c r="G7" s="162" t="s">
        <v>1412</v>
      </c>
      <c r="H7" s="1763"/>
    </row>
    <row r="8" spans="3:8" ht="16.5">
      <c r="C8" s="1761" t="s">
        <v>467</v>
      </c>
      <c r="D8" s="1186"/>
      <c r="E8" s="1186"/>
      <c r="F8" s="1186"/>
      <c r="G8" s="1186"/>
      <c r="H8" s="1749"/>
    </row>
    <row r="9" spans="3:8" ht="16.5">
      <c r="C9" s="163"/>
      <c r="D9" s="164"/>
      <c r="E9" s="165"/>
      <c r="F9" s="165"/>
      <c r="G9" s="166"/>
      <c r="H9" s="721">
        <v>0.36</v>
      </c>
    </row>
    <row r="10" spans="3:8" ht="15.75">
      <c r="C10" s="1758" t="s">
        <v>468</v>
      </c>
      <c r="D10" s="1759"/>
      <c r="E10" s="1759"/>
      <c r="F10" s="1759"/>
      <c r="G10" s="1759"/>
      <c r="H10" s="1760"/>
    </row>
    <row r="11" spans="3:8">
      <c r="C11" s="628" t="s">
        <v>469</v>
      </c>
      <c r="D11" s="164" t="s">
        <v>470</v>
      </c>
      <c r="E11" s="629">
        <v>792102</v>
      </c>
      <c r="F11" s="630"/>
      <c r="G11" s="631">
        <v>4200</v>
      </c>
      <c r="H11" s="720">
        <f>G11-(G11*$H$9)</f>
        <v>2688</v>
      </c>
    </row>
    <row r="12" spans="3:8">
      <c r="C12" s="632" t="s">
        <v>471</v>
      </c>
      <c r="D12" s="164" t="s">
        <v>152</v>
      </c>
      <c r="E12" s="629">
        <v>792104</v>
      </c>
      <c r="F12" s="630"/>
      <c r="G12" s="631">
        <v>4200</v>
      </c>
      <c r="H12" s="720">
        <f t="shared" ref="H12:H61" si="0">G12-(G12*$H$9)</f>
        <v>2688</v>
      </c>
    </row>
    <row r="13" spans="3:8">
      <c r="C13" s="632" t="s">
        <v>472</v>
      </c>
      <c r="D13" s="164" t="s">
        <v>473</v>
      </c>
      <c r="E13" s="629">
        <v>792106</v>
      </c>
      <c r="F13" s="630"/>
      <c r="G13" s="631">
        <v>4200</v>
      </c>
      <c r="H13" s="720">
        <f t="shared" si="0"/>
        <v>2688</v>
      </c>
    </row>
    <row r="14" spans="3:8" ht="15.75" customHeight="1">
      <c r="C14" s="628"/>
      <c r="D14" s="164" t="s">
        <v>149</v>
      </c>
      <c r="E14" s="629">
        <v>792107</v>
      </c>
      <c r="F14" s="630"/>
      <c r="G14" s="631">
        <v>4200</v>
      </c>
      <c r="H14" s="720">
        <f t="shared" si="0"/>
        <v>2688</v>
      </c>
    </row>
    <row r="15" spans="3:8">
      <c r="C15" s="628"/>
      <c r="D15" s="164" t="s">
        <v>151</v>
      </c>
      <c r="E15" s="629">
        <v>792108</v>
      </c>
      <c r="F15" s="630"/>
      <c r="G15" s="631">
        <v>4200</v>
      </c>
      <c r="H15" s="720">
        <f t="shared" si="0"/>
        <v>2688</v>
      </c>
    </row>
    <row r="16" spans="3:8">
      <c r="C16" s="628"/>
      <c r="D16" s="164" t="s">
        <v>474</v>
      </c>
      <c r="E16" s="629">
        <v>792109</v>
      </c>
      <c r="F16" s="630"/>
      <c r="G16" s="631">
        <v>4200</v>
      </c>
      <c r="H16" s="720">
        <f t="shared" si="0"/>
        <v>2688</v>
      </c>
    </row>
    <row r="17" spans="3:8" ht="16.5">
      <c r="C17" s="163"/>
      <c r="D17" s="164"/>
      <c r="E17" s="165"/>
      <c r="F17" s="165"/>
      <c r="G17" s="166" t="s">
        <v>805</v>
      </c>
      <c r="H17" s="720"/>
    </row>
    <row r="18" spans="3:8">
      <c r="C18" s="633" t="s">
        <v>475</v>
      </c>
      <c r="D18" s="634" t="s">
        <v>470</v>
      </c>
      <c r="E18" s="635">
        <v>74011</v>
      </c>
      <c r="F18" s="636"/>
      <c r="G18" s="631">
        <v>2800</v>
      </c>
      <c r="H18" s="720">
        <f t="shared" si="0"/>
        <v>1792</v>
      </c>
    </row>
    <row r="19" spans="3:8">
      <c r="C19" s="637" t="s">
        <v>476</v>
      </c>
      <c r="D19" s="634" t="s">
        <v>152</v>
      </c>
      <c r="E19" s="636">
        <v>74013</v>
      </c>
      <c r="F19" s="636"/>
      <c r="G19" s="631">
        <v>2800</v>
      </c>
      <c r="H19" s="720">
        <f t="shared" si="0"/>
        <v>1792</v>
      </c>
    </row>
    <row r="20" spans="3:8">
      <c r="C20" s="637" t="s">
        <v>477</v>
      </c>
      <c r="D20" s="634" t="s">
        <v>473</v>
      </c>
      <c r="E20" s="635">
        <v>74019</v>
      </c>
      <c r="F20" s="636"/>
      <c r="G20" s="631">
        <v>2800</v>
      </c>
      <c r="H20" s="720">
        <f t="shared" si="0"/>
        <v>1792</v>
      </c>
    </row>
    <row r="21" spans="3:8">
      <c r="C21" s="637" t="s">
        <v>478</v>
      </c>
      <c r="D21" s="634" t="s">
        <v>149</v>
      </c>
      <c r="E21" s="635">
        <v>74017</v>
      </c>
      <c r="F21" s="636"/>
      <c r="G21" s="631">
        <v>2800</v>
      </c>
      <c r="H21" s="720">
        <f t="shared" si="0"/>
        <v>1792</v>
      </c>
    </row>
    <row r="22" spans="3:8">
      <c r="C22" s="158"/>
      <c r="D22" s="634" t="s">
        <v>151</v>
      </c>
      <c r="E22" s="635">
        <v>74015</v>
      </c>
      <c r="F22" s="636"/>
      <c r="G22" s="631">
        <v>2800</v>
      </c>
      <c r="H22" s="720">
        <f t="shared" si="0"/>
        <v>1792</v>
      </c>
    </row>
    <row r="23" spans="3:8">
      <c r="C23" s="158"/>
      <c r="D23" s="634" t="s">
        <v>474</v>
      </c>
      <c r="E23" s="635">
        <v>74021</v>
      </c>
      <c r="F23" s="636"/>
      <c r="G23" s="631">
        <v>2800</v>
      </c>
      <c r="H23" s="720">
        <f t="shared" si="0"/>
        <v>1792</v>
      </c>
    </row>
    <row r="24" spans="3:8" ht="15" customHeight="1">
      <c r="C24" s="158"/>
      <c r="D24" s="634" t="s">
        <v>129</v>
      </c>
      <c r="E24" s="635">
        <v>74014</v>
      </c>
      <c r="F24" s="636"/>
      <c r="G24" s="631">
        <v>2800</v>
      </c>
      <c r="H24" s="720">
        <f t="shared" si="0"/>
        <v>1792</v>
      </c>
    </row>
    <row r="25" spans="3:8">
      <c r="C25" s="158"/>
      <c r="D25" s="164" t="s">
        <v>479</v>
      </c>
      <c r="E25" s="164">
        <v>74012</v>
      </c>
      <c r="F25" s="636"/>
      <c r="G25" s="631">
        <v>2800</v>
      </c>
      <c r="H25" s="720">
        <f t="shared" si="0"/>
        <v>1792</v>
      </c>
    </row>
    <row r="26" spans="3:8" ht="16.5">
      <c r="C26" s="163"/>
      <c r="D26" s="164"/>
      <c r="E26" s="165"/>
      <c r="F26" s="165"/>
      <c r="G26" s="166" t="s">
        <v>805</v>
      </c>
      <c r="H26" s="720"/>
    </row>
    <row r="27" spans="3:8">
      <c r="C27" s="638" t="s">
        <v>480</v>
      </c>
      <c r="D27" s="634" t="s">
        <v>470</v>
      </c>
      <c r="E27" s="639">
        <v>740772</v>
      </c>
      <c r="F27" s="636"/>
      <c r="G27" s="631">
        <v>2900</v>
      </c>
      <c r="H27" s="720">
        <f t="shared" si="0"/>
        <v>1856</v>
      </c>
    </row>
    <row r="28" spans="3:8">
      <c r="C28" s="640" t="s">
        <v>481</v>
      </c>
      <c r="D28" s="634" t="s">
        <v>152</v>
      </c>
      <c r="E28" s="639">
        <v>740774</v>
      </c>
      <c r="F28" s="636"/>
      <c r="G28" s="631">
        <v>2900</v>
      </c>
      <c r="H28" s="720">
        <f t="shared" si="0"/>
        <v>1856</v>
      </c>
    </row>
    <row r="29" spans="3:8">
      <c r="C29" s="640" t="s">
        <v>482</v>
      </c>
      <c r="D29" s="634" t="s">
        <v>151</v>
      </c>
      <c r="E29" s="639">
        <v>740778</v>
      </c>
      <c r="F29" s="636"/>
      <c r="G29" s="631">
        <v>2900</v>
      </c>
      <c r="H29" s="720">
        <f t="shared" si="0"/>
        <v>1856</v>
      </c>
    </row>
    <row r="30" spans="3:8">
      <c r="C30" s="640"/>
      <c r="D30" s="634" t="s">
        <v>474</v>
      </c>
      <c r="E30" s="639">
        <v>740779</v>
      </c>
      <c r="F30" s="636"/>
      <c r="G30" s="631">
        <v>2900</v>
      </c>
      <c r="H30" s="720">
        <f t="shared" si="0"/>
        <v>1856</v>
      </c>
    </row>
    <row r="31" spans="3:8" ht="15" customHeight="1">
      <c r="C31" s="163"/>
      <c r="D31" s="164"/>
      <c r="E31" s="165"/>
      <c r="F31" s="165"/>
      <c r="G31" s="166" t="s">
        <v>805</v>
      </c>
      <c r="H31" s="720"/>
    </row>
    <row r="32" spans="3:8">
      <c r="C32" s="638" t="s">
        <v>483</v>
      </c>
      <c r="D32" s="634" t="s">
        <v>470</v>
      </c>
      <c r="E32" s="635">
        <v>740782</v>
      </c>
      <c r="F32" s="636"/>
      <c r="G32" s="631">
        <v>2900</v>
      </c>
      <c r="H32" s="720">
        <f t="shared" si="0"/>
        <v>1856</v>
      </c>
    </row>
    <row r="33" spans="3:8" ht="15.75" customHeight="1">
      <c r="C33" s="640" t="s">
        <v>484</v>
      </c>
      <c r="D33" s="634" t="s">
        <v>152</v>
      </c>
      <c r="E33" s="635">
        <v>740784</v>
      </c>
      <c r="F33" s="636"/>
      <c r="G33" s="631">
        <v>2900</v>
      </c>
      <c r="H33" s="720">
        <f t="shared" si="0"/>
        <v>1856</v>
      </c>
    </row>
    <row r="34" spans="3:8">
      <c r="C34" s="640" t="s">
        <v>485</v>
      </c>
      <c r="D34" s="634" t="s">
        <v>151</v>
      </c>
      <c r="E34" s="635">
        <v>740788</v>
      </c>
      <c r="F34" s="636"/>
      <c r="G34" s="631">
        <v>2900</v>
      </c>
      <c r="H34" s="720">
        <f t="shared" si="0"/>
        <v>1856</v>
      </c>
    </row>
    <row r="35" spans="3:8" ht="15" customHeight="1">
      <c r="C35" s="640"/>
      <c r="D35" s="634" t="s">
        <v>474</v>
      </c>
      <c r="E35" s="635">
        <v>740789</v>
      </c>
      <c r="F35" s="636"/>
      <c r="G35" s="631">
        <v>2900</v>
      </c>
      <c r="H35" s="720">
        <f t="shared" si="0"/>
        <v>1856</v>
      </c>
    </row>
    <row r="36" spans="3:8" ht="16.5">
      <c r="C36" s="163"/>
      <c r="D36" s="164"/>
      <c r="E36" s="165"/>
      <c r="F36" s="165"/>
      <c r="G36" s="166" t="s">
        <v>805</v>
      </c>
      <c r="H36" s="720"/>
    </row>
    <row r="37" spans="3:8">
      <c r="C37" s="638" t="s">
        <v>486</v>
      </c>
      <c r="D37" s="634" t="s">
        <v>470</v>
      </c>
      <c r="E37" s="635">
        <v>741052</v>
      </c>
      <c r="F37" s="636"/>
      <c r="G37" s="631">
        <v>2900</v>
      </c>
      <c r="H37" s="720">
        <f t="shared" si="0"/>
        <v>1856</v>
      </c>
    </row>
    <row r="38" spans="3:8">
      <c r="C38" s="640" t="s">
        <v>487</v>
      </c>
      <c r="D38" s="634" t="s">
        <v>152</v>
      </c>
      <c r="E38" s="635">
        <v>741054</v>
      </c>
      <c r="F38" s="636"/>
      <c r="G38" s="631">
        <v>2900</v>
      </c>
      <c r="H38" s="720">
        <f t="shared" si="0"/>
        <v>1856</v>
      </c>
    </row>
    <row r="39" spans="3:8">
      <c r="C39" s="640" t="s">
        <v>482</v>
      </c>
      <c r="D39" s="634" t="s">
        <v>151</v>
      </c>
      <c r="E39" s="635">
        <v>741058</v>
      </c>
      <c r="F39" s="636"/>
      <c r="G39" s="631">
        <v>2900</v>
      </c>
      <c r="H39" s="720">
        <f t="shared" si="0"/>
        <v>1856</v>
      </c>
    </row>
    <row r="40" spans="3:8">
      <c r="C40" s="640"/>
      <c r="D40" s="634" t="s">
        <v>474</v>
      </c>
      <c r="E40" s="635">
        <v>741059</v>
      </c>
      <c r="F40" s="636"/>
      <c r="G40" s="631">
        <v>2900</v>
      </c>
      <c r="H40" s="720">
        <f t="shared" si="0"/>
        <v>1856</v>
      </c>
    </row>
    <row r="41" spans="3:8" ht="16.5">
      <c r="C41" s="163"/>
      <c r="D41" s="164"/>
      <c r="E41" s="165"/>
      <c r="F41" s="165"/>
      <c r="G41" s="166" t="s">
        <v>805</v>
      </c>
      <c r="H41" s="720"/>
    </row>
    <row r="42" spans="3:8">
      <c r="C42" s="638" t="s">
        <v>806</v>
      </c>
      <c r="D42" s="634" t="s">
        <v>470</v>
      </c>
      <c r="E42" s="635">
        <v>741072</v>
      </c>
      <c r="F42" s="636"/>
      <c r="G42" s="631">
        <v>2900</v>
      </c>
      <c r="H42" s="720">
        <f t="shared" si="0"/>
        <v>1856</v>
      </c>
    </row>
    <row r="43" spans="3:8">
      <c r="C43" s="640" t="s">
        <v>488</v>
      </c>
      <c r="D43" s="634" t="s">
        <v>152</v>
      </c>
      <c r="E43" s="635">
        <v>741074</v>
      </c>
      <c r="F43" s="636"/>
      <c r="G43" s="631">
        <v>2900</v>
      </c>
      <c r="H43" s="720">
        <f t="shared" si="0"/>
        <v>1856</v>
      </c>
    </row>
    <row r="44" spans="3:8">
      <c r="C44" s="640" t="s">
        <v>482</v>
      </c>
      <c r="D44" s="634" t="s">
        <v>149</v>
      </c>
      <c r="E44" s="635">
        <v>741077</v>
      </c>
      <c r="F44" s="636"/>
      <c r="G44" s="631">
        <v>2900</v>
      </c>
      <c r="H44" s="720">
        <f t="shared" si="0"/>
        <v>1856</v>
      </c>
    </row>
    <row r="45" spans="3:8">
      <c r="C45" s="640"/>
      <c r="D45" s="634" t="s">
        <v>151</v>
      </c>
      <c r="E45" s="635">
        <v>741078</v>
      </c>
      <c r="F45" s="636"/>
      <c r="G45" s="631">
        <v>2900</v>
      </c>
      <c r="H45" s="720">
        <f t="shared" si="0"/>
        <v>1856</v>
      </c>
    </row>
    <row r="46" spans="3:8">
      <c r="C46" s="640"/>
      <c r="D46" s="634" t="s">
        <v>474</v>
      </c>
      <c r="E46" s="635">
        <v>741079</v>
      </c>
      <c r="F46" s="636"/>
      <c r="G46" s="631">
        <v>2900</v>
      </c>
      <c r="H46" s="720">
        <f t="shared" si="0"/>
        <v>1856</v>
      </c>
    </row>
    <row r="47" spans="3:8" ht="16.5">
      <c r="C47" s="163"/>
      <c r="D47" s="164"/>
      <c r="E47" s="165"/>
      <c r="F47" s="165"/>
      <c r="G47" s="166" t="s">
        <v>805</v>
      </c>
      <c r="H47" s="720"/>
    </row>
    <row r="48" spans="3:8">
      <c r="C48" s="638" t="s">
        <v>489</v>
      </c>
      <c r="D48" s="634" t="s">
        <v>470</v>
      </c>
      <c r="E48" s="635">
        <v>741082</v>
      </c>
      <c r="F48" s="636"/>
      <c r="G48" s="631">
        <v>2900</v>
      </c>
      <c r="H48" s="720">
        <f t="shared" si="0"/>
        <v>1856</v>
      </c>
    </row>
    <row r="49" spans="3:8">
      <c r="C49" s="640" t="s">
        <v>490</v>
      </c>
      <c r="D49" s="634" t="s">
        <v>152</v>
      </c>
      <c r="E49" s="635">
        <v>741084</v>
      </c>
      <c r="F49" s="636"/>
      <c r="G49" s="631">
        <v>2900</v>
      </c>
      <c r="H49" s="720">
        <f t="shared" si="0"/>
        <v>1856</v>
      </c>
    </row>
    <row r="50" spans="3:8">
      <c r="C50" s="640" t="s">
        <v>482</v>
      </c>
      <c r="D50" s="634" t="s">
        <v>149</v>
      </c>
      <c r="E50" s="635">
        <v>741087</v>
      </c>
      <c r="F50" s="636"/>
      <c r="G50" s="631">
        <v>2900</v>
      </c>
      <c r="H50" s="720">
        <f t="shared" si="0"/>
        <v>1856</v>
      </c>
    </row>
    <row r="51" spans="3:8" ht="15" customHeight="1">
      <c r="C51" s="640"/>
      <c r="D51" s="634" t="s">
        <v>151</v>
      </c>
      <c r="E51" s="635">
        <v>741088</v>
      </c>
      <c r="F51" s="636"/>
      <c r="G51" s="631">
        <v>2900</v>
      </c>
      <c r="H51" s="720">
        <f t="shared" si="0"/>
        <v>1856</v>
      </c>
    </row>
    <row r="52" spans="3:8">
      <c r="C52" s="640"/>
      <c r="D52" s="634" t="s">
        <v>474</v>
      </c>
      <c r="E52" s="635">
        <v>741089</v>
      </c>
      <c r="F52" s="636"/>
      <c r="G52" s="631">
        <v>2900</v>
      </c>
      <c r="H52" s="720">
        <f t="shared" si="0"/>
        <v>1856</v>
      </c>
    </row>
    <row r="53" spans="3:8" ht="16.5">
      <c r="C53" s="163"/>
      <c r="D53" s="164"/>
      <c r="E53" s="165"/>
      <c r="F53" s="165"/>
      <c r="G53" s="166" t="s">
        <v>805</v>
      </c>
      <c r="H53" s="720"/>
    </row>
    <row r="54" spans="3:8" ht="15" customHeight="1">
      <c r="C54" s="638" t="s">
        <v>491</v>
      </c>
      <c r="D54" s="634" t="s">
        <v>470</v>
      </c>
      <c r="E54" s="635">
        <v>741092</v>
      </c>
      <c r="F54" s="636"/>
      <c r="G54" s="631">
        <v>2900</v>
      </c>
      <c r="H54" s="720">
        <f t="shared" si="0"/>
        <v>1856</v>
      </c>
    </row>
    <row r="55" spans="3:8">
      <c r="C55" s="640" t="s">
        <v>492</v>
      </c>
      <c r="D55" s="634" t="s">
        <v>152</v>
      </c>
      <c r="E55" s="635">
        <v>741094</v>
      </c>
      <c r="F55" s="636"/>
      <c r="G55" s="631">
        <v>2900</v>
      </c>
      <c r="H55" s="720">
        <f t="shared" si="0"/>
        <v>1856</v>
      </c>
    </row>
    <row r="56" spans="3:8">
      <c r="C56" s="640" t="s">
        <v>482</v>
      </c>
      <c r="D56" s="634" t="s">
        <v>149</v>
      </c>
      <c r="E56" s="635">
        <v>741097</v>
      </c>
      <c r="F56" s="636"/>
      <c r="G56" s="631">
        <v>2900</v>
      </c>
      <c r="H56" s="720">
        <f t="shared" si="0"/>
        <v>1856</v>
      </c>
    </row>
    <row r="57" spans="3:8">
      <c r="C57" s="640"/>
      <c r="D57" s="634" t="s">
        <v>151</v>
      </c>
      <c r="E57" s="635">
        <v>741098</v>
      </c>
      <c r="F57" s="636"/>
      <c r="G57" s="631">
        <v>2900</v>
      </c>
      <c r="H57" s="720">
        <f t="shared" si="0"/>
        <v>1856</v>
      </c>
    </row>
    <row r="58" spans="3:8">
      <c r="C58" s="640"/>
      <c r="D58" s="634" t="s">
        <v>474</v>
      </c>
      <c r="E58" s="635">
        <v>741099</v>
      </c>
      <c r="F58" s="636"/>
      <c r="G58" s="631">
        <v>2900</v>
      </c>
      <c r="H58" s="720">
        <f t="shared" si="0"/>
        <v>1856</v>
      </c>
    </row>
    <row r="59" spans="3:8" ht="16.5">
      <c r="C59" s="163"/>
      <c r="D59" s="164"/>
      <c r="E59" s="165"/>
      <c r="F59" s="165"/>
      <c r="G59" s="166" t="s">
        <v>805</v>
      </c>
      <c r="H59" s="720"/>
    </row>
    <row r="60" spans="3:8">
      <c r="C60" s="633" t="s">
        <v>493</v>
      </c>
      <c r="D60" s="634" t="s">
        <v>474</v>
      </c>
      <c r="E60" s="636">
        <v>74009</v>
      </c>
      <c r="F60" s="636"/>
      <c r="G60" s="631">
        <v>3900</v>
      </c>
      <c r="H60" s="720">
        <f t="shared" si="0"/>
        <v>2496</v>
      </c>
    </row>
    <row r="61" spans="3:8">
      <c r="C61" s="637" t="s">
        <v>495</v>
      </c>
      <c r="D61" s="634" t="s">
        <v>474</v>
      </c>
      <c r="E61" s="636">
        <v>74010</v>
      </c>
      <c r="F61" s="636"/>
      <c r="G61" s="631">
        <v>3900</v>
      </c>
      <c r="H61" s="720">
        <f t="shared" si="0"/>
        <v>2496</v>
      </c>
    </row>
    <row r="62" spans="3:8" ht="16.5">
      <c r="C62" s="163"/>
      <c r="D62" s="164"/>
      <c r="E62" s="165"/>
      <c r="F62" s="165"/>
      <c r="G62" s="166" t="s">
        <v>805</v>
      </c>
      <c r="H62" s="720"/>
    </row>
    <row r="63" spans="3:8" ht="15.75">
      <c r="C63" s="1758" t="s">
        <v>497</v>
      </c>
      <c r="D63" s="1759"/>
      <c r="E63" s="1759"/>
      <c r="F63" s="1759"/>
      <c r="G63" s="1759" t="s">
        <v>499</v>
      </c>
      <c r="H63" s="1760"/>
    </row>
    <row r="64" spans="3:8">
      <c r="C64" s="641" t="s">
        <v>1413</v>
      </c>
      <c r="D64" s="164" t="s">
        <v>498</v>
      </c>
      <c r="E64" s="642">
        <v>741062</v>
      </c>
      <c r="F64" s="643" t="s">
        <v>499</v>
      </c>
      <c r="G64" s="631">
        <v>790</v>
      </c>
      <c r="H64" s="723">
        <f>G64-(G64*$H$5)</f>
        <v>576.70000000000005</v>
      </c>
    </row>
    <row r="65" spans="3:8">
      <c r="C65" s="632" t="s">
        <v>500</v>
      </c>
      <c r="D65" s="164" t="s">
        <v>807</v>
      </c>
      <c r="E65" s="165">
        <v>741064</v>
      </c>
      <c r="F65" s="643"/>
      <c r="G65" s="631">
        <v>790</v>
      </c>
      <c r="H65" s="723">
        <f t="shared" ref="H65:H71" si="1">G65-(G65*$H$5)</f>
        <v>576.70000000000005</v>
      </c>
    </row>
    <row r="66" spans="3:8">
      <c r="C66" s="632"/>
      <c r="D66" s="164" t="s">
        <v>501</v>
      </c>
      <c r="E66" s="642">
        <v>741066</v>
      </c>
      <c r="F66" s="643" t="s">
        <v>499</v>
      </c>
      <c r="G66" s="631">
        <v>790</v>
      </c>
      <c r="H66" s="723">
        <f t="shared" si="1"/>
        <v>576.70000000000005</v>
      </c>
    </row>
    <row r="67" spans="3:8">
      <c r="C67" s="628"/>
      <c r="D67" s="164" t="s">
        <v>808</v>
      </c>
      <c r="E67" s="642">
        <v>741067</v>
      </c>
      <c r="F67" s="643" t="s">
        <v>499</v>
      </c>
      <c r="G67" s="631">
        <v>790</v>
      </c>
      <c r="H67" s="723">
        <f t="shared" si="1"/>
        <v>576.70000000000005</v>
      </c>
    </row>
    <row r="68" spans="3:8">
      <c r="C68" s="628"/>
      <c r="D68" s="164" t="s">
        <v>809</v>
      </c>
      <c r="E68" s="642">
        <v>741068</v>
      </c>
      <c r="F68" s="643" t="s">
        <v>499</v>
      </c>
      <c r="G68" s="631">
        <v>790</v>
      </c>
      <c r="H68" s="723">
        <f t="shared" si="1"/>
        <v>576.70000000000005</v>
      </c>
    </row>
    <row r="69" spans="3:8">
      <c r="C69" s="628"/>
      <c r="D69" s="644" t="s">
        <v>810</v>
      </c>
      <c r="E69" s="645">
        <v>741069</v>
      </c>
      <c r="F69" s="643" t="s">
        <v>499</v>
      </c>
      <c r="G69" s="646">
        <v>1060</v>
      </c>
      <c r="H69" s="723">
        <f t="shared" si="1"/>
        <v>773.8</v>
      </c>
    </row>
    <row r="70" spans="3:8">
      <c r="C70" s="628"/>
      <c r="D70" s="644" t="s">
        <v>129</v>
      </c>
      <c r="E70" s="645">
        <v>740035</v>
      </c>
      <c r="F70" s="643"/>
      <c r="G70" s="646">
        <v>1060</v>
      </c>
      <c r="H70" s="723">
        <f t="shared" si="1"/>
        <v>773.8</v>
      </c>
    </row>
    <row r="71" spans="3:8">
      <c r="C71" s="628"/>
      <c r="D71" s="647" t="s">
        <v>811</v>
      </c>
      <c r="E71" s="648">
        <v>741061</v>
      </c>
      <c r="F71" s="643"/>
      <c r="G71" s="649">
        <v>1240</v>
      </c>
      <c r="H71" s="723">
        <f t="shared" si="1"/>
        <v>905.2</v>
      </c>
    </row>
    <row r="72" spans="3:8" ht="16.5">
      <c r="C72" s="163"/>
      <c r="D72" s="164"/>
      <c r="E72" s="165"/>
      <c r="F72" s="165"/>
      <c r="G72" s="166" t="s">
        <v>805</v>
      </c>
      <c r="H72" s="660"/>
    </row>
    <row r="73" spans="3:8">
      <c r="C73" s="628" t="s">
        <v>503</v>
      </c>
      <c r="D73" s="164" t="s">
        <v>498</v>
      </c>
      <c r="E73" s="642">
        <v>740752</v>
      </c>
      <c r="F73" s="165" t="s">
        <v>499</v>
      </c>
      <c r="G73" s="631">
        <v>2400</v>
      </c>
      <c r="H73" s="719">
        <f>G73-(G73*$H$9)</f>
        <v>1536</v>
      </c>
    </row>
    <row r="74" spans="3:8">
      <c r="C74" s="632" t="s">
        <v>504</v>
      </c>
      <c r="D74" s="164" t="s">
        <v>808</v>
      </c>
      <c r="E74" s="165">
        <v>740757</v>
      </c>
      <c r="F74" s="165"/>
      <c r="G74" s="631">
        <v>2500</v>
      </c>
      <c r="H74" s="719">
        <f>G74-(G74*$H$9)</f>
        <v>1600</v>
      </c>
    </row>
    <row r="75" spans="3:8" ht="16.5">
      <c r="C75" s="163"/>
      <c r="D75" s="164"/>
      <c r="E75" s="165"/>
      <c r="F75" s="165"/>
      <c r="G75" s="166" t="s">
        <v>805</v>
      </c>
      <c r="H75" s="660"/>
    </row>
    <row r="76" spans="3:8" ht="15.75">
      <c r="C76" s="1758" t="s">
        <v>505</v>
      </c>
      <c r="D76" s="1759"/>
      <c r="E76" s="1759"/>
      <c r="F76" s="1759"/>
      <c r="G76" s="1759"/>
      <c r="H76" s="1760"/>
    </row>
    <row r="77" spans="3:8">
      <c r="C77" s="641" t="s">
        <v>506</v>
      </c>
      <c r="D77" s="164" t="s">
        <v>103</v>
      </c>
      <c r="E77" s="165">
        <v>732562</v>
      </c>
      <c r="F77" s="643"/>
      <c r="G77" s="650">
        <v>1210</v>
      </c>
      <c r="H77" s="723">
        <f>G77-(G77*$H$5)</f>
        <v>883.3</v>
      </c>
    </row>
    <row r="78" spans="3:8">
      <c r="C78" s="637" t="s">
        <v>507</v>
      </c>
      <c r="D78" s="164" t="s">
        <v>807</v>
      </c>
      <c r="E78" s="165">
        <v>732564</v>
      </c>
      <c r="F78" s="643"/>
      <c r="G78" s="650">
        <v>1210</v>
      </c>
      <c r="H78" s="723">
        <f t="shared" ref="H78:H84" si="2">G78-(G78*$H$5)</f>
        <v>883.3</v>
      </c>
    </row>
    <row r="79" spans="3:8">
      <c r="C79" s="637"/>
      <c r="D79" s="164" t="s">
        <v>812</v>
      </c>
      <c r="E79" s="165">
        <v>732566</v>
      </c>
      <c r="F79" s="643"/>
      <c r="G79" s="650">
        <v>1210</v>
      </c>
      <c r="H79" s="723">
        <f t="shared" si="2"/>
        <v>883.3</v>
      </c>
    </row>
    <row r="80" spans="3:8">
      <c r="C80" s="158"/>
      <c r="D80" s="164" t="s">
        <v>808</v>
      </c>
      <c r="E80" s="642">
        <v>732567</v>
      </c>
      <c r="F80" s="643" t="s">
        <v>499</v>
      </c>
      <c r="G80" s="650">
        <v>1210</v>
      </c>
      <c r="H80" s="723">
        <f t="shared" si="2"/>
        <v>883.3</v>
      </c>
    </row>
    <row r="81" spans="3:8">
      <c r="C81" s="637"/>
      <c r="D81" s="164" t="s">
        <v>151</v>
      </c>
      <c r="E81" s="642">
        <v>732568</v>
      </c>
      <c r="F81" s="643" t="s">
        <v>499</v>
      </c>
      <c r="G81" s="650">
        <v>1210</v>
      </c>
      <c r="H81" s="723">
        <f t="shared" si="2"/>
        <v>883.3</v>
      </c>
    </row>
    <row r="82" spans="3:8">
      <c r="C82" s="637" t="s">
        <v>508</v>
      </c>
      <c r="D82" s="647" t="s">
        <v>810</v>
      </c>
      <c r="E82" s="648">
        <v>732569</v>
      </c>
      <c r="F82" s="643" t="s">
        <v>499</v>
      </c>
      <c r="G82" s="649">
        <v>1450</v>
      </c>
      <c r="H82" s="723">
        <f t="shared" si="2"/>
        <v>1058.5</v>
      </c>
    </row>
    <row r="83" spans="3:8">
      <c r="C83" s="632"/>
      <c r="D83" s="647" t="s">
        <v>129</v>
      </c>
      <c r="E83" s="648">
        <v>732565</v>
      </c>
      <c r="F83" s="643"/>
      <c r="G83" s="649">
        <v>1450</v>
      </c>
      <c r="H83" s="723">
        <f t="shared" si="2"/>
        <v>1058.5</v>
      </c>
    </row>
    <row r="84" spans="3:8">
      <c r="C84" s="632"/>
      <c r="D84" s="647" t="s">
        <v>502</v>
      </c>
      <c r="E84" s="648">
        <v>732561</v>
      </c>
      <c r="F84" s="643"/>
      <c r="G84" s="649">
        <v>1450</v>
      </c>
      <c r="H84" s="723">
        <f t="shared" si="2"/>
        <v>1058.5</v>
      </c>
    </row>
    <row r="85" spans="3:8" ht="16.5">
      <c r="C85" s="163"/>
      <c r="D85" s="164"/>
      <c r="E85" s="165"/>
      <c r="F85" s="165"/>
      <c r="G85" s="166" t="s">
        <v>805</v>
      </c>
      <c r="H85" s="660"/>
    </row>
    <row r="86" spans="3:8" ht="15.75">
      <c r="C86" s="1758" t="s">
        <v>509</v>
      </c>
      <c r="D86" s="1759"/>
      <c r="E86" s="1759"/>
      <c r="F86" s="1759"/>
      <c r="G86" s="1759" t="s">
        <v>499</v>
      </c>
      <c r="H86" s="1760"/>
    </row>
    <row r="87" spans="3:8">
      <c r="C87" s="633" t="s">
        <v>510</v>
      </c>
      <c r="D87" s="634" t="s">
        <v>103</v>
      </c>
      <c r="E87" s="635">
        <v>73552</v>
      </c>
      <c r="F87" s="636" t="s">
        <v>499</v>
      </c>
      <c r="G87" s="631">
        <v>3900</v>
      </c>
      <c r="H87" s="719">
        <f>G87-(G87*36%)</f>
        <v>2496</v>
      </c>
    </row>
    <row r="88" spans="3:8">
      <c r="C88" s="637" t="s">
        <v>511</v>
      </c>
      <c r="D88" s="634" t="s">
        <v>807</v>
      </c>
      <c r="E88" s="636">
        <v>73554</v>
      </c>
      <c r="F88" s="636"/>
      <c r="G88" s="631">
        <v>3900</v>
      </c>
      <c r="H88" s="719">
        <f t="shared" ref="H88:H97" si="3">G88-(G88*36%)</f>
        <v>2496</v>
      </c>
    </row>
    <row r="89" spans="3:8">
      <c r="C89" s="637"/>
      <c r="D89" s="634" t="s">
        <v>812</v>
      </c>
      <c r="E89" s="635">
        <v>73558</v>
      </c>
      <c r="F89" s="636" t="s">
        <v>499</v>
      </c>
      <c r="G89" s="631">
        <v>3900</v>
      </c>
      <c r="H89" s="719">
        <f t="shared" si="3"/>
        <v>2496</v>
      </c>
    </row>
    <row r="90" spans="3:8">
      <c r="C90" s="637" t="s">
        <v>499</v>
      </c>
      <c r="D90" s="634" t="s">
        <v>808</v>
      </c>
      <c r="E90" s="635">
        <v>73557</v>
      </c>
      <c r="F90" s="636" t="s">
        <v>499</v>
      </c>
      <c r="G90" s="631">
        <v>3900</v>
      </c>
      <c r="H90" s="719">
        <f t="shared" si="3"/>
        <v>2496</v>
      </c>
    </row>
    <row r="91" spans="3:8">
      <c r="C91" s="651"/>
      <c r="D91" s="634" t="s">
        <v>512</v>
      </c>
      <c r="E91" s="635">
        <v>73556</v>
      </c>
      <c r="F91" s="636" t="s">
        <v>499</v>
      </c>
      <c r="G91" s="631">
        <v>3900</v>
      </c>
      <c r="H91" s="719">
        <f t="shared" si="3"/>
        <v>2496</v>
      </c>
    </row>
    <row r="92" spans="3:8">
      <c r="C92" s="158"/>
      <c r="D92" s="634" t="s">
        <v>474</v>
      </c>
      <c r="E92" s="636">
        <v>73559</v>
      </c>
      <c r="F92" s="636"/>
      <c r="G92" s="631">
        <v>3900</v>
      </c>
      <c r="H92" s="719">
        <f t="shared" si="3"/>
        <v>2496</v>
      </c>
    </row>
    <row r="93" spans="3:8">
      <c r="C93" s="158"/>
      <c r="D93" s="634" t="s">
        <v>129</v>
      </c>
      <c r="E93" s="636">
        <v>73555</v>
      </c>
      <c r="F93" s="636"/>
      <c r="G93" s="631">
        <v>3900</v>
      </c>
      <c r="H93" s="719">
        <f t="shared" si="3"/>
        <v>2496</v>
      </c>
    </row>
    <row r="94" spans="3:8">
      <c r="C94" s="158"/>
      <c r="D94" s="634" t="s">
        <v>502</v>
      </c>
      <c r="E94" s="636">
        <v>73551</v>
      </c>
      <c r="F94" s="636"/>
      <c r="G94" s="631">
        <v>3900</v>
      </c>
      <c r="H94" s="719">
        <f t="shared" si="3"/>
        <v>2496</v>
      </c>
    </row>
    <row r="95" spans="3:8">
      <c r="C95" s="158"/>
      <c r="D95" s="634" t="s">
        <v>513</v>
      </c>
      <c r="E95" s="636" t="s">
        <v>514</v>
      </c>
      <c r="F95" s="636"/>
      <c r="G95" s="631">
        <v>3900</v>
      </c>
      <c r="H95" s="719">
        <f t="shared" si="3"/>
        <v>2496</v>
      </c>
    </row>
    <row r="96" spans="3:8">
      <c r="C96" s="158"/>
      <c r="D96" s="634" t="s">
        <v>515</v>
      </c>
      <c r="E96" s="636" t="s">
        <v>516</v>
      </c>
      <c r="F96" s="636"/>
      <c r="G96" s="631">
        <v>3900</v>
      </c>
      <c r="H96" s="719">
        <f t="shared" si="3"/>
        <v>2496</v>
      </c>
    </row>
    <row r="97" spans="3:8">
      <c r="C97" s="158"/>
      <c r="D97" s="634" t="s">
        <v>517</v>
      </c>
      <c r="E97" s="636" t="s">
        <v>518</v>
      </c>
      <c r="F97" s="636"/>
      <c r="G97" s="631">
        <v>3900</v>
      </c>
      <c r="H97" s="719">
        <f t="shared" si="3"/>
        <v>2496</v>
      </c>
    </row>
    <row r="98" spans="3:8" ht="16.5">
      <c r="C98" s="163"/>
      <c r="D98" s="164"/>
      <c r="E98" s="165"/>
      <c r="F98" s="165"/>
      <c r="G98" s="166" t="s">
        <v>805</v>
      </c>
      <c r="H98" s="660"/>
    </row>
    <row r="99" spans="3:8">
      <c r="C99" s="641" t="s">
        <v>519</v>
      </c>
      <c r="D99" s="164" t="s">
        <v>103</v>
      </c>
      <c r="E99" s="165">
        <v>75172</v>
      </c>
      <c r="F99" s="643"/>
      <c r="G99" s="631">
        <v>1260</v>
      </c>
      <c r="H99" s="723">
        <f>G99-(G99*$H$5)</f>
        <v>919.8</v>
      </c>
    </row>
    <row r="100" spans="3:8">
      <c r="C100" s="637" t="s">
        <v>520</v>
      </c>
      <c r="D100" s="164" t="s">
        <v>807</v>
      </c>
      <c r="E100" s="165">
        <v>75174</v>
      </c>
      <c r="F100" s="643"/>
      <c r="G100" s="631">
        <v>1260</v>
      </c>
      <c r="H100" s="723">
        <f t="shared" ref="H100:H108" si="4">G100-(G100*$H$5)</f>
        <v>919.8</v>
      </c>
    </row>
    <row r="101" spans="3:8">
      <c r="C101" s="637" t="s">
        <v>521</v>
      </c>
      <c r="D101" s="164" t="s">
        <v>812</v>
      </c>
      <c r="E101" s="165">
        <v>75176</v>
      </c>
      <c r="F101" s="643"/>
      <c r="G101" s="631">
        <v>1260</v>
      </c>
      <c r="H101" s="723">
        <f t="shared" si="4"/>
        <v>919.8</v>
      </c>
    </row>
    <row r="102" spans="3:8">
      <c r="C102" s="637"/>
      <c r="D102" s="164" t="s">
        <v>808</v>
      </c>
      <c r="E102" s="165">
        <v>75177</v>
      </c>
      <c r="F102" s="643"/>
      <c r="G102" s="631">
        <v>1260</v>
      </c>
      <c r="H102" s="723">
        <f t="shared" si="4"/>
        <v>919.8</v>
      </c>
    </row>
    <row r="103" spans="3:8">
      <c r="C103" s="633"/>
      <c r="D103" s="164" t="s">
        <v>151</v>
      </c>
      <c r="E103" s="165">
        <v>75178</v>
      </c>
      <c r="F103" s="643"/>
      <c r="G103" s="631">
        <v>1260</v>
      </c>
      <c r="H103" s="723">
        <f t="shared" si="4"/>
        <v>919.8</v>
      </c>
    </row>
    <row r="104" spans="3:8">
      <c r="C104" s="633"/>
      <c r="D104" s="164" t="s">
        <v>810</v>
      </c>
      <c r="E104" s="165">
        <v>75179</v>
      </c>
      <c r="F104" s="643"/>
      <c r="G104" s="631">
        <v>1260</v>
      </c>
      <c r="H104" s="723">
        <f t="shared" si="4"/>
        <v>919.8</v>
      </c>
    </row>
    <row r="105" spans="3:8">
      <c r="C105" s="632"/>
      <c r="D105" s="652" t="s">
        <v>129</v>
      </c>
      <c r="E105" s="653">
        <v>75175</v>
      </c>
      <c r="F105" s="643"/>
      <c r="G105" s="654">
        <v>1580</v>
      </c>
      <c r="H105" s="723">
        <f t="shared" si="4"/>
        <v>1153.4000000000001</v>
      </c>
    </row>
    <row r="106" spans="3:8">
      <c r="C106" s="633"/>
      <c r="D106" s="652" t="s">
        <v>513</v>
      </c>
      <c r="E106" s="653" t="s">
        <v>522</v>
      </c>
      <c r="F106" s="643"/>
      <c r="G106" s="654">
        <v>1580</v>
      </c>
      <c r="H106" s="723">
        <f t="shared" si="4"/>
        <v>1153.4000000000001</v>
      </c>
    </row>
    <row r="107" spans="3:8">
      <c r="C107" s="633"/>
      <c r="D107" s="652" t="s">
        <v>515</v>
      </c>
      <c r="E107" s="653" t="s">
        <v>523</v>
      </c>
      <c r="F107" s="643"/>
      <c r="G107" s="654">
        <v>1580</v>
      </c>
      <c r="H107" s="723">
        <f t="shared" si="4"/>
        <v>1153.4000000000001</v>
      </c>
    </row>
    <row r="108" spans="3:8">
      <c r="C108" s="632"/>
      <c r="D108" s="652" t="s">
        <v>517</v>
      </c>
      <c r="E108" s="653" t="s">
        <v>524</v>
      </c>
      <c r="F108" s="643"/>
      <c r="G108" s="654">
        <v>1580</v>
      </c>
      <c r="H108" s="723">
        <f t="shared" si="4"/>
        <v>1153.4000000000001</v>
      </c>
    </row>
    <row r="109" spans="3:8" ht="16.5">
      <c r="C109" s="163"/>
      <c r="D109" s="164"/>
      <c r="E109" s="165"/>
      <c r="F109" s="165"/>
      <c r="G109" s="166" t="s">
        <v>805</v>
      </c>
      <c r="H109" s="660"/>
    </row>
    <row r="110" spans="3:8">
      <c r="C110" s="628" t="s">
        <v>1414</v>
      </c>
      <c r="D110" s="634" t="s">
        <v>470</v>
      </c>
      <c r="E110" s="636">
        <v>740762</v>
      </c>
      <c r="F110" s="636"/>
      <c r="G110" s="631">
        <v>3800</v>
      </c>
      <c r="H110" s="719">
        <f>G110-(G110*$H$9)</f>
        <v>2432</v>
      </c>
    </row>
    <row r="111" spans="3:8">
      <c r="C111" s="655" t="s">
        <v>1415</v>
      </c>
      <c r="D111" s="634" t="s">
        <v>152</v>
      </c>
      <c r="E111" s="636">
        <v>740764</v>
      </c>
      <c r="F111" s="636"/>
      <c r="G111" s="631">
        <v>3800</v>
      </c>
      <c r="H111" s="719">
        <f t="shared" ref="H111:H122" si="5">G111-(G111*$H$9)</f>
        <v>2432</v>
      </c>
    </row>
    <row r="112" spans="3:8">
      <c r="C112" s="628"/>
      <c r="D112" s="164" t="s">
        <v>808</v>
      </c>
      <c r="E112" s="636">
        <v>740767</v>
      </c>
      <c r="F112" s="636"/>
      <c r="G112" s="631">
        <v>3800</v>
      </c>
      <c r="H112" s="719">
        <f t="shared" si="5"/>
        <v>2432</v>
      </c>
    </row>
    <row r="113" spans="3:8">
      <c r="C113" s="628"/>
      <c r="D113" s="164" t="s">
        <v>151</v>
      </c>
      <c r="E113" s="165">
        <v>740768</v>
      </c>
      <c r="F113" s="636"/>
      <c r="G113" s="631">
        <v>3800</v>
      </c>
      <c r="H113" s="719">
        <f t="shared" si="5"/>
        <v>2432</v>
      </c>
    </row>
    <row r="114" spans="3:8">
      <c r="C114" s="628"/>
      <c r="D114" s="164" t="s">
        <v>810</v>
      </c>
      <c r="E114" s="165">
        <v>740769</v>
      </c>
      <c r="F114" s="636"/>
      <c r="G114" s="631">
        <v>3800</v>
      </c>
      <c r="H114" s="719">
        <f t="shared" si="5"/>
        <v>2432</v>
      </c>
    </row>
    <row r="115" spans="3:8">
      <c r="C115" s="628"/>
      <c r="D115" s="164" t="s">
        <v>515</v>
      </c>
      <c r="E115" s="165" t="s">
        <v>1416</v>
      </c>
      <c r="F115" s="636"/>
      <c r="G115" s="631">
        <v>3800</v>
      </c>
      <c r="H115" s="719">
        <f t="shared" si="5"/>
        <v>2432</v>
      </c>
    </row>
    <row r="116" spans="3:8" ht="16.5">
      <c r="C116" s="163"/>
      <c r="D116" s="164"/>
      <c r="E116" s="165"/>
      <c r="F116" s="165"/>
      <c r="G116" s="166" t="s">
        <v>805</v>
      </c>
      <c r="H116" s="719"/>
    </row>
    <row r="117" spans="3:8">
      <c r="C117" s="633" t="s">
        <v>525</v>
      </c>
      <c r="D117" s="634" t="s">
        <v>103</v>
      </c>
      <c r="E117" s="636">
        <v>74007</v>
      </c>
      <c r="F117" s="636"/>
      <c r="G117" s="631">
        <v>6200</v>
      </c>
      <c r="H117" s="719">
        <f t="shared" si="5"/>
        <v>3968</v>
      </c>
    </row>
    <row r="118" spans="3:8">
      <c r="C118" s="637" t="s">
        <v>526</v>
      </c>
      <c r="D118" s="634" t="s">
        <v>807</v>
      </c>
      <c r="E118" s="636">
        <v>740074</v>
      </c>
      <c r="F118" s="634"/>
      <c r="G118" s="631">
        <v>6200</v>
      </c>
      <c r="H118" s="719">
        <f t="shared" si="5"/>
        <v>3968</v>
      </c>
    </row>
    <row r="119" spans="3:8">
      <c r="C119" s="637" t="s">
        <v>527</v>
      </c>
      <c r="D119" s="634" t="s">
        <v>812</v>
      </c>
      <c r="E119" s="636">
        <v>740076</v>
      </c>
      <c r="F119" s="634"/>
      <c r="G119" s="631">
        <v>6200</v>
      </c>
      <c r="H119" s="719">
        <f t="shared" si="5"/>
        <v>3968</v>
      </c>
    </row>
    <row r="120" spans="3:8">
      <c r="C120" s="637" t="s">
        <v>528</v>
      </c>
      <c r="D120" s="634" t="s">
        <v>808</v>
      </c>
      <c r="E120" s="636">
        <v>740077</v>
      </c>
      <c r="F120" s="634"/>
      <c r="G120" s="631">
        <v>6200</v>
      </c>
      <c r="H120" s="719">
        <f t="shared" si="5"/>
        <v>3968</v>
      </c>
    </row>
    <row r="121" spans="3:8">
      <c r="C121" s="637"/>
      <c r="D121" s="634" t="s">
        <v>151</v>
      </c>
      <c r="E121" s="636">
        <v>740078</v>
      </c>
      <c r="F121" s="634"/>
      <c r="G121" s="631">
        <v>6200</v>
      </c>
      <c r="H121" s="719">
        <f t="shared" si="5"/>
        <v>3968</v>
      </c>
    </row>
    <row r="122" spans="3:8">
      <c r="C122" s="637"/>
      <c r="D122" s="634" t="s">
        <v>810</v>
      </c>
      <c r="E122" s="636">
        <v>740079</v>
      </c>
      <c r="F122" s="634"/>
      <c r="G122" s="631">
        <v>6200</v>
      </c>
      <c r="H122" s="719">
        <f t="shared" si="5"/>
        <v>3968</v>
      </c>
    </row>
    <row r="123" spans="3:8" ht="15.75">
      <c r="C123" s="1758" t="s">
        <v>813</v>
      </c>
      <c r="D123" s="1759"/>
      <c r="E123" s="1759"/>
      <c r="F123" s="1759"/>
      <c r="G123" s="1759" t="s">
        <v>499</v>
      </c>
      <c r="H123" s="1760"/>
    </row>
    <row r="124" spans="3:8">
      <c r="C124" s="656" t="s">
        <v>529</v>
      </c>
      <c r="D124" s="634" t="s">
        <v>103</v>
      </c>
      <c r="E124" s="636">
        <v>732612</v>
      </c>
      <c r="F124" s="636"/>
      <c r="G124" s="631">
        <v>2900</v>
      </c>
      <c r="H124" s="719">
        <f>G124-(G124*$H$9)</f>
        <v>1856</v>
      </c>
    </row>
    <row r="125" spans="3:8">
      <c r="C125" s="632" t="s">
        <v>530</v>
      </c>
      <c r="D125" s="634" t="s">
        <v>807</v>
      </c>
      <c r="E125" s="636">
        <v>732614</v>
      </c>
      <c r="F125" s="636"/>
      <c r="G125" s="631">
        <v>2900</v>
      </c>
      <c r="H125" s="719">
        <f t="shared" ref="H125:H131" si="6">G125-(G125*$H$9)</f>
        <v>1856</v>
      </c>
    </row>
    <row r="126" spans="3:8">
      <c r="C126" s="632"/>
      <c r="D126" s="634" t="s">
        <v>812</v>
      </c>
      <c r="E126" s="636">
        <v>732616</v>
      </c>
      <c r="F126" s="636"/>
      <c r="G126" s="631">
        <v>2900</v>
      </c>
      <c r="H126" s="719">
        <f t="shared" si="6"/>
        <v>1856</v>
      </c>
    </row>
    <row r="127" spans="3:8">
      <c r="C127" s="632"/>
      <c r="D127" s="634" t="s">
        <v>808</v>
      </c>
      <c r="E127" s="636">
        <v>732617</v>
      </c>
      <c r="F127" s="636"/>
      <c r="G127" s="631">
        <v>2900</v>
      </c>
      <c r="H127" s="719">
        <f t="shared" si="6"/>
        <v>1856</v>
      </c>
    </row>
    <row r="128" spans="3:8">
      <c r="C128" s="628"/>
      <c r="D128" s="634" t="s">
        <v>151</v>
      </c>
      <c r="E128" s="636">
        <v>732618</v>
      </c>
      <c r="F128" s="636"/>
      <c r="G128" s="631">
        <v>2900</v>
      </c>
      <c r="H128" s="719">
        <f t="shared" si="6"/>
        <v>1856</v>
      </c>
    </row>
    <row r="129" spans="3:8">
      <c r="C129" s="628"/>
      <c r="D129" s="634" t="s">
        <v>810</v>
      </c>
      <c r="E129" s="636">
        <v>732619</v>
      </c>
      <c r="F129" s="636"/>
      <c r="G129" s="631">
        <v>2900</v>
      </c>
      <c r="H129" s="719">
        <f t="shared" si="6"/>
        <v>1856</v>
      </c>
    </row>
    <row r="130" spans="3:8" ht="16.5">
      <c r="C130" s="163"/>
      <c r="D130" s="164"/>
      <c r="E130" s="165"/>
      <c r="F130" s="165"/>
      <c r="G130" s="166" t="s">
        <v>805</v>
      </c>
      <c r="H130" s="719"/>
    </row>
    <row r="131" spans="3:8">
      <c r="C131" s="657" t="s">
        <v>531</v>
      </c>
      <c r="D131" s="634" t="s">
        <v>103</v>
      </c>
      <c r="E131" s="636">
        <v>732021</v>
      </c>
      <c r="F131" s="634"/>
      <c r="G131" s="631">
        <v>400</v>
      </c>
      <c r="H131" s="719">
        <f t="shared" si="6"/>
        <v>256</v>
      </c>
    </row>
    <row r="132" spans="3:8" ht="16.5">
      <c r="C132" s="1761" t="s">
        <v>532</v>
      </c>
      <c r="D132" s="1186"/>
      <c r="E132" s="1186"/>
      <c r="F132" s="1186"/>
      <c r="G132" s="1186" t="s">
        <v>499</v>
      </c>
      <c r="H132" s="1749"/>
    </row>
    <row r="133" spans="3:8" ht="16.5">
      <c r="C133" s="163"/>
      <c r="D133" s="164"/>
      <c r="E133" s="165"/>
      <c r="F133" s="165"/>
      <c r="G133" s="166"/>
      <c r="H133" s="660"/>
    </row>
    <row r="134" spans="3:8">
      <c r="C134" s="633" t="s">
        <v>533</v>
      </c>
      <c r="D134" s="634" t="s">
        <v>498</v>
      </c>
      <c r="E134" s="636">
        <v>740102</v>
      </c>
      <c r="F134" s="636"/>
      <c r="G134" s="631">
        <v>9800</v>
      </c>
      <c r="H134" s="719">
        <f>G134-(G134*$H$9)</f>
        <v>6272</v>
      </c>
    </row>
    <row r="135" spans="3:8">
      <c r="C135" s="637" t="s">
        <v>534</v>
      </c>
      <c r="D135" s="634" t="s">
        <v>807</v>
      </c>
      <c r="E135" s="636">
        <v>740104</v>
      </c>
      <c r="F135" s="636"/>
      <c r="G135" s="631">
        <v>9800</v>
      </c>
      <c r="H135" s="719">
        <f t="shared" ref="H135:H179" si="7">G135-(G135*$H$9)</f>
        <v>6272</v>
      </c>
    </row>
    <row r="136" spans="3:8">
      <c r="C136" s="651" t="s">
        <v>535</v>
      </c>
      <c r="D136" s="634" t="s">
        <v>473</v>
      </c>
      <c r="E136" s="636">
        <v>740106</v>
      </c>
      <c r="F136" s="636"/>
      <c r="G136" s="631">
        <v>9800</v>
      </c>
      <c r="H136" s="719">
        <f t="shared" si="7"/>
        <v>6272</v>
      </c>
    </row>
    <row r="137" spans="3:8">
      <c r="C137" s="637" t="s">
        <v>478</v>
      </c>
      <c r="D137" s="634" t="s">
        <v>808</v>
      </c>
      <c r="E137" s="636">
        <v>740107</v>
      </c>
      <c r="F137" s="636"/>
      <c r="G137" s="631">
        <v>9800</v>
      </c>
      <c r="H137" s="719">
        <f t="shared" si="7"/>
        <v>6272</v>
      </c>
    </row>
    <row r="138" spans="3:8">
      <c r="C138" s="637"/>
      <c r="D138" s="634" t="s">
        <v>809</v>
      </c>
      <c r="E138" s="636">
        <v>740108</v>
      </c>
      <c r="F138" s="636"/>
      <c r="G138" s="631">
        <v>9800</v>
      </c>
      <c r="H138" s="719">
        <f t="shared" si="7"/>
        <v>6272</v>
      </c>
    </row>
    <row r="139" spans="3:8">
      <c r="C139" s="633"/>
      <c r="D139" s="634" t="s">
        <v>474</v>
      </c>
      <c r="E139" s="636">
        <v>740109</v>
      </c>
      <c r="F139" s="636"/>
      <c r="G139" s="631">
        <v>9800</v>
      </c>
      <c r="H139" s="719">
        <f t="shared" si="7"/>
        <v>6272</v>
      </c>
    </row>
    <row r="140" spans="3:8" ht="16.5">
      <c r="C140" s="163"/>
      <c r="D140" s="164"/>
      <c r="E140" s="165"/>
      <c r="F140" s="165"/>
      <c r="G140" s="166" t="s">
        <v>805</v>
      </c>
      <c r="H140" s="719"/>
    </row>
    <row r="141" spans="3:8">
      <c r="C141" s="633" t="s">
        <v>536</v>
      </c>
      <c r="D141" s="634" t="s">
        <v>103</v>
      </c>
      <c r="E141" s="636">
        <v>740042</v>
      </c>
      <c r="F141" s="636"/>
      <c r="G141" s="631">
        <v>6750</v>
      </c>
      <c r="H141" s="719">
        <f t="shared" si="7"/>
        <v>4320</v>
      </c>
    </row>
    <row r="142" spans="3:8">
      <c r="C142" s="632" t="s">
        <v>537</v>
      </c>
      <c r="D142" s="634" t="s">
        <v>807</v>
      </c>
      <c r="E142" s="636">
        <v>740044</v>
      </c>
      <c r="F142" s="636"/>
      <c r="G142" s="631">
        <v>6750</v>
      </c>
      <c r="H142" s="719">
        <f t="shared" si="7"/>
        <v>4320</v>
      </c>
    </row>
    <row r="143" spans="3:8">
      <c r="C143" s="632"/>
      <c r="D143" s="634" t="s">
        <v>501</v>
      </c>
      <c r="E143" s="636">
        <v>740046</v>
      </c>
      <c r="F143" s="636"/>
      <c r="G143" s="631">
        <v>6750</v>
      </c>
      <c r="H143" s="719">
        <f t="shared" si="7"/>
        <v>4320</v>
      </c>
    </row>
    <row r="144" spans="3:8">
      <c r="C144" s="651"/>
      <c r="D144" s="634" t="s">
        <v>538</v>
      </c>
      <c r="E144" s="636">
        <v>740047</v>
      </c>
      <c r="F144" s="636"/>
      <c r="G144" s="631">
        <v>6750</v>
      </c>
      <c r="H144" s="719">
        <f t="shared" si="7"/>
        <v>4320</v>
      </c>
    </row>
    <row r="145" spans="3:8">
      <c r="C145" s="637"/>
      <c r="D145" s="634" t="s">
        <v>512</v>
      </c>
      <c r="E145" s="636">
        <v>740048</v>
      </c>
      <c r="F145" s="636"/>
      <c r="G145" s="631">
        <v>6750</v>
      </c>
      <c r="H145" s="719">
        <f t="shared" si="7"/>
        <v>4320</v>
      </c>
    </row>
    <row r="146" spans="3:8">
      <c r="C146" s="633"/>
      <c r="D146" s="634" t="s">
        <v>539</v>
      </c>
      <c r="E146" s="636">
        <v>740049</v>
      </c>
      <c r="F146" s="636"/>
      <c r="G146" s="631">
        <v>6750</v>
      </c>
      <c r="H146" s="719">
        <f t="shared" si="7"/>
        <v>4320</v>
      </c>
    </row>
    <row r="147" spans="3:8" ht="16.5">
      <c r="C147" s="163"/>
      <c r="D147" s="164"/>
      <c r="E147" s="165"/>
      <c r="F147" s="165"/>
      <c r="G147" s="166" t="s">
        <v>805</v>
      </c>
      <c r="H147" s="719"/>
    </row>
    <row r="148" spans="3:8">
      <c r="C148" s="628" t="s">
        <v>540</v>
      </c>
      <c r="D148" s="164" t="s">
        <v>103</v>
      </c>
      <c r="E148" s="165">
        <v>740052</v>
      </c>
      <c r="F148" s="165"/>
      <c r="G148" s="631">
        <v>6750</v>
      </c>
      <c r="H148" s="719">
        <f t="shared" si="7"/>
        <v>4320</v>
      </c>
    </row>
    <row r="149" spans="3:8">
      <c r="C149" s="632" t="s">
        <v>504</v>
      </c>
      <c r="D149" s="164" t="s">
        <v>538</v>
      </c>
      <c r="E149" s="165">
        <v>740057</v>
      </c>
      <c r="F149" s="165"/>
      <c r="G149" s="631">
        <v>6750</v>
      </c>
      <c r="H149" s="719">
        <f t="shared" si="7"/>
        <v>4320</v>
      </c>
    </row>
    <row r="150" spans="3:8" ht="16.5">
      <c r="C150" s="163"/>
      <c r="D150" s="164"/>
      <c r="E150" s="165"/>
      <c r="F150" s="165"/>
      <c r="G150" s="166" t="s">
        <v>805</v>
      </c>
      <c r="H150" s="719"/>
    </row>
    <row r="151" spans="3:8">
      <c r="C151" s="633" t="s">
        <v>541</v>
      </c>
      <c r="D151" s="634" t="s">
        <v>470</v>
      </c>
      <c r="E151" s="636">
        <v>732542</v>
      </c>
      <c r="F151" s="636"/>
      <c r="G151" s="631">
        <v>8650</v>
      </c>
      <c r="H151" s="719">
        <f t="shared" si="7"/>
        <v>5536</v>
      </c>
    </row>
    <row r="152" spans="3:8">
      <c r="C152" s="637" t="s">
        <v>542</v>
      </c>
      <c r="D152" s="634" t="s">
        <v>543</v>
      </c>
      <c r="E152" s="636">
        <v>732544</v>
      </c>
      <c r="F152" s="636"/>
      <c r="G152" s="631">
        <v>8650</v>
      </c>
      <c r="H152" s="719">
        <f t="shared" si="7"/>
        <v>5536</v>
      </c>
    </row>
    <row r="153" spans="3:8">
      <c r="C153" s="637"/>
      <c r="D153" s="634" t="s">
        <v>501</v>
      </c>
      <c r="E153" s="636">
        <v>732546</v>
      </c>
      <c r="F153" s="636"/>
      <c r="G153" s="631">
        <v>8650</v>
      </c>
      <c r="H153" s="719">
        <f t="shared" si="7"/>
        <v>5536</v>
      </c>
    </row>
    <row r="154" spans="3:8">
      <c r="C154" s="158"/>
      <c r="D154" s="634" t="s">
        <v>538</v>
      </c>
      <c r="E154" s="636">
        <v>732547</v>
      </c>
      <c r="F154" s="636"/>
      <c r="G154" s="631">
        <v>8650</v>
      </c>
      <c r="H154" s="719">
        <f t="shared" si="7"/>
        <v>5536</v>
      </c>
    </row>
    <row r="155" spans="3:8">
      <c r="C155" s="651"/>
      <c r="D155" s="634" t="s">
        <v>512</v>
      </c>
      <c r="E155" s="636">
        <v>732548</v>
      </c>
      <c r="F155" s="636"/>
      <c r="G155" s="631">
        <v>8650</v>
      </c>
      <c r="H155" s="719">
        <f t="shared" si="7"/>
        <v>5536</v>
      </c>
    </row>
    <row r="156" spans="3:8">
      <c r="C156" s="637"/>
      <c r="D156" s="634" t="s">
        <v>539</v>
      </c>
      <c r="E156" s="636">
        <v>732549</v>
      </c>
      <c r="F156" s="636"/>
      <c r="G156" s="631">
        <v>8650</v>
      </c>
      <c r="H156" s="719">
        <f t="shared" si="7"/>
        <v>5536</v>
      </c>
    </row>
    <row r="157" spans="3:8" ht="16.5">
      <c r="C157" s="163"/>
      <c r="D157" s="164"/>
      <c r="E157" s="165"/>
      <c r="F157" s="165"/>
      <c r="G157" s="166" t="s">
        <v>805</v>
      </c>
      <c r="H157" s="719"/>
    </row>
    <row r="158" spans="3:8">
      <c r="C158" s="628" t="s">
        <v>544</v>
      </c>
      <c r="D158" s="634" t="s">
        <v>498</v>
      </c>
      <c r="E158" s="636">
        <v>735502</v>
      </c>
      <c r="F158" s="636"/>
      <c r="G158" s="631">
        <v>9800</v>
      </c>
      <c r="H158" s="719">
        <f t="shared" si="7"/>
        <v>6272</v>
      </c>
    </row>
    <row r="159" spans="3:8">
      <c r="C159" s="632" t="s">
        <v>545</v>
      </c>
      <c r="D159" s="634" t="s">
        <v>543</v>
      </c>
      <c r="E159" s="636">
        <v>735504</v>
      </c>
      <c r="F159" s="636"/>
      <c r="G159" s="631">
        <v>9800</v>
      </c>
      <c r="H159" s="719">
        <f t="shared" si="7"/>
        <v>6272</v>
      </c>
    </row>
    <row r="160" spans="3:8">
      <c r="C160" s="632" t="s">
        <v>546</v>
      </c>
      <c r="D160" s="634" t="s">
        <v>501</v>
      </c>
      <c r="E160" s="636">
        <v>735506</v>
      </c>
      <c r="F160" s="636"/>
      <c r="G160" s="631">
        <v>9800</v>
      </c>
      <c r="H160" s="719">
        <f t="shared" si="7"/>
        <v>6272</v>
      </c>
    </row>
    <row r="161" spans="3:8">
      <c r="C161" s="632" t="s">
        <v>547</v>
      </c>
      <c r="D161" s="634" t="s">
        <v>538</v>
      </c>
      <c r="E161" s="636">
        <v>735507</v>
      </c>
      <c r="F161" s="636"/>
      <c r="G161" s="631">
        <v>9800</v>
      </c>
      <c r="H161" s="719">
        <f t="shared" si="7"/>
        <v>6272</v>
      </c>
    </row>
    <row r="162" spans="3:8">
      <c r="C162" s="651"/>
      <c r="D162" s="634" t="s">
        <v>512</v>
      </c>
      <c r="E162" s="636">
        <v>735508</v>
      </c>
      <c r="F162" s="636"/>
      <c r="G162" s="631">
        <v>9800</v>
      </c>
      <c r="H162" s="719">
        <f t="shared" si="7"/>
        <v>6272</v>
      </c>
    </row>
    <row r="163" spans="3:8">
      <c r="C163" s="637"/>
      <c r="D163" s="634" t="s">
        <v>539</v>
      </c>
      <c r="E163" s="636">
        <v>735509</v>
      </c>
      <c r="F163" s="636"/>
      <c r="G163" s="631">
        <v>9800</v>
      </c>
      <c r="H163" s="719">
        <f t="shared" si="7"/>
        <v>6272</v>
      </c>
    </row>
    <row r="164" spans="3:8" ht="16.5">
      <c r="C164" s="163"/>
      <c r="D164" s="164"/>
      <c r="E164" s="165"/>
      <c r="F164" s="165"/>
      <c r="G164" s="166" t="s">
        <v>805</v>
      </c>
      <c r="H164" s="719"/>
    </row>
    <row r="165" spans="3:8">
      <c r="C165" s="628" t="s">
        <v>548</v>
      </c>
      <c r="D165" s="634" t="s">
        <v>498</v>
      </c>
      <c r="E165" s="636">
        <v>735512</v>
      </c>
      <c r="F165" s="637"/>
      <c r="G165" s="631">
        <v>9600</v>
      </c>
      <c r="H165" s="719">
        <f t="shared" si="7"/>
        <v>6144</v>
      </c>
    </row>
    <row r="166" spans="3:8">
      <c r="C166" s="632" t="s">
        <v>549</v>
      </c>
      <c r="D166" s="634" t="s">
        <v>543</v>
      </c>
      <c r="E166" s="636">
        <v>735514</v>
      </c>
      <c r="F166" s="637"/>
      <c r="G166" s="631">
        <v>9600</v>
      </c>
      <c r="H166" s="719">
        <f t="shared" si="7"/>
        <v>6144</v>
      </c>
    </row>
    <row r="167" spans="3:8">
      <c r="C167" s="632" t="s">
        <v>550</v>
      </c>
      <c r="D167" s="634" t="s">
        <v>501</v>
      </c>
      <c r="E167" s="636">
        <v>735516</v>
      </c>
      <c r="F167" s="637"/>
      <c r="G167" s="631">
        <v>9600</v>
      </c>
      <c r="H167" s="719">
        <f t="shared" si="7"/>
        <v>6144</v>
      </c>
    </row>
    <row r="168" spans="3:8">
      <c r="C168" s="632" t="s">
        <v>551</v>
      </c>
      <c r="D168" s="634" t="s">
        <v>538</v>
      </c>
      <c r="E168" s="636">
        <v>735517</v>
      </c>
      <c r="F168" s="637"/>
      <c r="G168" s="631">
        <v>9600</v>
      </c>
      <c r="H168" s="719">
        <f t="shared" si="7"/>
        <v>6144</v>
      </c>
    </row>
    <row r="169" spans="3:8">
      <c r="C169" s="637"/>
      <c r="D169" s="634" t="s">
        <v>512</v>
      </c>
      <c r="E169" s="636">
        <v>735518</v>
      </c>
      <c r="F169" s="637"/>
      <c r="G169" s="631">
        <v>9600</v>
      </c>
      <c r="H169" s="719">
        <f t="shared" si="7"/>
        <v>6144</v>
      </c>
    </row>
    <row r="170" spans="3:8">
      <c r="D170" s="634" t="s">
        <v>539</v>
      </c>
      <c r="E170" s="636">
        <v>735519</v>
      </c>
      <c r="F170" s="637"/>
      <c r="G170" s="631">
        <v>9600</v>
      </c>
      <c r="H170" s="719">
        <f t="shared" si="7"/>
        <v>6144</v>
      </c>
    </row>
    <row r="171" spans="3:8" ht="16.5">
      <c r="C171" s="163"/>
      <c r="D171" s="164"/>
      <c r="E171" s="165"/>
      <c r="F171" s="165"/>
      <c r="G171" s="166" t="s">
        <v>805</v>
      </c>
      <c r="H171" s="719"/>
    </row>
    <row r="172" spans="3:8">
      <c r="C172" s="628" t="s">
        <v>552</v>
      </c>
      <c r="D172" s="634" t="s">
        <v>498</v>
      </c>
      <c r="E172" s="636">
        <v>740092</v>
      </c>
      <c r="F172" s="637"/>
      <c r="G172" s="631">
        <v>2900</v>
      </c>
      <c r="H172" s="719">
        <f t="shared" si="7"/>
        <v>1856</v>
      </c>
    </row>
    <row r="173" spans="3:8">
      <c r="C173" s="632" t="s">
        <v>549</v>
      </c>
      <c r="D173" s="634" t="s">
        <v>543</v>
      </c>
      <c r="E173" s="636">
        <v>740094</v>
      </c>
      <c r="F173" s="637"/>
      <c r="G173" s="631">
        <v>2900</v>
      </c>
      <c r="H173" s="719">
        <f t="shared" si="7"/>
        <v>1856</v>
      </c>
    </row>
    <row r="174" spans="3:8">
      <c r="C174" s="632" t="s">
        <v>550</v>
      </c>
      <c r="D174" s="634" t="s">
        <v>501</v>
      </c>
      <c r="E174" s="636">
        <v>740096</v>
      </c>
      <c r="F174" s="637"/>
      <c r="G174" s="631">
        <v>2900</v>
      </c>
      <c r="H174" s="719">
        <f t="shared" si="7"/>
        <v>1856</v>
      </c>
    </row>
    <row r="175" spans="3:8">
      <c r="C175" s="632" t="s">
        <v>814</v>
      </c>
      <c r="D175" s="634" t="s">
        <v>538</v>
      </c>
      <c r="E175" s="636">
        <v>740097</v>
      </c>
      <c r="F175" s="637"/>
      <c r="G175" s="631">
        <v>2900</v>
      </c>
      <c r="H175" s="719">
        <f t="shared" si="7"/>
        <v>1856</v>
      </c>
    </row>
    <row r="176" spans="3:8">
      <c r="C176" s="637" t="s">
        <v>553</v>
      </c>
      <c r="D176" s="634" t="s">
        <v>512</v>
      </c>
      <c r="E176" s="636">
        <v>740098</v>
      </c>
      <c r="F176" s="637"/>
      <c r="G176" s="631">
        <v>2900</v>
      </c>
      <c r="H176" s="719">
        <f t="shared" si="7"/>
        <v>1856</v>
      </c>
    </row>
    <row r="177" spans="3:8">
      <c r="C177" s="658" t="s">
        <v>554</v>
      </c>
      <c r="D177" s="634" t="s">
        <v>539</v>
      </c>
      <c r="E177" s="636">
        <v>740099</v>
      </c>
      <c r="F177" s="637"/>
      <c r="G177" s="631">
        <v>2900</v>
      </c>
      <c r="H177" s="719">
        <f t="shared" si="7"/>
        <v>1856</v>
      </c>
    </row>
    <row r="178" spans="3:8" ht="16.5">
      <c r="C178" s="163"/>
      <c r="D178" s="164"/>
      <c r="E178" s="165"/>
      <c r="F178" s="165"/>
      <c r="G178" s="166" t="s">
        <v>805</v>
      </c>
      <c r="H178" s="719"/>
    </row>
    <row r="179" spans="3:8">
      <c r="C179" s="633" t="s">
        <v>555</v>
      </c>
      <c r="D179" t="s">
        <v>470</v>
      </c>
      <c r="E179" s="636" t="s">
        <v>556</v>
      </c>
      <c r="F179" s="637"/>
      <c r="G179" s="631">
        <v>1200</v>
      </c>
      <c r="H179" s="719">
        <f t="shared" si="7"/>
        <v>768</v>
      </c>
    </row>
    <row r="180" spans="3:8" ht="16.5">
      <c r="C180" s="163"/>
      <c r="D180" s="164"/>
      <c r="E180" s="165"/>
      <c r="F180" s="165"/>
      <c r="G180" s="166" t="s">
        <v>805</v>
      </c>
      <c r="H180" s="660"/>
    </row>
    <row r="181" spans="3:8" ht="16.5">
      <c r="C181" s="1761" t="s">
        <v>815</v>
      </c>
      <c r="D181" s="1186"/>
      <c r="E181" s="1186"/>
      <c r="F181" s="1186"/>
      <c r="G181" s="1186"/>
      <c r="H181" s="1749"/>
    </row>
    <row r="182" spans="3:8">
      <c r="C182" s="628" t="s">
        <v>557</v>
      </c>
      <c r="D182" s="164" t="s">
        <v>498</v>
      </c>
      <c r="E182" s="165">
        <v>75642</v>
      </c>
      <c r="F182" s="165"/>
      <c r="G182" s="631">
        <v>4900</v>
      </c>
      <c r="H182" s="719">
        <f>G182-(G182*$H$9)</f>
        <v>3136</v>
      </c>
    </row>
    <row r="183" spans="3:8">
      <c r="C183" s="632" t="s">
        <v>558</v>
      </c>
      <c r="D183" s="164" t="s">
        <v>807</v>
      </c>
      <c r="E183" s="165">
        <v>75644</v>
      </c>
      <c r="F183" s="165"/>
      <c r="G183" s="631">
        <v>4900</v>
      </c>
      <c r="H183" s="719">
        <f t="shared" ref="H183:H229" si="8">G183-(G183*$H$9)</f>
        <v>3136</v>
      </c>
    </row>
    <row r="184" spans="3:8">
      <c r="C184" s="659"/>
      <c r="D184" s="164" t="s">
        <v>501</v>
      </c>
      <c r="E184" s="165">
        <v>75646</v>
      </c>
      <c r="F184" s="165"/>
      <c r="G184" s="631">
        <v>4900</v>
      </c>
      <c r="H184" s="719">
        <f t="shared" si="8"/>
        <v>3136</v>
      </c>
    </row>
    <row r="185" spans="3:8">
      <c r="C185" s="628"/>
      <c r="D185" s="164" t="s">
        <v>808</v>
      </c>
      <c r="E185" s="165">
        <v>75647</v>
      </c>
      <c r="F185" s="165"/>
      <c r="G185" s="631">
        <v>4900</v>
      </c>
      <c r="H185" s="719">
        <f t="shared" si="8"/>
        <v>3136</v>
      </c>
    </row>
    <row r="186" spans="3:8">
      <c r="C186" s="628"/>
      <c r="D186" s="164" t="s">
        <v>809</v>
      </c>
      <c r="E186" s="165">
        <v>75648</v>
      </c>
      <c r="F186" s="165"/>
      <c r="G186" s="631">
        <v>4900</v>
      </c>
      <c r="H186" s="719">
        <f t="shared" si="8"/>
        <v>3136</v>
      </c>
    </row>
    <row r="187" spans="3:8">
      <c r="C187" s="628"/>
      <c r="D187" s="164" t="s">
        <v>810</v>
      </c>
      <c r="E187" s="165">
        <v>75649</v>
      </c>
      <c r="F187" s="165"/>
      <c r="G187" s="631">
        <v>4900</v>
      </c>
      <c r="H187" s="719">
        <f t="shared" si="8"/>
        <v>3136</v>
      </c>
    </row>
    <row r="188" spans="3:8" ht="16.5">
      <c r="C188" s="163"/>
      <c r="D188" s="164"/>
      <c r="E188" s="165"/>
      <c r="F188" s="165"/>
      <c r="G188" s="166" t="s">
        <v>805</v>
      </c>
      <c r="H188" s="719"/>
    </row>
    <row r="189" spans="3:8">
      <c r="C189" s="628" t="s">
        <v>559</v>
      </c>
      <c r="D189" s="164" t="s">
        <v>498</v>
      </c>
      <c r="E189" s="165">
        <v>75672</v>
      </c>
      <c r="F189" s="165"/>
      <c r="G189" s="650">
        <v>6200</v>
      </c>
      <c r="H189" s="719">
        <f t="shared" si="8"/>
        <v>3968</v>
      </c>
    </row>
    <row r="190" spans="3:8" ht="16.5">
      <c r="C190" s="163"/>
      <c r="D190" s="164"/>
      <c r="E190" s="165"/>
      <c r="F190" s="165"/>
      <c r="G190" s="166" t="s">
        <v>805</v>
      </c>
      <c r="H190" s="719"/>
    </row>
    <row r="191" spans="3:8">
      <c r="C191" s="628" t="s">
        <v>560</v>
      </c>
      <c r="D191" s="164" t="s">
        <v>103</v>
      </c>
      <c r="E191" s="165">
        <v>75622</v>
      </c>
      <c r="F191" s="165"/>
      <c r="G191" s="631">
        <v>5600</v>
      </c>
      <c r="H191" s="719">
        <f t="shared" si="8"/>
        <v>3584</v>
      </c>
    </row>
    <row r="192" spans="3:8">
      <c r="C192" s="632" t="s">
        <v>507</v>
      </c>
      <c r="D192" s="164" t="s">
        <v>807</v>
      </c>
      <c r="E192" s="165">
        <v>75624</v>
      </c>
      <c r="F192" s="165"/>
      <c r="G192" s="631">
        <v>5600</v>
      </c>
      <c r="H192" s="719">
        <f t="shared" si="8"/>
        <v>3584</v>
      </c>
    </row>
    <row r="193" spans="3:8">
      <c r="C193" s="632"/>
      <c r="D193" s="164" t="s">
        <v>812</v>
      </c>
      <c r="E193" s="165">
        <v>75626</v>
      </c>
      <c r="F193" s="165"/>
      <c r="G193" s="631">
        <v>5600</v>
      </c>
      <c r="H193" s="719">
        <f t="shared" si="8"/>
        <v>3584</v>
      </c>
    </row>
    <row r="194" spans="3:8">
      <c r="C194" s="660"/>
      <c r="D194" s="164" t="s">
        <v>808</v>
      </c>
      <c r="E194" s="165">
        <v>75627</v>
      </c>
      <c r="F194" s="165"/>
      <c r="G194" s="631">
        <v>5600</v>
      </c>
      <c r="H194" s="719">
        <f t="shared" si="8"/>
        <v>3584</v>
      </c>
    </row>
    <row r="195" spans="3:8">
      <c r="C195" s="632"/>
      <c r="D195" s="164" t="s">
        <v>151</v>
      </c>
      <c r="E195" s="165">
        <v>75628</v>
      </c>
      <c r="F195" s="165"/>
      <c r="G195" s="631">
        <v>5600</v>
      </c>
      <c r="H195" s="719">
        <f t="shared" si="8"/>
        <v>3584</v>
      </c>
    </row>
    <row r="196" spans="3:8">
      <c r="C196" s="632" t="s">
        <v>508</v>
      </c>
      <c r="D196" s="164" t="s">
        <v>810</v>
      </c>
      <c r="E196" s="165">
        <v>75629</v>
      </c>
      <c r="F196" s="165"/>
      <c r="G196" s="631">
        <v>5600</v>
      </c>
      <c r="H196" s="719">
        <f t="shared" si="8"/>
        <v>3584</v>
      </c>
    </row>
    <row r="197" spans="3:8" ht="16.5">
      <c r="C197" s="163"/>
      <c r="D197" s="164"/>
      <c r="E197" s="165"/>
      <c r="F197" s="165"/>
      <c r="G197" s="166" t="s">
        <v>805</v>
      </c>
      <c r="H197" s="719"/>
    </row>
    <row r="198" spans="3:8">
      <c r="C198" s="628" t="s">
        <v>561</v>
      </c>
      <c r="D198" s="164" t="s">
        <v>103</v>
      </c>
      <c r="E198" s="642">
        <v>75612</v>
      </c>
      <c r="F198" s="165"/>
      <c r="G198" s="650">
        <v>6400</v>
      </c>
      <c r="H198" s="719">
        <f t="shared" si="8"/>
        <v>4096</v>
      </c>
    </row>
    <row r="199" spans="3:8">
      <c r="C199" s="632" t="s">
        <v>511</v>
      </c>
      <c r="D199" s="164" t="s">
        <v>807</v>
      </c>
      <c r="E199" s="642">
        <v>75614</v>
      </c>
      <c r="F199" s="165"/>
      <c r="G199" s="650">
        <v>6400</v>
      </c>
      <c r="H199" s="719">
        <f t="shared" si="8"/>
        <v>4096</v>
      </c>
    </row>
    <row r="200" spans="3:8">
      <c r="C200" s="632"/>
      <c r="D200" s="164" t="s">
        <v>812</v>
      </c>
      <c r="E200" s="642">
        <v>75616</v>
      </c>
      <c r="F200" s="165"/>
      <c r="G200" s="650">
        <v>6400</v>
      </c>
      <c r="H200" s="719">
        <f t="shared" si="8"/>
        <v>4096</v>
      </c>
    </row>
    <row r="201" spans="3:8">
      <c r="C201" s="632" t="s">
        <v>499</v>
      </c>
      <c r="D201" s="164" t="s">
        <v>808</v>
      </c>
      <c r="E201" s="642">
        <v>75617</v>
      </c>
      <c r="F201" s="165"/>
      <c r="G201" s="650">
        <v>6400</v>
      </c>
      <c r="H201" s="719">
        <f t="shared" si="8"/>
        <v>4096</v>
      </c>
    </row>
    <row r="202" spans="3:8">
      <c r="C202" s="659"/>
      <c r="D202" s="164" t="s">
        <v>512</v>
      </c>
      <c r="E202" s="642">
        <v>75618</v>
      </c>
      <c r="F202" s="165"/>
      <c r="G202" s="650">
        <v>6400</v>
      </c>
      <c r="H202" s="719">
        <f t="shared" si="8"/>
        <v>4096</v>
      </c>
    </row>
    <row r="203" spans="3:8">
      <c r="C203" s="660"/>
      <c r="D203" s="164" t="s">
        <v>474</v>
      </c>
      <c r="E203" s="642">
        <v>75619</v>
      </c>
      <c r="F203" s="165"/>
      <c r="G203" s="650">
        <v>6400</v>
      </c>
      <c r="H203" s="719">
        <f t="shared" si="8"/>
        <v>4096</v>
      </c>
    </row>
    <row r="204" spans="3:8" ht="16.5">
      <c r="C204" s="163"/>
      <c r="D204" s="164"/>
      <c r="E204" s="165"/>
      <c r="F204" s="165"/>
      <c r="G204" s="166" t="s">
        <v>805</v>
      </c>
      <c r="H204" s="719"/>
    </row>
    <row r="205" spans="3:8">
      <c r="C205" s="628" t="s">
        <v>562</v>
      </c>
      <c r="D205" s="164" t="s">
        <v>103</v>
      </c>
      <c r="E205" s="165">
        <v>75632</v>
      </c>
      <c r="F205" s="165"/>
      <c r="G205" s="650">
        <v>5400</v>
      </c>
      <c r="H205" s="719">
        <f t="shared" si="8"/>
        <v>3456</v>
      </c>
    </row>
    <row r="206" spans="3:8">
      <c r="C206" s="632" t="s">
        <v>520</v>
      </c>
      <c r="D206" s="164" t="s">
        <v>807</v>
      </c>
      <c r="E206" s="165">
        <v>75634</v>
      </c>
      <c r="F206" s="165"/>
      <c r="G206" s="650">
        <v>5400</v>
      </c>
      <c r="H206" s="719">
        <f t="shared" si="8"/>
        <v>3456</v>
      </c>
    </row>
    <row r="207" spans="3:8">
      <c r="C207" s="632" t="s">
        <v>521</v>
      </c>
      <c r="D207" s="164" t="s">
        <v>812</v>
      </c>
      <c r="E207" s="165">
        <v>75636</v>
      </c>
      <c r="F207" s="165"/>
      <c r="G207" s="650">
        <v>5400</v>
      </c>
      <c r="H207" s="719">
        <f t="shared" si="8"/>
        <v>3456</v>
      </c>
    </row>
    <row r="208" spans="3:8">
      <c r="C208" s="632"/>
      <c r="D208" s="164" t="s">
        <v>808</v>
      </c>
      <c r="E208" s="165">
        <v>75637</v>
      </c>
      <c r="F208" s="165"/>
      <c r="G208" s="650">
        <v>5400</v>
      </c>
      <c r="H208" s="719">
        <f t="shared" si="8"/>
        <v>3456</v>
      </c>
    </row>
    <row r="209" spans="3:8">
      <c r="C209" s="628"/>
      <c r="D209" s="164" t="s">
        <v>151</v>
      </c>
      <c r="E209" s="165">
        <v>75638</v>
      </c>
      <c r="F209" s="165"/>
      <c r="G209" s="650">
        <v>5400</v>
      </c>
      <c r="H209" s="719">
        <f t="shared" si="8"/>
        <v>3456</v>
      </c>
    </row>
    <row r="210" spans="3:8">
      <c r="C210" s="628"/>
      <c r="D210" s="164" t="s">
        <v>810</v>
      </c>
      <c r="E210" s="165">
        <v>75639</v>
      </c>
      <c r="F210" s="165"/>
      <c r="G210" s="650">
        <v>5400</v>
      </c>
      <c r="H210" s="719">
        <f t="shared" si="8"/>
        <v>3456</v>
      </c>
    </row>
    <row r="211" spans="3:8" ht="16.5">
      <c r="C211" s="163"/>
      <c r="D211" s="164"/>
      <c r="E211" s="165"/>
      <c r="F211" s="165"/>
      <c r="G211" s="166" t="s">
        <v>805</v>
      </c>
      <c r="H211" s="719"/>
    </row>
    <row r="212" spans="3:8">
      <c r="C212" s="628" t="s">
        <v>563</v>
      </c>
      <c r="D212" s="164" t="s">
        <v>470</v>
      </c>
      <c r="E212" s="642">
        <v>75602</v>
      </c>
      <c r="F212" s="165"/>
      <c r="G212" s="650">
        <v>5600</v>
      </c>
      <c r="H212" s="719">
        <f t="shared" si="8"/>
        <v>3584</v>
      </c>
    </row>
    <row r="213" spans="3:8">
      <c r="C213" s="632" t="s">
        <v>476</v>
      </c>
      <c r="D213" s="164" t="s">
        <v>152</v>
      </c>
      <c r="E213" s="642">
        <v>75604</v>
      </c>
      <c r="F213" s="165"/>
      <c r="G213" s="650">
        <v>5600</v>
      </c>
      <c r="H213" s="719">
        <f t="shared" si="8"/>
        <v>3584</v>
      </c>
    </row>
    <row r="214" spans="3:8">
      <c r="C214" s="632" t="s">
        <v>477</v>
      </c>
      <c r="D214" s="164" t="s">
        <v>473</v>
      </c>
      <c r="E214" s="642">
        <v>75606</v>
      </c>
      <c r="F214" s="165"/>
      <c r="G214" s="650">
        <v>5600</v>
      </c>
      <c r="H214" s="719">
        <f t="shared" si="8"/>
        <v>3584</v>
      </c>
    </row>
    <row r="215" spans="3:8">
      <c r="C215" s="632" t="s">
        <v>478</v>
      </c>
      <c r="D215" s="164" t="s">
        <v>149</v>
      </c>
      <c r="E215" s="642">
        <v>75607</v>
      </c>
      <c r="F215" s="165"/>
      <c r="G215" s="650">
        <v>5600</v>
      </c>
      <c r="H215" s="719">
        <f t="shared" si="8"/>
        <v>3584</v>
      </c>
    </row>
    <row r="216" spans="3:8">
      <c r="C216" s="660"/>
      <c r="D216" s="164" t="s">
        <v>151</v>
      </c>
      <c r="E216" s="642">
        <v>75608</v>
      </c>
      <c r="F216" s="165"/>
      <c r="G216" s="650">
        <v>5600</v>
      </c>
      <c r="H216" s="719">
        <f t="shared" si="8"/>
        <v>3584</v>
      </c>
    </row>
    <row r="217" spans="3:8">
      <c r="C217" s="660"/>
      <c r="D217" s="164" t="s">
        <v>474</v>
      </c>
      <c r="E217" s="642">
        <v>75609</v>
      </c>
      <c r="F217" s="165"/>
      <c r="G217" s="650">
        <v>5600</v>
      </c>
      <c r="H217" s="719">
        <f t="shared" si="8"/>
        <v>3584</v>
      </c>
    </row>
    <row r="218" spans="3:8" ht="16.5">
      <c r="C218" s="163"/>
      <c r="D218" s="164"/>
      <c r="E218" s="165"/>
      <c r="F218" s="165"/>
      <c r="G218" s="166"/>
      <c r="H218" s="719"/>
    </row>
    <row r="219" spans="3:8">
      <c r="C219" s="628" t="s">
        <v>564</v>
      </c>
      <c r="D219" s="164" t="s">
        <v>470</v>
      </c>
      <c r="E219" s="629">
        <v>75652</v>
      </c>
      <c r="F219" s="630"/>
      <c r="G219" s="631">
        <v>6400</v>
      </c>
      <c r="H219" s="719">
        <f t="shared" si="8"/>
        <v>4096</v>
      </c>
    </row>
    <row r="220" spans="3:8">
      <c r="C220" s="632" t="s">
        <v>471</v>
      </c>
      <c r="D220" s="164" t="s">
        <v>152</v>
      </c>
      <c r="E220" s="629">
        <v>75654</v>
      </c>
      <c r="F220" s="630"/>
      <c r="G220" s="631">
        <v>6400</v>
      </c>
      <c r="H220" s="719">
        <f t="shared" si="8"/>
        <v>4096</v>
      </c>
    </row>
    <row r="221" spans="3:8">
      <c r="C221" s="632" t="s">
        <v>472</v>
      </c>
      <c r="D221" s="164" t="s">
        <v>473</v>
      </c>
      <c r="E221" s="629">
        <v>75656</v>
      </c>
      <c r="F221" s="630"/>
      <c r="G221" s="631">
        <v>6400</v>
      </c>
      <c r="H221" s="719">
        <f t="shared" si="8"/>
        <v>4096</v>
      </c>
    </row>
    <row r="222" spans="3:8">
      <c r="C222" s="628"/>
      <c r="D222" s="164" t="s">
        <v>149</v>
      </c>
      <c r="E222" s="629">
        <v>75657</v>
      </c>
      <c r="F222" s="630"/>
      <c r="G222" s="631">
        <v>6400</v>
      </c>
      <c r="H222" s="719">
        <f t="shared" si="8"/>
        <v>4096</v>
      </c>
    </row>
    <row r="223" spans="3:8">
      <c r="C223" s="628"/>
      <c r="D223" s="164" t="s">
        <v>151</v>
      </c>
      <c r="E223" s="629">
        <v>75658</v>
      </c>
      <c r="F223" s="630"/>
      <c r="G223" s="631">
        <v>6400</v>
      </c>
      <c r="H223" s="719">
        <f t="shared" si="8"/>
        <v>4096</v>
      </c>
    </row>
    <row r="224" spans="3:8">
      <c r="C224" s="628"/>
      <c r="D224" s="164" t="s">
        <v>474</v>
      </c>
      <c r="E224" s="629">
        <v>75659</v>
      </c>
      <c r="F224" s="630"/>
      <c r="G224" s="631">
        <v>6400</v>
      </c>
      <c r="H224" s="719">
        <f t="shared" si="8"/>
        <v>4096</v>
      </c>
    </row>
    <row r="225" spans="3:8" ht="16.5">
      <c r="C225" s="163"/>
      <c r="D225" s="164"/>
      <c r="E225" s="165"/>
      <c r="F225" s="165"/>
      <c r="G225" s="166"/>
      <c r="H225" s="719"/>
    </row>
    <row r="226" spans="3:8">
      <c r="C226" s="628" t="s">
        <v>565</v>
      </c>
      <c r="D226" s="164" t="s">
        <v>474</v>
      </c>
      <c r="E226" s="165">
        <v>75662</v>
      </c>
      <c r="F226" s="165" t="s">
        <v>494</v>
      </c>
      <c r="G226" s="631">
        <v>5600</v>
      </c>
      <c r="H226" s="719">
        <f t="shared" si="8"/>
        <v>3584</v>
      </c>
    </row>
    <row r="227" spans="3:8">
      <c r="C227" s="632" t="s">
        <v>495</v>
      </c>
      <c r="D227" s="164" t="s">
        <v>474</v>
      </c>
      <c r="E227" s="165">
        <v>75664</v>
      </c>
      <c r="F227" s="165" t="s">
        <v>496</v>
      </c>
      <c r="G227" s="631">
        <v>5600</v>
      </c>
      <c r="H227" s="719">
        <f t="shared" si="8"/>
        <v>3584</v>
      </c>
    </row>
    <row r="228" spans="3:8" ht="16.5">
      <c r="C228" s="163"/>
      <c r="D228" s="164"/>
      <c r="E228" s="165"/>
      <c r="F228" s="165"/>
      <c r="G228" s="166" t="s">
        <v>805</v>
      </c>
      <c r="H228" s="719"/>
    </row>
    <row r="229" spans="3:8">
      <c r="C229" s="628" t="s">
        <v>566</v>
      </c>
      <c r="D229" s="164" t="s">
        <v>470</v>
      </c>
      <c r="E229" s="165">
        <v>75701</v>
      </c>
      <c r="F229" s="165"/>
      <c r="G229" s="631">
        <v>1600</v>
      </c>
      <c r="H229" s="719">
        <f t="shared" si="8"/>
        <v>1024</v>
      </c>
    </row>
    <row r="230" spans="3:8">
      <c r="C230" s="632" t="s">
        <v>567</v>
      </c>
      <c r="D230" s="164"/>
      <c r="E230" s="165"/>
      <c r="F230" s="165"/>
      <c r="G230" s="631"/>
      <c r="H230" s="719"/>
    </row>
    <row r="231" spans="3:8">
      <c r="C231" s="632" t="s">
        <v>568</v>
      </c>
      <c r="D231" s="164"/>
      <c r="E231" s="165"/>
      <c r="F231" s="165"/>
      <c r="G231" s="631" t="s">
        <v>805</v>
      </c>
      <c r="H231" s="719"/>
    </row>
    <row r="232" spans="3:8" ht="16.5">
      <c r="C232" s="163"/>
      <c r="D232" s="164"/>
      <c r="E232" s="165"/>
      <c r="F232" s="165"/>
      <c r="G232" s="166"/>
      <c r="H232" s="660"/>
    </row>
    <row r="233" spans="3:8" ht="16.5">
      <c r="C233" s="1761" t="s">
        <v>816</v>
      </c>
      <c r="D233" s="1186"/>
      <c r="E233" s="1186"/>
      <c r="F233" s="1186"/>
      <c r="G233" s="1186"/>
      <c r="H233" s="1749"/>
    </row>
    <row r="234" spans="3:8" ht="16.5">
      <c r="C234" s="163"/>
      <c r="D234" s="164"/>
      <c r="E234" s="165"/>
      <c r="F234" s="165"/>
      <c r="G234" s="166"/>
      <c r="H234" s="660"/>
    </row>
    <row r="235" spans="3:8" ht="15.75">
      <c r="C235" s="1758" t="s">
        <v>569</v>
      </c>
      <c r="D235" s="1759"/>
      <c r="E235" s="1759"/>
      <c r="F235" s="1759"/>
      <c r="G235" s="1759"/>
      <c r="H235" s="1760"/>
    </row>
    <row r="236" spans="3:8">
      <c r="C236" s="628" t="s">
        <v>570</v>
      </c>
      <c r="D236" s="164" t="s">
        <v>470</v>
      </c>
      <c r="E236" s="165">
        <v>792162</v>
      </c>
      <c r="F236" s="165"/>
      <c r="G236" s="631">
        <v>5800</v>
      </c>
      <c r="H236" s="719">
        <f>G236-(G236*$H$9)</f>
        <v>3712</v>
      </c>
    </row>
    <row r="237" spans="3:8">
      <c r="C237" s="632" t="s">
        <v>817</v>
      </c>
      <c r="D237" s="164" t="s">
        <v>152</v>
      </c>
      <c r="E237" s="165">
        <v>792164</v>
      </c>
      <c r="F237" s="165"/>
      <c r="G237" s="631">
        <v>5800</v>
      </c>
      <c r="H237" s="719">
        <f t="shared" ref="H237:H258" si="9">G237-(G237*$H$9)</f>
        <v>3712</v>
      </c>
    </row>
    <row r="238" spans="3:8">
      <c r="C238" s="632" t="s">
        <v>571</v>
      </c>
      <c r="D238" s="164" t="s">
        <v>473</v>
      </c>
      <c r="E238" s="165">
        <v>792166</v>
      </c>
      <c r="F238" s="165"/>
      <c r="G238" s="631">
        <v>5800</v>
      </c>
      <c r="H238" s="719">
        <f t="shared" si="9"/>
        <v>3712</v>
      </c>
    </row>
    <row r="239" spans="3:8">
      <c r="C239" s="661" t="s">
        <v>818</v>
      </c>
      <c r="D239" s="164" t="s">
        <v>149</v>
      </c>
      <c r="E239" s="165">
        <v>792167</v>
      </c>
      <c r="F239" s="165"/>
      <c r="G239" s="631">
        <v>5800</v>
      </c>
      <c r="H239" s="719">
        <f t="shared" si="9"/>
        <v>3712</v>
      </c>
    </row>
    <row r="240" spans="3:8">
      <c r="C240" s="662" t="s">
        <v>572</v>
      </c>
      <c r="D240" s="164" t="s">
        <v>151</v>
      </c>
      <c r="E240" s="165">
        <v>792168</v>
      </c>
      <c r="F240" s="165"/>
      <c r="G240" s="631">
        <v>5800</v>
      </c>
      <c r="H240" s="719">
        <f t="shared" si="9"/>
        <v>3712</v>
      </c>
    </row>
    <row r="241" spans="3:8">
      <c r="C241" s="628"/>
      <c r="D241" s="164" t="s">
        <v>474</v>
      </c>
      <c r="E241" s="165">
        <v>792169</v>
      </c>
      <c r="F241" s="165"/>
      <c r="G241" s="631">
        <v>5800</v>
      </c>
      <c r="H241" s="719">
        <f t="shared" si="9"/>
        <v>3712</v>
      </c>
    </row>
    <row r="242" spans="3:8" ht="16.5">
      <c r="C242" s="163"/>
      <c r="D242" s="164"/>
      <c r="E242" s="165"/>
      <c r="F242" s="165"/>
      <c r="G242" s="166" t="s">
        <v>805</v>
      </c>
      <c r="H242" s="719"/>
    </row>
    <row r="243" spans="3:8">
      <c r="C243" s="633" t="s">
        <v>573</v>
      </c>
      <c r="D243" s="634" t="s">
        <v>498</v>
      </c>
      <c r="E243" s="636">
        <v>734192</v>
      </c>
      <c r="F243" s="636"/>
      <c r="G243" s="650">
        <v>5200</v>
      </c>
      <c r="H243" s="719">
        <f t="shared" si="9"/>
        <v>3328</v>
      </c>
    </row>
    <row r="244" spans="3:8">
      <c r="C244" s="637" t="s">
        <v>819</v>
      </c>
      <c r="D244" s="634" t="s">
        <v>543</v>
      </c>
      <c r="E244" s="636">
        <v>734194</v>
      </c>
      <c r="F244" s="636"/>
      <c r="G244" s="650">
        <v>5200</v>
      </c>
      <c r="H244" s="719">
        <f t="shared" si="9"/>
        <v>3328</v>
      </c>
    </row>
    <row r="245" spans="3:8">
      <c r="C245" s="663" t="s">
        <v>820</v>
      </c>
      <c r="D245" s="634" t="s">
        <v>501</v>
      </c>
      <c r="E245" s="636">
        <v>734196</v>
      </c>
      <c r="F245" s="636"/>
      <c r="G245" s="650">
        <v>5200</v>
      </c>
      <c r="H245" s="719">
        <f t="shared" si="9"/>
        <v>3328</v>
      </c>
    </row>
    <row r="246" spans="3:8">
      <c r="C246" s="664" t="s">
        <v>478</v>
      </c>
      <c r="D246" s="634" t="s">
        <v>538</v>
      </c>
      <c r="E246" s="636">
        <v>734197</v>
      </c>
      <c r="F246" s="636"/>
      <c r="G246" s="650">
        <v>5200</v>
      </c>
      <c r="H246" s="719">
        <f t="shared" si="9"/>
        <v>3328</v>
      </c>
    </row>
    <row r="247" spans="3:8">
      <c r="C247" s="661" t="s">
        <v>818</v>
      </c>
      <c r="D247" s="634" t="s">
        <v>512</v>
      </c>
      <c r="E247" s="636">
        <v>734198</v>
      </c>
      <c r="F247" s="636"/>
      <c r="G247" s="650">
        <v>5200</v>
      </c>
      <c r="H247" s="719">
        <f t="shared" si="9"/>
        <v>3328</v>
      </c>
    </row>
    <row r="248" spans="3:8">
      <c r="C248" s="662" t="s">
        <v>572</v>
      </c>
      <c r="D248" s="634" t="s">
        <v>539</v>
      </c>
      <c r="E248" s="636">
        <v>734199</v>
      </c>
      <c r="F248" s="636"/>
      <c r="G248" s="650">
        <v>5200</v>
      </c>
      <c r="H248" s="719">
        <f t="shared" si="9"/>
        <v>3328</v>
      </c>
    </row>
    <row r="249" spans="3:8" ht="16.5">
      <c r="C249" s="163"/>
      <c r="D249" s="164"/>
      <c r="E249" s="165"/>
      <c r="F249" s="165"/>
      <c r="G249" s="166" t="s">
        <v>805</v>
      </c>
      <c r="H249" s="719"/>
    </row>
    <row r="250" spans="3:8">
      <c r="C250" s="628" t="s">
        <v>574</v>
      </c>
      <c r="D250" s="164" t="s">
        <v>498</v>
      </c>
      <c r="E250" s="165">
        <v>733902</v>
      </c>
      <c r="F250" s="165"/>
      <c r="G250" s="631">
        <v>2550</v>
      </c>
      <c r="H250" s="719">
        <f t="shared" si="9"/>
        <v>1632</v>
      </c>
    </row>
    <row r="251" spans="3:8">
      <c r="C251" s="665" t="s">
        <v>575</v>
      </c>
      <c r="D251" s="164" t="s">
        <v>543</v>
      </c>
      <c r="E251" s="165">
        <v>733904</v>
      </c>
      <c r="F251" s="165"/>
      <c r="G251" s="631">
        <v>2550</v>
      </c>
      <c r="H251" s="719">
        <f t="shared" si="9"/>
        <v>1632</v>
      </c>
    </row>
    <row r="252" spans="3:8">
      <c r="C252" s="632" t="s">
        <v>576</v>
      </c>
      <c r="D252" s="164" t="s">
        <v>501</v>
      </c>
      <c r="E252" s="165">
        <v>733906</v>
      </c>
      <c r="F252" s="165"/>
      <c r="G252" s="631">
        <v>2550</v>
      </c>
      <c r="H252" s="719">
        <f t="shared" si="9"/>
        <v>1632</v>
      </c>
    </row>
    <row r="253" spans="3:8">
      <c r="C253" s="660"/>
      <c r="D253" s="164" t="s">
        <v>538</v>
      </c>
      <c r="E253" s="165">
        <v>733907</v>
      </c>
      <c r="F253" s="165"/>
      <c r="G253" s="631">
        <v>2550</v>
      </c>
      <c r="H253" s="719">
        <f t="shared" si="9"/>
        <v>1632</v>
      </c>
    </row>
    <row r="254" spans="3:8">
      <c r="C254" s="632"/>
      <c r="D254" s="164" t="s">
        <v>512</v>
      </c>
      <c r="E254" s="165">
        <v>733908</v>
      </c>
      <c r="F254" s="165"/>
      <c r="G254" s="631">
        <v>2550</v>
      </c>
      <c r="H254" s="719">
        <f t="shared" si="9"/>
        <v>1632</v>
      </c>
    </row>
    <row r="255" spans="3:8">
      <c r="C255" s="632"/>
      <c r="D255" s="164" t="s">
        <v>539</v>
      </c>
      <c r="E255" s="165">
        <v>733909</v>
      </c>
      <c r="F255" s="165"/>
      <c r="G255" s="631">
        <v>2550</v>
      </c>
      <c r="H255" s="719">
        <f t="shared" si="9"/>
        <v>1632</v>
      </c>
    </row>
    <row r="256" spans="3:8" ht="16.5">
      <c r="C256" s="163"/>
      <c r="D256" s="164"/>
      <c r="E256" s="165"/>
      <c r="F256" s="165"/>
      <c r="G256" s="166" t="s">
        <v>805</v>
      </c>
      <c r="H256" s="719"/>
    </row>
    <row r="257" spans="3:8">
      <c r="C257" s="633" t="s">
        <v>577</v>
      </c>
      <c r="D257" s="634" t="s">
        <v>539</v>
      </c>
      <c r="E257" s="636">
        <v>740082</v>
      </c>
      <c r="F257" s="636" t="s">
        <v>494</v>
      </c>
      <c r="G257" s="650">
        <v>4650</v>
      </c>
      <c r="H257" s="719">
        <f t="shared" si="9"/>
        <v>2976</v>
      </c>
    </row>
    <row r="258" spans="3:8">
      <c r="C258" s="665" t="s">
        <v>578</v>
      </c>
      <c r="D258" s="634" t="s">
        <v>539</v>
      </c>
      <c r="E258" s="636">
        <v>740084</v>
      </c>
      <c r="F258" s="636" t="s">
        <v>496</v>
      </c>
      <c r="G258" s="650">
        <v>4650</v>
      </c>
      <c r="H258" s="719">
        <f t="shared" si="9"/>
        <v>2976</v>
      </c>
    </row>
    <row r="259" spans="3:8">
      <c r="C259" s="666" t="s">
        <v>821</v>
      </c>
      <c r="D259" s="634"/>
      <c r="E259" s="636"/>
      <c r="F259" s="636"/>
      <c r="G259" s="631" t="s">
        <v>805</v>
      </c>
      <c r="H259" s="719"/>
    </row>
    <row r="260" spans="3:8" ht="16.5">
      <c r="C260" s="163"/>
      <c r="D260" s="164"/>
      <c r="E260" s="165"/>
      <c r="F260" s="165"/>
      <c r="G260" s="166"/>
      <c r="H260" s="660"/>
    </row>
    <row r="261" spans="3:8" ht="15.75">
      <c r="C261" s="1758" t="s">
        <v>579</v>
      </c>
      <c r="D261" s="1759"/>
      <c r="E261" s="1759"/>
      <c r="F261" s="1759"/>
      <c r="G261" s="1759" t="s">
        <v>499</v>
      </c>
      <c r="H261" s="1760"/>
    </row>
    <row r="262" spans="3:8">
      <c r="C262" s="628" t="s">
        <v>580</v>
      </c>
      <c r="D262" s="164" t="s">
        <v>498</v>
      </c>
      <c r="E262" s="165">
        <v>731982</v>
      </c>
      <c r="F262" s="165"/>
      <c r="G262" s="631">
        <v>250</v>
      </c>
      <c r="H262" s="719">
        <f>G262-(G262*$H$9)</f>
        <v>160</v>
      </c>
    </row>
    <row r="263" spans="3:8" ht="16.5">
      <c r="C263" s="163"/>
      <c r="D263" s="164"/>
      <c r="E263" s="165"/>
      <c r="F263" s="165"/>
      <c r="G263" s="166"/>
      <c r="H263" s="660"/>
    </row>
    <row r="264" spans="3:8" ht="15.75">
      <c r="C264" s="1758" t="s">
        <v>581</v>
      </c>
      <c r="D264" s="1759"/>
      <c r="E264" s="1759"/>
      <c r="F264" s="1759"/>
      <c r="G264" s="1759" t="s">
        <v>499</v>
      </c>
      <c r="H264" s="1760"/>
    </row>
    <row r="265" spans="3:8">
      <c r="C265" s="641" t="s">
        <v>822</v>
      </c>
      <c r="D265" s="164" t="s">
        <v>470</v>
      </c>
      <c r="E265" s="165">
        <v>73090</v>
      </c>
      <c r="F265" s="643"/>
      <c r="G265" s="667">
        <v>320</v>
      </c>
      <c r="H265" s="723">
        <f>G265-(G265*$H$5)</f>
        <v>233.6</v>
      </c>
    </row>
    <row r="266" spans="3:8">
      <c r="C266" s="632" t="s">
        <v>582</v>
      </c>
      <c r="D266" s="164"/>
      <c r="E266" s="165"/>
      <c r="F266" s="636"/>
      <c r="G266" s="631"/>
      <c r="H266" s="723"/>
    </row>
    <row r="267" spans="3:8" ht="16.5">
      <c r="C267" s="163"/>
      <c r="D267" s="164"/>
      <c r="E267" s="165"/>
      <c r="F267" s="165"/>
      <c r="G267" s="166"/>
      <c r="H267" s="723"/>
    </row>
    <row r="268" spans="3:8">
      <c r="C268" s="668" t="s">
        <v>583</v>
      </c>
      <c r="D268" s="164" t="s">
        <v>498</v>
      </c>
      <c r="E268" s="669">
        <v>780132</v>
      </c>
      <c r="F268" s="670"/>
      <c r="G268" s="631">
        <v>1050</v>
      </c>
      <c r="H268" s="723">
        <f t="shared" ref="H268:H281" si="10">G268-(G268*$H$5)</f>
        <v>766.5</v>
      </c>
    </row>
    <row r="269" spans="3:8">
      <c r="C269" s="632" t="s">
        <v>823</v>
      </c>
      <c r="D269" s="164" t="s">
        <v>543</v>
      </c>
      <c r="E269" s="669">
        <v>780134</v>
      </c>
      <c r="F269" s="670"/>
      <c r="G269" s="631">
        <v>1050</v>
      </c>
      <c r="H269" s="723">
        <f t="shared" si="10"/>
        <v>766.5</v>
      </c>
    </row>
    <row r="270" spans="3:8">
      <c r="C270" s="665" t="s">
        <v>584</v>
      </c>
      <c r="D270" s="164" t="s">
        <v>501</v>
      </c>
      <c r="E270" s="669">
        <v>780136</v>
      </c>
      <c r="F270" s="670"/>
      <c r="G270" s="631">
        <v>1050</v>
      </c>
      <c r="H270" s="723">
        <f t="shared" si="10"/>
        <v>766.5</v>
      </c>
    </row>
    <row r="271" spans="3:8">
      <c r="C271" s="666" t="s">
        <v>818</v>
      </c>
      <c r="D271" s="164" t="s">
        <v>538</v>
      </c>
      <c r="E271" s="669">
        <v>780137</v>
      </c>
      <c r="F271" s="670"/>
      <c r="G271" s="631">
        <v>1050</v>
      </c>
      <c r="H271" s="723">
        <f t="shared" si="10"/>
        <v>766.5</v>
      </c>
    </row>
    <row r="272" spans="3:8">
      <c r="C272" s="628" t="s">
        <v>572</v>
      </c>
      <c r="D272" s="164" t="s">
        <v>512</v>
      </c>
      <c r="E272" s="669">
        <v>780138</v>
      </c>
      <c r="F272" s="670"/>
      <c r="G272" s="631">
        <v>1050</v>
      </c>
      <c r="H272" s="723">
        <f t="shared" si="10"/>
        <v>766.5</v>
      </c>
    </row>
    <row r="273" spans="3:8">
      <c r="C273" s="660"/>
      <c r="D273" s="647" t="s">
        <v>539</v>
      </c>
      <c r="E273" s="671">
        <v>780139</v>
      </c>
      <c r="F273" s="643"/>
      <c r="G273" s="649">
        <v>1450</v>
      </c>
      <c r="H273" s="723">
        <f t="shared" si="10"/>
        <v>1058.5</v>
      </c>
    </row>
    <row r="274" spans="3:8">
      <c r="C274" s="632" t="s">
        <v>585</v>
      </c>
      <c r="D274" s="647" t="s">
        <v>129</v>
      </c>
      <c r="E274" s="671">
        <v>780135</v>
      </c>
      <c r="F274" s="643"/>
      <c r="G274" s="649">
        <v>1450</v>
      </c>
      <c r="H274" s="723">
        <f t="shared" si="10"/>
        <v>1058.5</v>
      </c>
    </row>
    <row r="275" spans="3:8" ht="16.5">
      <c r="C275" s="163"/>
      <c r="D275" s="163"/>
      <c r="E275" s="163"/>
      <c r="F275" s="163"/>
      <c r="G275" s="163"/>
      <c r="H275" s="723"/>
    </row>
    <row r="276" spans="3:8">
      <c r="C276" s="641" t="s">
        <v>586</v>
      </c>
      <c r="D276" s="164" t="s">
        <v>498</v>
      </c>
      <c r="E276" s="165">
        <v>753112</v>
      </c>
      <c r="F276" s="643"/>
      <c r="G276" s="631">
        <v>1150</v>
      </c>
      <c r="H276" s="723">
        <f t="shared" si="10"/>
        <v>839.5</v>
      </c>
    </row>
    <row r="277" spans="3:8">
      <c r="C277" s="632" t="s">
        <v>824</v>
      </c>
      <c r="D277" s="164" t="s">
        <v>543</v>
      </c>
      <c r="E277" s="165">
        <v>753114</v>
      </c>
      <c r="F277" s="643"/>
      <c r="G277" s="631">
        <v>1150</v>
      </c>
      <c r="H277" s="723">
        <f t="shared" si="10"/>
        <v>839.5</v>
      </c>
    </row>
    <row r="278" spans="3:8">
      <c r="C278" s="665" t="s">
        <v>825</v>
      </c>
      <c r="D278" s="164" t="s">
        <v>501</v>
      </c>
      <c r="E278" s="165">
        <v>753116</v>
      </c>
      <c r="F278" s="643"/>
      <c r="G278" s="631">
        <v>1150</v>
      </c>
      <c r="H278" s="723">
        <f t="shared" si="10"/>
        <v>839.5</v>
      </c>
    </row>
    <row r="279" spans="3:8">
      <c r="C279" s="672" t="s">
        <v>587</v>
      </c>
      <c r="D279" s="164" t="s">
        <v>538</v>
      </c>
      <c r="E279" s="165">
        <v>753117</v>
      </c>
      <c r="F279" s="643"/>
      <c r="G279" s="631">
        <v>1150</v>
      </c>
      <c r="H279" s="723">
        <f t="shared" si="10"/>
        <v>839.5</v>
      </c>
    </row>
    <row r="280" spans="3:8">
      <c r="C280" s="666" t="s">
        <v>818</v>
      </c>
      <c r="D280" s="164" t="s">
        <v>512</v>
      </c>
      <c r="E280" s="165">
        <v>753118</v>
      </c>
      <c r="F280" s="643"/>
      <c r="G280" s="631">
        <v>1150</v>
      </c>
      <c r="H280" s="723">
        <f t="shared" si="10"/>
        <v>839.5</v>
      </c>
    </row>
    <row r="281" spans="3:8">
      <c r="C281" s="628" t="s">
        <v>572</v>
      </c>
      <c r="D281" s="164" t="s">
        <v>539</v>
      </c>
      <c r="E281" s="165">
        <v>753119</v>
      </c>
      <c r="F281" s="643"/>
      <c r="G281" s="631">
        <v>1150</v>
      </c>
      <c r="H281" s="723">
        <f t="shared" si="10"/>
        <v>839.5</v>
      </c>
    </row>
    <row r="282" spans="3:8" ht="16.5">
      <c r="C282" s="163"/>
      <c r="D282" s="164"/>
      <c r="E282" s="165"/>
      <c r="F282" s="165"/>
      <c r="G282" s="166"/>
      <c r="H282" s="660"/>
    </row>
    <row r="283" spans="3:8" ht="15.75">
      <c r="C283" s="1758" t="s">
        <v>588</v>
      </c>
      <c r="D283" s="1759"/>
      <c r="E283" s="1759"/>
      <c r="F283" s="1759"/>
      <c r="G283" s="1759"/>
      <c r="H283" s="1760"/>
    </row>
    <row r="284" spans="3:8">
      <c r="C284" s="668" t="s">
        <v>589</v>
      </c>
      <c r="D284" s="164" t="s">
        <v>498</v>
      </c>
      <c r="E284" s="165">
        <v>732532</v>
      </c>
      <c r="F284" s="643"/>
      <c r="G284" s="650">
        <v>2000</v>
      </c>
      <c r="H284" s="723">
        <f>G284-(G284*$H$5)</f>
        <v>1460</v>
      </c>
    </row>
    <row r="285" spans="3:8">
      <c r="C285" s="632" t="s">
        <v>590</v>
      </c>
      <c r="D285" s="164" t="s">
        <v>543</v>
      </c>
      <c r="E285" s="165">
        <v>732534</v>
      </c>
      <c r="F285" s="643"/>
      <c r="G285" s="650">
        <v>2000</v>
      </c>
      <c r="H285" s="723">
        <f t="shared" ref="H285:H290" si="11">G285-(G285*$H$5)</f>
        <v>1460</v>
      </c>
    </row>
    <row r="286" spans="3:8">
      <c r="C286" s="666" t="s">
        <v>818</v>
      </c>
      <c r="D286" s="164" t="s">
        <v>501</v>
      </c>
      <c r="E286" s="165">
        <v>732536</v>
      </c>
      <c r="F286" s="643"/>
      <c r="G286" s="650">
        <v>2000</v>
      </c>
      <c r="H286" s="723">
        <f t="shared" si="11"/>
        <v>1460</v>
      </c>
    </row>
    <row r="287" spans="3:8">
      <c r="C287" s="628" t="s">
        <v>572</v>
      </c>
      <c r="D287" s="164" t="s">
        <v>538</v>
      </c>
      <c r="E287" s="165">
        <v>732537</v>
      </c>
      <c r="F287" s="643"/>
      <c r="G287" s="650">
        <v>2000</v>
      </c>
      <c r="H287" s="723">
        <f t="shared" si="11"/>
        <v>1460</v>
      </c>
    </row>
    <row r="288" spans="3:8">
      <c r="C288" s="660"/>
      <c r="D288" s="164" t="s">
        <v>512</v>
      </c>
      <c r="E288" s="165">
        <v>732538</v>
      </c>
      <c r="F288" s="643"/>
      <c r="G288" s="650">
        <v>2000</v>
      </c>
      <c r="H288" s="723">
        <f t="shared" si="11"/>
        <v>1460</v>
      </c>
    </row>
    <row r="289" spans="3:8">
      <c r="C289" s="628"/>
      <c r="D289" s="673" t="s">
        <v>539</v>
      </c>
      <c r="E289" s="674">
        <v>732539</v>
      </c>
      <c r="F289" s="643"/>
      <c r="G289" s="675">
        <v>2450</v>
      </c>
      <c r="H289" s="723">
        <f t="shared" si="11"/>
        <v>1788.5</v>
      </c>
    </row>
    <row r="290" spans="3:8">
      <c r="C290" s="628"/>
      <c r="D290" s="647" t="s">
        <v>129</v>
      </c>
      <c r="E290" s="671">
        <v>732535</v>
      </c>
      <c r="F290" s="643"/>
      <c r="G290" s="649">
        <v>3450</v>
      </c>
      <c r="H290" s="723">
        <f t="shared" si="11"/>
        <v>2518.5</v>
      </c>
    </row>
    <row r="291" spans="3:8" ht="16.5">
      <c r="C291" s="163"/>
      <c r="D291" s="164"/>
      <c r="E291" s="165"/>
      <c r="F291" s="165"/>
      <c r="G291" s="166"/>
      <c r="H291" s="660"/>
    </row>
    <row r="292" spans="3:8" ht="15.75">
      <c r="C292" s="1758" t="s">
        <v>591</v>
      </c>
      <c r="D292" s="1759"/>
      <c r="E292" s="1759"/>
      <c r="F292" s="1759"/>
      <c r="G292" s="1759"/>
      <c r="H292" s="1760"/>
    </row>
    <row r="293" spans="3:8">
      <c r="C293" s="628" t="s">
        <v>592</v>
      </c>
      <c r="D293" s="164" t="s">
        <v>498</v>
      </c>
      <c r="E293" s="165">
        <v>73332</v>
      </c>
      <c r="F293" s="165"/>
      <c r="G293" s="631">
        <v>7200</v>
      </c>
      <c r="H293" s="719">
        <f>G293-(G293*$H$9)</f>
        <v>4608</v>
      </c>
    </row>
    <row r="294" spans="3:8">
      <c r="C294" s="632" t="s">
        <v>826</v>
      </c>
      <c r="D294" s="164" t="s">
        <v>543</v>
      </c>
      <c r="E294" s="165">
        <v>73334</v>
      </c>
      <c r="F294" s="165"/>
      <c r="G294" s="631">
        <v>7200</v>
      </c>
      <c r="H294" s="719">
        <f t="shared" ref="H294:H301" si="12">G294-(G294*$H$9)</f>
        <v>4608</v>
      </c>
    </row>
    <row r="295" spans="3:8">
      <c r="C295" s="665" t="s">
        <v>593</v>
      </c>
      <c r="D295" s="164" t="s">
        <v>501</v>
      </c>
      <c r="E295" s="165">
        <v>73336</v>
      </c>
      <c r="F295" s="165"/>
      <c r="G295" s="631">
        <v>7200</v>
      </c>
      <c r="H295" s="719">
        <f t="shared" si="12"/>
        <v>4608</v>
      </c>
    </row>
    <row r="296" spans="3:8">
      <c r="C296" s="666" t="s">
        <v>818</v>
      </c>
      <c r="D296" s="164" t="s">
        <v>538</v>
      </c>
      <c r="E296" s="165">
        <v>73337</v>
      </c>
      <c r="F296" s="165"/>
      <c r="G296" s="631">
        <v>7200</v>
      </c>
      <c r="H296" s="719">
        <f t="shared" si="12"/>
        <v>4608</v>
      </c>
    </row>
    <row r="297" spans="3:8">
      <c r="C297" s="628" t="s">
        <v>572</v>
      </c>
      <c r="D297" s="164" t="s">
        <v>512</v>
      </c>
      <c r="E297" s="165">
        <v>73338</v>
      </c>
      <c r="F297" s="165"/>
      <c r="G297" s="631">
        <v>7200</v>
      </c>
      <c r="H297" s="719">
        <f t="shared" si="12"/>
        <v>4608</v>
      </c>
    </row>
    <row r="298" spans="3:8">
      <c r="C298" s="628"/>
      <c r="D298" s="164" t="s">
        <v>539</v>
      </c>
      <c r="E298" s="165">
        <v>73339</v>
      </c>
      <c r="F298" s="165"/>
      <c r="G298" s="631">
        <v>7200</v>
      </c>
      <c r="H298" s="719">
        <f t="shared" si="12"/>
        <v>4608</v>
      </c>
    </row>
    <row r="299" spans="3:8">
      <c r="C299" s="628"/>
      <c r="D299" s="673" t="s">
        <v>513</v>
      </c>
      <c r="E299" s="674" t="s">
        <v>1417</v>
      </c>
      <c r="F299" s="165"/>
      <c r="G299" s="675">
        <v>7800</v>
      </c>
      <c r="H299" s="719">
        <f t="shared" si="12"/>
        <v>4992</v>
      </c>
    </row>
    <row r="300" spans="3:8">
      <c r="C300" s="628"/>
      <c r="D300" s="673" t="s">
        <v>515</v>
      </c>
      <c r="E300" s="674" t="s">
        <v>1418</v>
      </c>
      <c r="F300" s="165"/>
      <c r="G300" s="675">
        <v>7800</v>
      </c>
      <c r="H300" s="719">
        <f t="shared" si="12"/>
        <v>4992</v>
      </c>
    </row>
    <row r="301" spans="3:8">
      <c r="C301" s="628"/>
      <c r="D301" s="673" t="s">
        <v>517</v>
      </c>
      <c r="E301" s="674" t="s">
        <v>1419</v>
      </c>
      <c r="F301" s="165"/>
      <c r="G301" s="675">
        <v>7800</v>
      </c>
      <c r="H301" s="719">
        <f t="shared" si="12"/>
        <v>4992</v>
      </c>
    </row>
    <row r="302" spans="3:8" ht="16.5">
      <c r="C302" s="163"/>
      <c r="D302" s="164"/>
      <c r="E302" s="165"/>
      <c r="F302" s="165"/>
      <c r="G302" s="166"/>
      <c r="H302" s="660"/>
    </row>
    <row r="303" spans="3:8">
      <c r="C303" s="641" t="s">
        <v>827</v>
      </c>
      <c r="D303" s="164" t="s">
        <v>498</v>
      </c>
      <c r="E303" s="165">
        <v>733912</v>
      </c>
      <c r="F303" s="643"/>
      <c r="G303" s="631">
        <v>2350</v>
      </c>
      <c r="H303" s="723">
        <f>G303-(G303*$H$5)</f>
        <v>1715.5</v>
      </c>
    </row>
    <row r="304" spans="3:8">
      <c r="C304" s="628" t="s">
        <v>594</v>
      </c>
      <c r="D304" s="164" t="s">
        <v>543</v>
      </c>
      <c r="E304" s="165">
        <v>733914</v>
      </c>
      <c r="F304" s="643"/>
      <c r="G304" s="631">
        <v>2350</v>
      </c>
      <c r="H304" s="723">
        <f t="shared" ref="H304:H320" si="13">G304-(G304*$H$5)</f>
        <v>1715.5</v>
      </c>
    </row>
    <row r="305" spans="3:8">
      <c r="C305" s="628"/>
      <c r="D305" s="164" t="s">
        <v>501</v>
      </c>
      <c r="E305" s="165">
        <v>733916</v>
      </c>
      <c r="F305" s="643"/>
      <c r="G305" s="631">
        <v>2350</v>
      </c>
      <c r="H305" s="723">
        <f t="shared" si="13"/>
        <v>1715.5</v>
      </c>
    </row>
    <row r="306" spans="3:8">
      <c r="C306" s="628"/>
      <c r="D306" s="164" t="s">
        <v>538</v>
      </c>
      <c r="E306" s="165">
        <v>733917</v>
      </c>
      <c r="F306" s="643"/>
      <c r="G306" s="631">
        <v>2350</v>
      </c>
      <c r="H306" s="723">
        <f t="shared" si="13"/>
        <v>1715.5</v>
      </c>
    </row>
    <row r="307" spans="3:8">
      <c r="C307" s="628"/>
      <c r="D307" s="164" t="s">
        <v>512</v>
      </c>
      <c r="E307" s="165">
        <v>733918</v>
      </c>
      <c r="F307" s="643"/>
      <c r="G307" s="631">
        <v>2350</v>
      </c>
      <c r="H307" s="723">
        <f t="shared" si="13"/>
        <v>1715.5</v>
      </c>
    </row>
    <row r="308" spans="3:8">
      <c r="C308" s="628"/>
      <c r="D308" s="164" t="s">
        <v>539</v>
      </c>
      <c r="E308" s="165">
        <v>733919</v>
      </c>
      <c r="F308" s="643"/>
      <c r="G308" s="631">
        <v>2350</v>
      </c>
      <c r="H308" s="723">
        <f t="shared" si="13"/>
        <v>1715.5</v>
      </c>
    </row>
    <row r="309" spans="3:8">
      <c r="D309" s="676" t="s">
        <v>129</v>
      </c>
      <c r="E309" s="632">
        <v>733915</v>
      </c>
      <c r="F309" s="677"/>
      <c r="G309" s="631">
        <v>2350</v>
      </c>
      <c r="H309" s="723">
        <f t="shared" si="13"/>
        <v>1715.5</v>
      </c>
    </row>
    <row r="310" spans="3:8" ht="16.5">
      <c r="C310" s="163"/>
      <c r="D310" s="164"/>
      <c r="E310" s="165"/>
      <c r="F310" s="165"/>
      <c r="G310" s="166"/>
      <c r="H310" s="723"/>
    </row>
    <row r="311" spans="3:8">
      <c r="C311" s="641" t="s">
        <v>595</v>
      </c>
      <c r="D311" s="164" t="s">
        <v>498</v>
      </c>
      <c r="E311" s="165">
        <v>75272</v>
      </c>
      <c r="F311" s="643"/>
      <c r="G311" s="650">
        <v>2000</v>
      </c>
      <c r="H311" s="723">
        <f t="shared" si="13"/>
        <v>1460</v>
      </c>
    </row>
    <row r="312" spans="3:8">
      <c r="C312" s="632" t="s">
        <v>826</v>
      </c>
      <c r="D312" s="164" t="s">
        <v>543</v>
      </c>
      <c r="E312" s="165">
        <v>75274</v>
      </c>
      <c r="F312" s="643"/>
      <c r="G312" s="650">
        <v>2000</v>
      </c>
      <c r="H312" s="723">
        <f t="shared" si="13"/>
        <v>1460</v>
      </c>
    </row>
    <row r="313" spans="3:8">
      <c r="C313" s="665" t="s">
        <v>596</v>
      </c>
      <c r="D313" s="164" t="s">
        <v>501</v>
      </c>
      <c r="E313" s="165">
        <v>75276</v>
      </c>
      <c r="F313" s="643"/>
      <c r="G313" s="650">
        <v>2000</v>
      </c>
      <c r="H313" s="723">
        <f t="shared" si="13"/>
        <v>1460</v>
      </c>
    </row>
    <row r="314" spans="3:8">
      <c r="C314" s="632" t="s">
        <v>597</v>
      </c>
      <c r="D314" s="164" t="s">
        <v>538</v>
      </c>
      <c r="E314" s="165">
        <v>75277</v>
      </c>
      <c r="F314" s="643"/>
      <c r="G314" s="650">
        <v>2000</v>
      </c>
      <c r="H314" s="723">
        <f t="shared" si="13"/>
        <v>1460</v>
      </c>
    </row>
    <row r="315" spans="3:8">
      <c r="C315" s="666" t="s">
        <v>818</v>
      </c>
      <c r="D315" s="164" t="s">
        <v>512</v>
      </c>
      <c r="E315" s="165">
        <v>75278</v>
      </c>
      <c r="F315" s="643"/>
      <c r="G315" s="650">
        <v>2000</v>
      </c>
      <c r="H315" s="723">
        <f t="shared" si="13"/>
        <v>1460</v>
      </c>
    </row>
    <row r="316" spans="3:8">
      <c r="C316" s="628" t="s">
        <v>572</v>
      </c>
      <c r="D316" s="673" t="s">
        <v>539</v>
      </c>
      <c r="E316" s="674">
        <v>75279</v>
      </c>
      <c r="F316" s="643"/>
      <c r="G316" s="675">
        <v>2450</v>
      </c>
      <c r="H316" s="723">
        <f t="shared" si="13"/>
        <v>1788.5</v>
      </c>
    </row>
    <row r="317" spans="3:8">
      <c r="C317" s="660"/>
      <c r="D317" s="647" t="s">
        <v>129</v>
      </c>
      <c r="E317" s="671">
        <v>75275</v>
      </c>
      <c r="F317" s="643"/>
      <c r="G317" s="649">
        <v>3450</v>
      </c>
      <c r="H317" s="723">
        <f t="shared" si="13"/>
        <v>2518.5</v>
      </c>
    </row>
    <row r="318" spans="3:8">
      <c r="C318" s="660"/>
      <c r="D318" s="647" t="s">
        <v>513</v>
      </c>
      <c r="E318" s="671" t="s">
        <v>598</v>
      </c>
      <c r="F318" s="643"/>
      <c r="G318" s="649">
        <v>3450</v>
      </c>
      <c r="H318" s="723">
        <f t="shared" si="13"/>
        <v>2518.5</v>
      </c>
    </row>
    <row r="319" spans="3:8">
      <c r="C319" s="660"/>
      <c r="D319" s="647" t="s">
        <v>515</v>
      </c>
      <c r="E319" s="671" t="s">
        <v>599</v>
      </c>
      <c r="F319" s="643"/>
      <c r="G319" s="649">
        <v>3450</v>
      </c>
      <c r="H319" s="723">
        <f t="shared" si="13"/>
        <v>2518.5</v>
      </c>
    </row>
    <row r="320" spans="3:8">
      <c r="C320" s="660"/>
      <c r="D320" s="647" t="s">
        <v>517</v>
      </c>
      <c r="E320" s="671" t="s">
        <v>600</v>
      </c>
      <c r="F320" s="643"/>
      <c r="G320" s="649">
        <v>3450</v>
      </c>
      <c r="H320" s="723">
        <f t="shared" si="13"/>
        <v>2518.5</v>
      </c>
    </row>
    <row r="321" spans="3:8" ht="16.5">
      <c r="C321" s="163"/>
      <c r="D321" s="164"/>
      <c r="E321" s="165"/>
      <c r="F321" s="165"/>
      <c r="G321" s="166"/>
      <c r="H321" s="660"/>
    </row>
    <row r="322" spans="3:8" ht="15.75">
      <c r="C322" s="1758" t="s">
        <v>828</v>
      </c>
      <c r="D322" s="1759"/>
      <c r="E322" s="1759"/>
      <c r="F322" s="1759"/>
      <c r="G322" s="1759" t="s">
        <v>499</v>
      </c>
      <c r="H322" s="1760"/>
    </row>
    <row r="323" spans="3:8">
      <c r="C323" s="628" t="s">
        <v>601</v>
      </c>
      <c r="D323" s="164" t="s">
        <v>498</v>
      </c>
      <c r="E323" s="165">
        <v>732692</v>
      </c>
      <c r="F323" s="165"/>
      <c r="G323" s="631">
        <v>4600</v>
      </c>
      <c r="H323" s="719">
        <f t="shared" ref="H323:H328" si="14">G323-(G323*$H$9)</f>
        <v>2944</v>
      </c>
    </row>
    <row r="324" spans="3:8">
      <c r="C324" s="632" t="s">
        <v>602</v>
      </c>
      <c r="D324" s="164" t="s">
        <v>543</v>
      </c>
      <c r="E324" s="165">
        <v>732694</v>
      </c>
      <c r="F324" s="165"/>
      <c r="G324" s="631">
        <v>4600</v>
      </c>
      <c r="H324" s="719">
        <f t="shared" si="14"/>
        <v>2944</v>
      </c>
    </row>
    <row r="325" spans="3:8">
      <c r="C325" s="666" t="s">
        <v>818</v>
      </c>
      <c r="D325" s="164" t="s">
        <v>501</v>
      </c>
      <c r="E325" s="165">
        <v>732696</v>
      </c>
      <c r="F325" s="165"/>
      <c r="G325" s="631">
        <v>4600</v>
      </c>
      <c r="H325" s="719">
        <f t="shared" si="14"/>
        <v>2944</v>
      </c>
    </row>
    <row r="326" spans="3:8">
      <c r="C326" s="628" t="s">
        <v>572</v>
      </c>
      <c r="D326" s="164" t="s">
        <v>538</v>
      </c>
      <c r="E326" s="165">
        <v>732697</v>
      </c>
      <c r="F326" s="165"/>
      <c r="G326" s="631">
        <v>4600</v>
      </c>
      <c r="H326" s="719">
        <f t="shared" si="14"/>
        <v>2944</v>
      </c>
    </row>
    <row r="327" spans="3:8">
      <c r="C327" s="628"/>
      <c r="D327" s="164" t="s">
        <v>512</v>
      </c>
      <c r="E327" s="165">
        <v>732698</v>
      </c>
      <c r="F327" s="165"/>
      <c r="G327" s="631">
        <v>4600</v>
      </c>
      <c r="H327" s="719">
        <f t="shared" si="14"/>
        <v>2944</v>
      </c>
    </row>
    <row r="328" spans="3:8">
      <c r="C328" s="628"/>
      <c r="D328" s="164" t="s">
        <v>539</v>
      </c>
      <c r="E328" s="165">
        <v>732699</v>
      </c>
      <c r="F328" s="165"/>
      <c r="G328" s="631">
        <v>4600</v>
      </c>
      <c r="H328" s="719">
        <f t="shared" si="14"/>
        <v>2944</v>
      </c>
    </row>
    <row r="329" spans="3:8" ht="16.5">
      <c r="C329" s="163"/>
      <c r="D329" s="164"/>
      <c r="E329" s="165"/>
      <c r="F329" s="165"/>
      <c r="G329" s="166"/>
      <c r="H329" s="660"/>
    </row>
    <row r="330" spans="3:8" ht="15.75">
      <c r="C330" s="1758" t="s">
        <v>829</v>
      </c>
      <c r="D330" s="1759"/>
      <c r="E330" s="1759"/>
      <c r="F330" s="1759"/>
      <c r="G330" s="1759"/>
      <c r="H330" s="1760"/>
    </row>
    <row r="331" spans="3:8" ht="16.5">
      <c r="C331" s="163"/>
      <c r="D331" s="164"/>
      <c r="E331" s="165"/>
      <c r="F331" s="165"/>
      <c r="G331" s="166"/>
      <c r="H331" s="660"/>
    </row>
    <row r="332" spans="3:8">
      <c r="C332" s="170" t="s">
        <v>830</v>
      </c>
      <c r="D332" s="164" t="s">
        <v>498</v>
      </c>
      <c r="E332" s="178">
        <v>730090</v>
      </c>
      <c r="F332" s="678"/>
      <c r="G332" s="173">
        <v>1850</v>
      </c>
      <c r="H332" s="723">
        <f>G332-(G332*$H$5)</f>
        <v>1350.5</v>
      </c>
    </row>
    <row r="333" spans="3:8">
      <c r="C333" s="170" t="s">
        <v>831</v>
      </c>
      <c r="D333" s="164" t="s">
        <v>498</v>
      </c>
      <c r="E333" s="178">
        <v>730130</v>
      </c>
      <c r="F333" s="678"/>
      <c r="G333" s="173">
        <v>1950</v>
      </c>
      <c r="H333" s="723">
        <f t="shared" ref="H333:H346" si="15">G333-(G333*$H$5)</f>
        <v>1423.5</v>
      </c>
    </row>
    <row r="334" spans="3:8">
      <c r="C334" s="170" t="s">
        <v>832</v>
      </c>
      <c r="D334" s="164" t="s">
        <v>498</v>
      </c>
      <c r="E334" s="178">
        <v>73018</v>
      </c>
      <c r="F334" s="678"/>
      <c r="G334" s="173">
        <v>2200</v>
      </c>
      <c r="H334" s="723">
        <f t="shared" si="15"/>
        <v>1606</v>
      </c>
    </row>
    <row r="335" spans="3:8" ht="16.5">
      <c r="C335" s="163"/>
      <c r="D335" s="166" t="s">
        <v>805</v>
      </c>
      <c r="E335" s="166" t="s">
        <v>805</v>
      </c>
      <c r="F335" s="679" t="s">
        <v>805</v>
      </c>
      <c r="G335" s="166"/>
      <c r="H335" s="723"/>
    </row>
    <row r="336" spans="3:8">
      <c r="C336" s="170" t="s">
        <v>833</v>
      </c>
      <c r="D336" s="164" t="s">
        <v>498</v>
      </c>
      <c r="E336" s="178">
        <v>73012</v>
      </c>
      <c r="F336" s="678"/>
      <c r="G336" s="173">
        <v>2200</v>
      </c>
      <c r="H336" s="723">
        <f t="shared" si="15"/>
        <v>1606</v>
      </c>
    </row>
    <row r="337" spans="3:8">
      <c r="C337" s="171" t="s">
        <v>603</v>
      </c>
      <c r="D337" s="176" t="s">
        <v>805</v>
      </c>
      <c r="E337" s="176" t="s">
        <v>805</v>
      </c>
      <c r="F337" s="680" t="s">
        <v>805</v>
      </c>
      <c r="G337" s="173" t="s">
        <v>805</v>
      </c>
      <c r="H337" s="723"/>
    </row>
    <row r="338" spans="3:8">
      <c r="C338" s="175" t="s">
        <v>834</v>
      </c>
      <c r="D338" s="164" t="s">
        <v>498</v>
      </c>
      <c r="E338" s="177">
        <v>73014</v>
      </c>
      <c r="F338" s="678"/>
      <c r="G338" s="176">
        <v>2400</v>
      </c>
      <c r="H338" s="723">
        <f t="shared" si="15"/>
        <v>1752</v>
      </c>
    </row>
    <row r="339" spans="3:8">
      <c r="C339" s="171" t="s">
        <v>604</v>
      </c>
      <c r="D339" s="176" t="s">
        <v>805</v>
      </c>
      <c r="E339" s="176" t="s">
        <v>805</v>
      </c>
      <c r="F339" s="680" t="s">
        <v>805</v>
      </c>
      <c r="G339" s="173" t="s">
        <v>805</v>
      </c>
      <c r="H339" s="723"/>
    </row>
    <row r="340" spans="3:8">
      <c r="C340" s="171" t="s">
        <v>605</v>
      </c>
      <c r="D340" s="178"/>
      <c r="E340" s="178"/>
      <c r="F340" s="681"/>
      <c r="G340" s="171" t="s">
        <v>805</v>
      </c>
      <c r="H340" s="723"/>
    </row>
    <row r="341" spans="3:8">
      <c r="C341" s="170" t="s">
        <v>835</v>
      </c>
      <c r="D341" s="164" t="s">
        <v>498</v>
      </c>
      <c r="E341" s="178">
        <v>73111</v>
      </c>
      <c r="F341" s="677"/>
      <c r="G341" s="176">
        <v>350</v>
      </c>
      <c r="H341" s="723">
        <f t="shared" si="15"/>
        <v>255.5</v>
      </c>
    </row>
    <row r="342" spans="3:8">
      <c r="C342" s="170" t="s">
        <v>836</v>
      </c>
      <c r="D342" s="164" t="s">
        <v>498</v>
      </c>
      <c r="E342" s="178">
        <v>73076</v>
      </c>
      <c r="F342" s="677"/>
      <c r="G342" s="176">
        <v>350</v>
      </c>
      <c r="H342" s="723">
        <f t="shared" si="15"/>
        <v>255.5</v>
      </c>
    </row>
    <row r="343" spans="3:8" ht="16.5">
      <c r="C343" s="163"/>
      <c r="D343" s="166" t="s">
        <v>805</v>
      </c>
      <c r="E343" s="166" t="s">
        <v>805</v>
      </c>
      <c r="F343" s="679" t="s">
        <v>805</v>
      </c>
      <c r="G343" s="166"/>
      <c r="H343" s="723"/>
    </row>
    <row r="344" spans="3:8">
      <c r="C344" s="170" t="s">
        <v>837</v>
      </c>
      <c r="D344" s="164" t="s">
        <v>498</v>
      </c>
      <c r="E344" s="178">
        <v>73017</v>
      </c>
      <c r="F344" s="678"/>
      <c r="G344" s="176">
        <v>2800</v>
      </c>
      <c r="H344" s="723">
        <f t="shared" si="15"/>
        <v>2044</v>
      </c>
    </row>
    <row r="345" spans="3:8">
      <c r="C345" s="171" t="s">
        <v>604</v>
      </c>
      <c r="D345" s="176" t="s">
        <v>805</v>
      </c>
      <c r="E345" s="176" t="s">
        <v>805</v>
      </c>
      <c r="F345" s="680" t="s">
        <v>805</v>
      </c>
      <c r="G345" s="176" t="s">
        <v>805</v>
      </c>
      <c r="H345" s="723"/>
    </row>
    <row r="346" spans="3:8">
      <c r="C346" s="175" t="s">
        <v>838</v>
      </c>
      <c r="D346" s="164" t="s">
        <v>498</v>
      </c>
      <c r="E346" s="178">
        <v>73020</v>
      </c>
      <c r="F346" s="678"/>
      <c r="G346" s="176">
        <v>3200</v>
      </c>
      <c r="H346" s="723">
        <f t="shared" si="15"/>
        <v>2336</v>
      </c>
    </row>
    <row r="347" spans="3:8">
      <c r="C347" s="171" t="s">
        <v>604</v>
      </c>
      <c r="D347" s="172"/>
      <c r="E347" s="172"/>
      <c r="F347" s="172"/>
      <c r="G347" s="682"/>
      <c r="H347" s="723"/>
    </row>
    <row r="348" spans="3:8" ht="16.5">
      <c r="C348" s="163"/>
      <c r="D348" s="164"/>
      <c r="E348" s="165"/>
      <c r="F348" s="165"/>
      <c r="G348" s="166"/>
      <c r="H348" s="723"/>
    </row>
    <row r="349" spans="3:8">
      <c r="C349" s="628" t="s">
        <v>606</v>
      </c>
      <c r="D349" s="683" t="s">
        <v>470</v>
      </c>
      <c r="E349" s="165">
        <v>741302</v>
      </c>
      <c r="F349" s="165"/>
      <c r="G349" s="650">
        <v>2950</v>
      </c>
      <c r="H349" s="723">
        <f>G349-(G349*$H$9)</f>
        <v>1888</v>
      </c>
    </row>
    <row r="350" spans="3:8">
      <c r="C350" s="684" t="s">
        <v>839</v>
      </c>
      <c r="D350" s="683" t="s">
        <v>152</v>
      </c>
      <c r="E350" s="165">
        <v>741304</v>
      </c>
      <c r="F350" s="165"/>
      <c r="G350" s="650">
        <v>2950</v>
      </c>
      <c r="H350" s="723">
        <f t="shared" ref="H350:H357" si="16">G350-(G350*$H$9)</f>
        <v>1888</v>
      </c>
    </row>
    <row r="351" spans="3:8">
      <c r="C351" s="632" t="s">
        <v>607</v>
      </c>
      <c r="D351" s="683" t="s">
        <v>812</v>
      </c>
      <c r="E351" s="165">
        <v>741306</v>
      </c>
      <c r="F351" s="165"/>
      <c r="G351" s="650">
        <v>2950</v>
      </c>
      <c r="H351" s="723">
        <f t="shared" si="16"/>
        <v>1888</v>
      </c>
    </row>
    <row r="352" spans="3:8">
      <c r="C352" s="684" t="s">
        <v>608</v>
      </c>
      <c r="D352" s="683" t="s">
        <v>808</v>
      </c>
      <c r="E352" s="165">
        <v>741307</v>
      </c>
      <c r="F352" s="165"/>
      <c r="G352" s="650">
        <v>2950</v>
      </c>
      <c r="H352" s="723">
        <f t="shared" si="16"/>
        <v>1888</v>
      </c>
    </row>
    <row r="353" spans="3:8">
      <c r="C353" s="676"/>
      <c r="D353" s="683" t="s">
        <v>809</v>
      </c>
      <c r="E353" s="165">
        <v>741308</v>
      </c>
      <c r="F353" s="165"/>
      <c r="G353" s="650">
        <v>2950</v>
      </c>
      <c r="H353" s="723">
        <f t="shared" si="16"/>
        <v>1888</v>
      </c>
    </row>
    <row r="354" spans="3:8">
      <c r="C354" s="684"/>
      <c r="D354" s="683" t="s">
        <v>810</v>
      </c>
      <c r="E354" s="165">
        <v>741309</v>
      </c>
      <c r="F354" s="165"/>
      <c r="G354" s="650">
        <v>2950</v>
      </c>
      <c r="H354" s="723">
        <f t="shared" si="16"/>
        <v>1888</v>
      </c>
    </row>
    <row r="355" spans="3:8">
      <c r="C355" s="684"/>
      <c r="D355" s="683" t="s">
        <v>513</v>
      </c>
      <c r="E355" s="165" t="s">
        <v>609</v>
      </c>
      <c r="F355" s="165"/>
      <c r="G355" s="650">
        <v>2950</v>
      </c>
      <c r="H355" s="723">
        <f t="shared" si="16"/>
        <v>1888</v>
      </c>
    </row>
    <row r="356" spans="3:8">
      <c r="C356" s="684"/>
      <c r="D356" s="683" t="s">
        <v>515</v>
      </c>
      <c r="E356" s="165" t="s">
        <v>610</v>
      </c>
      <c r="F356" s="165"/>
      <c r="G356" s="650">
        <v>2950</v>
      </c>
      <c r="H356" s="723">
        <f t="shared" si="16"/>
        <v>1888</v>
      </c>
    </row>
    <row r="357" spans="3:8">
      <c r="C357" s="684"/>
      <c r="D357" s="683" t="s">
        <v>517</v>
      </c>
      <c r="E357" s="165" t="s">
        <v>611</v>
      </c>
      <c r="F357" s="165"/>
      <c r="G357" s="650">
        <v>2950</v>
      </c>
      <c r="H357" s="723">
        <f t="shared" si="16"/>
        <v>1888</v>
      </c>
    </row>
    <row r="358" spans="3:8" ht="16.5">
      <c r="C358" s="163"/>
      <c r="D358" s="164"/>
      <c r="E358" s="165"/>
      <c r="F358" s="165"/>
      <c r="G358" s="166" t="s">
        <v>805</v>
      </c>
      <c r="H358" s="660"/>
    </row>
    <row r="359" spans="3:8" ht="16.5">
      <c r="C359" s="1761" t="s">
        <v>612</v>
      </c>
      <c r="D359" s="1186"/>
      <c r="E359" s="1186"/>
      <c r="F359" s="1186"/>
      <c r="G359" s="1186" t="s">
        <v>499</v>
      </c>
      <c r="H359" s="1749"/>
    </row>
    <row r="360" spans="3:8">
      <c r="C360" s="641" t="s">
        <v>613</v>
      </c>
      <c r="D360" s="683" t="s">
        <v>470</v>
      </c>
      <c r="E360" s="669">
        <v>74110</v>
      </c>
      <c r="F360" s="685"/>
      <c r="G360" s="631">
        <v>1400</v>
      </c>
      <c r="H360" s="723">
        <f>G360-(G360*$H$5)</f>
        <v>1022</v>
      </c>
    </row>
    <row r="361" spans="3:8">
      <c r="C361" s="637" t="s">
        <v>614</v>
      </c>
      <c r="D361" s="683" t="s">
        <v>152</v>
      </c>
      <c r="E361" s="669">
        <v>741124</v>
      </c>
      <c r="F361" s="685"/>
      <c r="G361" s="631">
        <v>1400</v>
      </c>
      <c r="H361" s="723">
        <f t="shared" ref="H361:H367" si="17">G361-(G361*$H$5)</f>
        <v>1022</v>
      </c>
    </row>
    <row r="362" spans="3:8">
      <c r="C362" s="686"/>
      <c r="D362" s="683" t="s">
        <v>812</v>
      </c>
      <c r="E362" s="669">
        <v>741126</v>
      </c>
      <c r="F362" s="685"/>
      <c r="G362" s="631">
        <v>1400</v>
      </c>
      <c r="H362" s="723">
        <f t="shared" si="17"/>
        <v>1022</v>
      </c>
    </row>
    <row r="363" spans="3:8">
      <c r="C363" s="686"/>
      <c r="D363" s="683" t="s">
        <v>808</v>
      </c>
      <c r="E363" s="669">
        <v>741127</v>
      </c>
      <c r="F363" s="685"/>
      <c r="G363" s="631">
        <v>1400</v>
      </c>
      <c r="H363" s="723">
        <f t="shared" si="17"/>
        <v>1022</v>
      </c>
    </row>
    <row r="364" spans="3:8">
      <c r="C364" s="686"/>
      <c r="D364" s="683" t="s">
        <v>809</v>
      </c>
      <c r="E364" s="669">
        <v>741128</v>
      </c>
      <c r="F364" s="685"/>
      <c r="G364" s="631">
        <v>1400</v>
      </c>
      <c r="H364" s="723">
        <f t="shared" si="17"/>
        <v>1022</v>
      </c>
    </row>
    <row r="365" spans="3:8">
      <c r="C365" s="686"/>
      <c r="D365" s="683" t="s">
        <v>810</v>
      </c>
      <c r="E365" s="669">
        <v>741129</v>
      </c>
      <c r="F365" s="685"/>
      <c r="G365" s="631">
        <v>1400</v>
      </c>
      <c r="H365" s="723">
        <f t="shared" si="17"/>
        <v>1022</v>
      </c>
    </row>
    <row r="366" spans="3:8">
      <c r="C366" s="684"/>
      <c r="D366" s="687" t="s">
        <v>129</v>
      </c>
      <c r="E366" s="688">
        <v>741125</v>
      </c>
      <c r="F366" s="685"/>
      <c r="G366" s="649">
        <v>1650</v>
      </c>
      <c r="H366" s="723">
        <f t="shared" si="17"/>
        <v>1204.5</v>
      </c>
    </row>
    <row r="367" spans="3:8">
      <c r="C367" s="684"/>
      <c r="D367" s="687" t="s">
        <v>502</v>
      </c>
      <c r="E367" s="688">
        <v>741121</v>
      </c>
      <c r="F367" s="685"/>
      <c r="G367" s="649">
        <v>1650</v>
      </c>
      <c r="H367" s="723">
        <f t="shared" si="17"/>
        <v>1204.5</v>
      </c>
    </row>
    <row r="368" spans="3:8" ht="16.5">
      <c r="C368" s="163"/>
      <c r="D368" s="164"/>
      <c r="E368" s="165"/>
      <c r="F368" s="165"/>
      <c r="G368" s="166" t="s">
        <v>805</v>
      </c>
      <c r="H368" s="723"/>
    </row>
    <row r="369" spans="3:8">
      <c r="C369" s="689" t="s">
        <v>615</v>
      </c>
      <c r="D369" s="690" t="s">
        <v>103</v>
      </c>
      <c r="E369" s="691">
        <v>74161</v>
      </c>
      <c r="F369" s="691"/>
      <c r="G369" s="631">
        <v>3700</v>
      </c>
      <c r="H369" s="723">
        <f>G369-(G369*$H$9)</f>
        <v>2368</v>
      </c>
    </row>
    <row r="370" spans="3:8">
      <c r="C370" s="632" t="s">
        <v>616</v>
      </c>
      <c r="D370" s="690" t="s">
        <v>807</v>
      </c>
      <c r="E370" s="691">
        <v>741664</v>
      </c>
      <c r="F370" s="691"/>
      <c r="G370" s="631">
        <v>3700</v>
      </c>
      <c r="H370" s="723">
        <f t="shared" ref="H370:H387" si="18">G370-(G370*$H$9)</f>
        <v>2368</v>
      </c>
    </row>
    <row r="371" spans="3:8">
      <c r="C371" s="632" t="s">
        <v>617</v>
      </c>
      <c r="D371" s="690" t="s">
        <v>812</v>
      </c>
      <c r="E371" s="691">
        <v>741666</v>
      </c>
      <c r="F371" s="691"/>
      <c r="G371" s="631">
        <v>3700</v>
      </c>
      <c r="H371" s="723">
        <f t="shared" si="18"/>
        <v>2368</v>
      </c>
    </row>
    <row r="372" spans="3:8">
      <c r="C372" s="689"/>
      <c r="D372" s="690" t="s">
        <v>808</v>
      </c>
      <c r="E372" s="691">
        <v>741667</v>
      </c>
      <c r="F372" s="691"/>
      <c r="G372" s="631">
        <v>3700</v>
      </c>
      <c r="H372" s="723">
        <f t="shared" si="18"/>
        <v>2368</v>
      </c>
    </row>
    <row r="373" spans="3:8">
      <c r="C373" s="689"/>
      <c r="D373" s="690" t="s">
        <v>809</v>
      </c>
      <c r="E373" s="691">
        <v>741668</v>
      </c>
      <c r="F373" s="691"/>
      <c r="G373" s="631">
        <v>3700</v>
      </c>
      <c r="H373" s="723">
        <f t="shared" si="18"/>
        <v>2368</v>
      </c>
    </row>
    <row r="374" spans="3:8">
      <c r="C374" s="689"/>
      <c r="D374" s="690" t="s">
        <v>810</v>
      </c>
      <c r="E374" s="691">
        <v>741669</v>
      </c>
      <c r="F374" s="691"/>
      <c r="G374" s="631">
        <v>3700</v>
      </c>
      <c r="H374" s="723">
        <f t="shared" si="18"/>
        <v>2368</v>
      </c>
    </row>
    <row r="375" spans="3:8">
      <c r="C375" s="689"/>
      <c r="D375" s="683" t="s">
        <v>129</v>
      </c>
      <c r="E375" s="669">
        <v>741665</v>
      </c>
      <c r="F375" s="669"/>
      <c r="G375" s="631">
        <v>3700</v>
      </c>
      <c r="H375" s="723">
        <f t="shared" si="18"/>
        <v>2368</v>
      </c>
    </row>
    <row r="376" spans="3:8">
      <c r="C376" s="689"/>
      <c r="D376" s="164" t="s">
        <v>502</v>
      </c>
      <c r="E376" s="164">
        <v>741661</v>
      </c>
      <c r="F376" s="669"/>
      <c r="G376" s="631">
        <v>3700</v>
      </c>
      <c r="H376" s="723">
        <f t="shared" si="18"/>
        <v>2368</v>
      </c>
    </row>
    <row r="377" spans="3:8" ht="16.5">
      <c r="C377" s="163"/>
      <c r="D377" s="164"/>
      <c r="E377" s="165"/>
      <c r="F377" s="165"/>
      <c r="G377" s="166" t="s">
        <v>805</v>
      </c>
      <c r="H377" s="723"/>
    </row>
    <row r="378" spans="3:8">
      <c r="C378" s="689" t="s">
        <v>840</v>
      </c>
      <c r="D378" s="164" t="s">
        <v>103</v>
      </c>
      <c r="E378" s="165">
        <v>74202</v>
      </c>
      <c r="F378" s="669"/>
      <c r="G378" s="631">
        <v>1800</v>
      </c>
      <c r="H378" s="723">
        <f t="shared" si="18"/>
        <v>1152</v>
      </c>
    </row>
    <row r="379" spans="3:8" ht="16.5">
      <c r="C379" s="163"/>
      <c r="D379" s="164"/>
      <c r="E379" s="165"/>
      <c r="F379" s="165"/>
      <c r="G379" s="166" t="s">
        <v>805</v>
      </c>
      <c r="H379" s="723"/>
    </row>
    <row r="380" spans="3:8">
      <c r="C380" s="656" t="s">
        <v>841</v>
      </c>
      <c r="D380" s="164" t="s">
        <v>103</v>
      </c>
      <c r="E380" s="165">
        <v>74203</v>
      </c>
      <c r="F380" s="165"/>
      <c r="G380" s="631">
        <v>500</v>
      </c>
      <c r="H380" s="723">
        <f t="shared" si="18"/>
        <v>320</v>
      </c>
    </row>
    <row r="381" spans="3:8" ht="16.5">
      <c r="C381" s="163"/>
      <c r="D381" s="164"/>
      <c r="E381" s="165"/>
      <c r="F381" s="165"/>
      <c r="G381" s="166" t="s">
        <v>805</v>
      </c>
      <c r="H381" s="723"/>
    </row>
    <row r="382" spans="3:8">
      <c r="C382" s="692" t="s">
        <v>618</v>
      </c>
      <c r="D382" s="634" t="s">
        <v>103</v>
      </c>
      <c r="E382" s="691">
        <v>74172</v>
      </c>
      <c r="F382" s="691"/>
      <c r="G382" s="631">
        <v>1800</v>
      </c>
      <c r="H382" s="723">
        <f t="shared" si="18"/>
        <v>1152</v>
      </c>
    </row>
    <row r="383" spans="3:8">
      <c r="C383" s="686" t="s">
        <v>619</v>
      </c>
      <c r="D383" s="634" t="s">
        <v>807</v>
      </c>
      <c r="E383" s="691">
        <v>741744</v>
      </c>
      <c r="F383" s="691"/>
      <c r="G383" s="631">
        <v>1800</v>
      </c>
      <c r="H383" s="723">
        <f t="shared" si="18"/>
        <v>1152</v>
      </c>
    </row>
    <row r="384" spans="3:8">
      <c r="C384" s="686" t="s">
        <v>620</v>
      </c>
      <c r="D384" s="690" t="s">
        <v>812</v>
      </c>
      <c r="E384" s="691">
        <v>741746</v>
      </c>
      <c r="F384" s="691"/>
      <c r="G384" s="631">
        <v>1800</v>
      </c>
      <c r="H384" s="723">
        <f t="shared" si="18"/>
        <v>1152</v>
      </c>
    </row>
    <row r="385" spans="3:8">
      <c r="C385" s="693" t="s">
        <v>621</v>
      </c>
      <c r="D385" s="690" t="s">
        <v>808</v>
      </c>
      <c r="E385" s="691">
        <v>741747</v>
      </c>
      <c r="F385" s="691"/>
      <c r="G385" s="631">
        <v>1800</v>
      </c>
      <c r="H385" s="723">
        <f t="shared" si="18"/>
        <v>1152</v>
      </c>
    </row>
    <row r="386" spans="3:8">
      <c r="C386" s="686"/>
      <c r="D386" s="690" t="s">
        <v>809</v>
      </c>
      <c r="E386" s="691">
        <v>741748</v>
      </c>
      <c r="F386" s="691"/>
      <c r="G386" s="631">
        <v>1800</v>
      </c>
      <c r="H386" s="723">
        <f t="shared" si="18"/>
        <v>1152</v>
      </c>
    </row>
    <row r="387" spans="3:8">
      <c r="C387" s="686"/>
      <c r="D387" s="690" t="s">
        <v>474</v>
      </c>
      <c r="E387" s="691">
        <v>741749</v>
      </c>
      <c r="F387" s="691"/>
      <c r="G387" s="631">
        <v>1800</v>
      </c>
      <c r="H387" s="723">
        <f t="shared" si="18"/>
        <v>1152</v>
      </c>
    </row>
    <row r="388" spans="3:8" ht="16.5">
      <c r="C388" s="163"/>
      <c r="D388" s="164"/>
      <c r="E388" s="165"/>
      <c r="F388" s="165"/>
      <c r="G388" s="166"/>
      <c r="H388" s="723"/>
    </row>
    <row r="389" spans="3:8">
      <c r="C389" s="668" t="s">
        <v>622</v>
      </c>
      <c r="D389" s="683" t="s">
        <v>103</v>
      </c>
      <c r="E389" s="669">
        <v>731152</v>
      </c>
      <c r="F389" s="685" t="s">
        <v>499</v>
      </c>
      <c r="G389" s="631">
        <v>500</v>
      </c>
      <c r="H389" s="723">
        <f>G389-(G389*$H$5)</f>
        <v>365</v>
      </c>
    </row>
    <row r="390" spans="3:8">
      <c r="C390" s="651" t="s">
        <v>623</v>
      </c>
      <c r="D390" s="164" t="s">
        <v>807</v>
      </c>
      <c r="E390" s="669">
        <v>731154</v>
      </c>
      <c r="F390" s="685"/>
      <c r="G390" s="631">
        <v>500</v>
      </c>
      <c r="H390" s="723">
        <f t="shared" ref="H390:H396" si="19">G390-(G390*$H$5)</f>
        <v>365</v>
      </c>
    </row>
    <row r="391" spans="3:8">
      <c r="C391" s="693" t="s">
        <v>624</v>
      </c>
      <c r="D391" s="164" t="s">
        <v>812</v>
      </c>
      <c r="E391" s="669">
        <v>731156</v>
      </c>
      <c r="F391" s="685"/>
      <c r="G391" s="631">
        <v>500</v>
      </c>
      <c r="H391" s="723">
        <f t="shared" si="19"/>
        <v>365</v>
      </c>
    </row>
    <row r="392" spans="3:8">
      <c r="C392" s="693" t="s">
        <v>842</v>
      </c>
      <c r="D392" s="164" t="s">
        <v>808</v>
      </c>
      <c r="E392" s="669">
        <v>731157</v>
      </c>
      <c r="F392" s="685"/>
      <c r="G392" s="631">
        <v>500</v>
      </c>
      <c r="H392" s="723">
        <f t="shared" si="19"/>
        <v>365</v>
      </c>
    </row>
    <row r="393" spans="3:8">
      <c r="C393" s="686" t="s">
        <v>843</v>
      </c>
      <c r="D393" s="164" t="s">
        <v>809</v>
      </c>
      <c r="E393" s="669">
        <v>731158</v>
      </c>
      <c r="F393" s="685"/>
      <c r="G393" s="631">
        <v>500</v>
      </c>
      <c r="H393" s="723">
        <f t="shared" si="19"/>
        <v>365</v>
      </c>
    </row>
    <row r="394" spans="3:8">
      <c r="C394" s="158"/>
      <c r="D394" s="164" t="s">
        <v>474</v>
      </c>
      <c r="E394" s="669">
        <v>731159</v>
      </c>
      <c r="F394" s="685" t="s">
        <v>499</v>
      </c>
      <c r="G394" s="631">
        <v>500</v>
      </c>
      <c r="H394" s="723">
        <f t="shared" si="19"/>
        <v>365</v>
      </c>
    </row>
    <row r="395" spans="3:8">
      <c r="C395" s="689"/>
      <c r="D395" s="687" t="s">
        <v>129</v>
      </c>
      <c r="E395" s="688">
        <v>731155</v>
      </c>
      <c r="F395" s="685"/>
      <c r="G395" s="649">
        <v>950</v>
      </c>
      <c r="H395" s="723">
        <f t="shared" si="19"/>
        <v>693.5</v>
      </c>
    </row>
    <row r="396" spans="3:8">
      <c r="C396" s="689"/>
      <c r="D396" s="647" t="s">
        <v>502</v>
      </c>
      <c r="E396" s="647">
        <v>731151</v>
      </c>
      <c r="F396" s="685"/>
      <c r="G396" s="649">
        <v>950</v>
      </c>
      <c r="H396" s="723">
        <f t="shared" si="19"/>
        <v>693.5</v>
      </c>
    </row>
    <row r="397" spans="3:8" ht="16.5">
      <c r="C397" s="163"/>
      <c r="D397" s="164"/>
      <c r="E397" s="165"/>
      <c r="F397" s="165"/>
      <c r="G397" s="166"/>
      <c r="H397" s="723"/>
    </row>
    <row r="398" spans="3:8">
      <c r="C398" s="689" t="s">
        <v>625</v>
      </c>
      <c r="D398" s="683" t="s">
        <v>470</v>
      </c>
      <c r="E398" s="669">
        <v>73182</v>
      </c>
      <c r="F398" s="165" t="s">
        <v>499</v>
      </c>
      <c r="G398" s="631">
        <v>990</v>
      </c>
      <c r="H398" s="723">
        <f t="shared" ref="H398:H405" si="20">G398-(G398*$H$9)</f>
        <v>633.6</v>
      </c>
    </row>
    <row r="399" spans="3:8">
      <c r="C399" s="694" t="s">
        <v>844</v>
      </c>
      <c r="D399" s="683" t="s">
        <v>152</v>
      </c>
      <c r="E399" s="669">
        <v>731834</v>
      </c>
      <c r="F399" s="165" t="s">
        <v>499</v>
      </c>
      <c r="G399" s="631">
        <v>990</v>
      </c>
      <c r="H399" s="723">
        <f t="shared" si="20"/>
        <v>633.6</v>
      </c>
    </row>
    <row r="400" spans="3:8">
      <c r="C400" s="694"/>
      <c r="D400" s="683" t="s">
        <v>812</v>
      </c>
      <c r="E400" s="669">
        <v>731836</v>
      </c>
      <c r="F400" s="165" t="s">
        <v>499</v>
      </c>
      <c r="G400" s="631">
        <v>990</v>
      </c>
      <c r="H400" s="723">
        <f t="shared" si="20"/>
        <v>633.6</v>
      </c>
    </row>
    <row r="401" spans="3:8">
      <c r="C401" s="694" t="s">
        <v>499</v>
      </c>
      <c r="D401" s="683" t="s">
        <v>808</v>
      </c>
      <c r="E401" s="669">
        <v>731837</v>
      </c>
      <c r="F401" s="165" t="s">
        <v>499</v>
      </c>
      <c r="G401" s="631">
        <v>990</v>
      </c>
      <c r="H401" s="723">
        <f t="shared" si="20"/>
        <v>633.6</v>
      </c>
    </row>
    <row r="402" spans="3:8">
      <c r="C402" s="689"/>
      <c r="D402" s="683" t="s">
        <v>151</v>
      </c>
      <c r="E402" s="669">
        <v>731838</v>
      </c>
      <c r="F402" s="165" t="s">
        <v>499</v>
      </c>
      <c r="G402" s="631">
        <v>990</v>
      </c>
      <c r="H402" s="723">
        <f t="shared" si="20"/>
        <v>633.6</v>
      </c>
    </row>
    <row r="403" spans="3:8">
      <c r="C403" s="689"/>
      <c r="D403" s="683" t="s">
        <v>474</v>
      </c>
      <c r="E403" s="669">
        <v>731839</v>
      </c>
      <c r="F403" s="165" t="s">
        <v>499</v>
      </c>
      <c r="G403" s="631">
        <v>990</v>
      </c>
      <c r="H403" s="723">
        <f t="shared" si="20"/>
        <v>633.6</v>
      </c>
    </row>
    <row r="404" spans="3:8">
      <c r="C404" s="689"/>
      <c r="D404" s="687" t="s">
        <v>129</v>
      </c>
      <c r="E404" s="688">
        <v>731835</v>
      </c>
      <c r="F404" s="695"/>
      <c r="G404" s="649">
        <v>1900</v>
      </c>
      <c r="H404" s="723">
        <f t="shared" si="20"/>
        <v>1216</v>
      </c>
    </row>
    <row r="405" spans="3:8">
      <c r="C405" s="689"/>
      <c r="D405" s="687" t="s">
        <v>502</v>
      </c>
      <c r="E405" s="688">
        <v>731831</v>
      </c>
      <c r="F405" s="695"/>
      <c r="G405" s="649">
        <v>1900</v>
      </c>
      <c r="H405" s="723">
        <f t="shared" si="20"/>
        <v>1216</v>
      </c>
    </row>
    <row r="406" spans="3:8" ht="16.5">
      <c r="C406" s="163"/>
      <c r="D406" s="164"/>
      <c r="E406" s="165"/>
      <c r="F406" s="165"/>
      <c r="G406" s="166"/>
      <c r="H406" s="660"/>
    </row>
    <row r="407" spans="3:8" ht="16.5">
      <c r="C407" s="1761" t="s">
        <v>626</v>
      </c>
      <c r="D407" s="1186"/>
      <c r="E407" s="1186"/>
      <c r="F407" s="1186"/>
      <c r="G407" s="1186" t="s">
        <v>499</v>
      </c>
      <c r="H407" s="1749"/>
    </row>
    <row r="408" spans="3:8" ht="16.5">
      <c r="C408" s="163"/>
      <c r="D408" s="164"/>
      <c r="E408" s="165"/>
      <c r="F408" s="165"/>
      <c r="G408" s="166"/>
      <c r="H408" s="660"/>
    </row>
    <row r="409" spans="3:8">
      <c r="C409" s="633" t="s">
        <v>627</v>
      </c>
      <c r="D409" s="634" t="s">
        <v>470</v>
      </c>
      <c r="E409" s="636">
        <v>73442</v>
      </c>
      <c r="F409" s="695"/>
      <c r="G409" s="650">
        <v>5150</v>
      </c>
      <c r="H409" s="719">
        <f>G409-(G409*$H$9)</f>
        <v>3296</v>
      </c>
    </row>
    <row r="410" spans="3:8">
      <c r="C410" s="651" t="s">
        <v>845</v>
      </c>
      <c r="D410" s="634" t="s">
        <v>152</v>
      </c>
      <c r="E410" s="636">
        <v>734434</v>
      </c>
      <c r="F410" s="695"/>
      <c r="G410" s="650">
        <v>5150</v>
      </c>
      <c r="H410" s="719">
        <f t="shared" ref="H410:H416" si="21">G410-(G410*$H$9)</f>
        <v>3296</v>
      </c>
    </row>
    <row r="411" spans="3:8">
      <c r="C411" s="637" t="s">
        <v>628</v>
      </c>
      <c r="D411" s="634" t="s">
        <v>473</v>
      </c>
      <c r="E411" s="636">
        <v>734436</v>
      </c>
      <c r="F411" s="695"/>
      <c r="G411" s="650">
        <v>5150</v>
      </c>
      <c r="H411" s="719">
        <f t="shared" si="21"/>
        <v>3296</v>
      </c>
    </row>
    <row r="412" spans="3:8">
      <c r="C412" s="651" t="s">
        <v>621</v>
      </c>
      <c r="D412" s="634" t="s">
        <v>149</v>
      </c>
      <c r="E412" s="636">
        <v>734437</v>
      </c>
      <c r="F412" s="695"/>
      <c r="G412" s="650">
        <v>5150</v>
      </c>
      <c r="H412" s="719">
        <f t="shared" si="21"/>
        <v>3296</v>
      </c>
    </row>
    <row r="413" spans="3:8">
      <c r="C413" s="158"/>
      <c r="D413" s="634" t="s">
        <v>151</v>
      </c>
      <c r="E413" s="636">
        <v>734438</v>
      </c>
      <c r="F413" s="695"/>
      <c r="G413" s="650">
        <v>5150</v>
      </c>
      <c r="H413" s="719">
        <f t="shared" si="21"/>
        <v>3296</v>
      </c>
    </row>
    <row r="414" spans="3:8">
      <c r="C414" s="158"/>
      <c r="D414" s="634" t="s">
        <v>474</v>
      </c>
      <c r="E414" s="636">
        <v>734439</v>
      </c>
      <c r="F414" s="695"/>
      <c r="G414" s="650">
        <v>5150</v>
      </c>
      <c r="H414" s="719">
        <f t="shared" si="21"/>
        <v>3296</v>
      </c>
    </row>
    <row r="415" spans="3:8">
      <c r="C415" s="660"/>
      <c r="D415" s="687" t="s">
        <v>129</v>
      </c>
      <c r="E415" s="688">
        <v>734435</v>
      </c>
      <c r="F415" s="695"/>
      <c r="G415" s="649">
        <v>6500</v>
      </c>
      <c r="H415" s="719">
        <f t="shared" si="21"/>
        <v>4160</v>
      </c>
    </row>
    <row r="416" spans="3:8">
      <c r="C416" s="660"/>
      <c r="D416" s="687" t="s">
        <v>502</v>
      </c>
      <c r="E416" s="688">
        <v>734431</v>
      </c>
      <c r="F416" s="695"/>
      <c r="G416" s="649">
        <v>6500</v>
      </c>
      <c r="H416" s="719">
        <f t="shared" si="21"/>
        <v>4160</v>
      </c>
    </row>
    <row r="417" spans="3:8" ht="16.5">
      <c r="C417" s="163"/>
      <c r="D417" s="164"/>
      <c r="E417" s="165"/>
      <c r="F417" s="165"/>
      <c r="G417" s="166" t="s">
        <v>805</v>
      </c>
      <c r="H417" s="719"/>
    </row>
    <row r="418" spans="3:8">
      <c r="C418" s="641" t="s">
        <v>629</v>
      </c>
      <c r="D418" s="164" t="s">
        <v>470</v>
      </c>
      <c r="E418" s="165">
        <v>734402</v>
      </c>
      <c r="F418" s="696"/>
      <c r="G418" s="631">
        <v>3700</v>
      </c>
      <c r="H418" s="719">
        <f>G418-(G418*$H$5)</f>
        <v>2701</v>
      </c>
    </row>
    <row r="419" spans="3:8">
      <c r="C419" s="659" t="s">
        <v>845</v>
      </c>
      <c r="D419" s="164" t="s">
        <v>152</v>
      </c>
      <c r="E419" s="165">
        <v>734404</v>
      </c>
      <c r="F419" s="696"/>
      <c r="G419" s="631">
        <v>3700</v>
      </c>
      <c r="H419" s="719">
        <f t="shared" ref="H419:H428" si="22">G419-(G419*$H$5)</f>
        <v>2701</v>
      </c>
    </row>
    <row r="420" spans="3:8">
      <c r="C420" s="632" t="s">
        <v>630</v>
      </c>
      <c r="D420" s="164" t="s">
        <v>473</v>
      </c>
      <c r="E420" s="165">
        <v>734406</v>
      </c>
      <c r="F420" s="696"/>
      <c r="G420" s="631">
        <v>3700</v>
      </c>
      <c r="H420" s="719">
        <f t="shared" si="22"/>
        <v>2701</v>
      </c>
    </row>
    <row r="421" spans="3:8">
      <c r="C421" s="659" t="s">
        <v>621</v>
      </c>
      <c r="D421" s="164" t="s">
        <v>149</v>
      </c>
      <c r="E421" s="165">
        <v>734407</v>
      </c>
      <c r="F421" s="696"/>
      <c r="G421" s="631">
        <v>3700</v>
      </c>
      <c r="H421" s="719">
        <f t="shared" si="22"/>
        <v>2701</v>
      </c>
    </row>
    <row r="422" spans="3:8">
      <c r="C422" s="632"/>
      <c r="D422" s="164" t="s">
        <v>151</v>
      </c>
      <c r="E422" s="165">
        <v>734408</v>
      </c>
      <c r="F422" s="696"/>
      <c r="G422" s="631">
        <v>3700</v>
      </c>
      <c r="H422" s="719">
        <f t="shared" si="22"/>
        <v>2701</v>
      </c>
    </row>
    <row r="423" spans="3:8">
      <c r="C423" s="632"/>
      <c r="D423" s="164" t="s">
        <v>474</v>
      </c>
      <c r="E423" s="165">
        <v>734409</v>
      </c>
      <c r="F423" s="696"/>
      <c r="G423" s="631">
        <v>3700</v>
      </c>
      <c r="H423" s="719">
        <f t="shared" si="22"/>
        <v>2701</v>
      </c>
    </row>
    <row r="424" spans="3:8">
      <c r="C424" s="632"/>
      <c r="D424" s="687" t="s">
        <v>502</v>
      </c>
      <c r="E424" s="688">
        <v>734405</v>
      </c>
      <c r="F424" s="685"/>
      <c r="G424" s="649">
        <v>4700</v>
      </c>
      <c r="H424" s="719">
        <f t="shared" si="22"/>
        <v>3431</v>
      </c>
    </row>
    <row r="425" spans="3:8">
      <c r="C425" s="628"/>
      <c r="D425" s="687" t="s">
        <v>129</v>
      </c>
      <c r="E425" s="688">
        <v>734401</v>
      </c>
      <c r="F425" s="685"/>
      <c r="G425" s="649">
        <v>4700</v>
      </c>
      <c r="H425" s="719">
        <f t="shared" si="22"/>
        <v>3431</v>
      </c>
    </row>
    <row r="426" spans="3:8">
      <c r="C426" s="628"/>
      <c r="D426" s="687" t="s">
        <v>513</v>
      </c>
      <c r="E426" s="688" t="s">
        <v>631</v>
      </c>
      <c r="F426" s="685"/>
      <c r="G426" s="649">
        <v>4700</v>
      </c>
      <c r="H426" s="719">
        <f t="shared" si="22"/>
        <v>3431</v>
      </c>
    </row>
    <row r="427" spans="3:8">
      <c r="C427" s="628"/>
      <c r="D427" s="687" t="s">
        <v>515</v>
      </c>
      <c r="E427" s="688" t="s">
        <v>632</v>
      </c>
      <c r="F427" s="685"/>
      <c r="G427" s="649">
        <v>4700</v>
      </c>
      <c r="H427" s="719">
        <f t="shared" si="22"/>
        <v>3431</v>
      </c>
    </row>
    <row r="428" spans="3:8">
      <c r="C428" s="628"/>
      <c r="D428" s="687" t="s">
        <v>517</v>
      </c>
      <c r="E428" s="688" t="s">
        <v>633</v>
      </c>
      <c r="F428" s="685"/>
      <c r="G428" s="649">
        <v>4700</v>
      </c>
      <c r="H428" s="719">
        <f t="shared" si="22"/>
        <v>3431</v>
      </c>
    </row>
    <row r="429" spans="3:8" ht="16.5">
      <c r="C429" s="163"/>
      <c r="D429" s="164"/>
      <c r="E429" s="165"/>
      <c r="F429" s="165"/>
      <c r="G429" s="166" t="s">
        <v>805</v>
      </c>
      <c r="H429" s="719"/>
    </row>
    <row r="430" spans="3:8">
      <c r="C430" s="633" t="s">
        <v>634</v>
      </c>
      <c r="D430" s="634" t="s">
        <v>470</v>
      </c>
      <c r="E430" s="636">
        <v>74163</v>
      </c>
      <c r="F430" s="636"/>
      <c r="G430" s="650">
        <v>9200</v>
      </c>
      <c r="H430" s="719">
        <f>G430-(G430*$H$9)</f>
        <v>5888</v>
      </c>
    </row>
    <row r="431" spans="3:8">
      <c r="C431" s="651" t="s">
        <v>845</v>
      </c>
      <c r="D431" s="634" t="s">
        <v>152</v>
      </c>
      <c r="E431" s="636">
        <v>741684</v>
      </c>
      <c r="F431" s="636"/>
      <c r="G431" s="650">
        <v>9200</v>
      </c>
      <c r="H431" s="719">
        <f t="shared" ref="H431:H445" si="23">G431-(G431*$H$9)</f>
        <v>5888</v>
      </c>
    </row>
    <row r="432" spans="3:8">
      <c r="C432" s="637" t="s">
        <v>628</v>
      </c>
      <c r="D432" s="634" t="s">
        <v>473</v>
      </c>
      <c r="E432" s="636">
        <v>741686</v>
      </c>
      <c r="F432" s="636"/>
      <c r="G432" s="650">
        <v>9200</v>
      </c>
      <c r="H432" s="719">
        <f t="shared" si="23"/>
        <v>5888</v>
      </c>
    </row>
    <row r="433" spans="3:8">
      <c r="C433" s="637" t="s">
        <v>635</v>
      </c>
      <c r="D433" s="634" t="s">
        <v>149</v>
      </c>
      <c r="E433" s="636">
        <v>741687</v>
      </c>
      <c r="F433" s="636"/>
      <c r="G433" s="650">
        <v>9200</v>
      </c>
      <c r="H433" s="719">
        <f t="shared" si="23"/>
        <v>5888</v>
      </c>
    </row>
    <row r="434" spans="3:8">
      <c r="C434" s="637"/>
      <c r="D434" s="634" t="s">
        <v>151</v>
      </c>
      <c r="E434" s="636">
        <v>741688</v>
      </c>
      <c r="F434" s="636"/>
      <c r="G434" s="650">
        <v>9200</v>
      </c>
      <c r="H434" s="719">
        <f t="shared" si="23"/>
        <v>5888</v>
      </c>
    </row>
    <row r="435" spans="3:8">
      <c r="C435" s="637"/>
      <c r="D435" s="634" t="s">
        <v>474</v>
      </c>
      <c r="E435" s="636">
        <v>741689</v>
      </c>
      <c r="F435" s="636"/>
      <c r="G435" s="650">
        <v>9200</v>
      </c>
      <c r="H435" s="719">
        <f t="shared" si="23"/>
        <v>5888</v>
      </c>
    </row>
    <row r="436" spans="3:8">
      <c r="C436" s="660"/>
      <c r="D436" s="164" t="s">
        <v>129</v>
      </c>
      <c r="E436" s="165">
        <v>741685</v>
      </c>
      <c r="F436" s="165"/>
      <c r="G436" s="650">
        <v>9200</v>
      </c>
      <c r="H436" s="719">
        <f t="shared" si="23"/>
        <v>5888</v>
      </c>
    </row>
    <row r="437" spans="3:8">
      <c r="C437" s="158"/>
      <c r="D437" s="164" t="s">
        <v>502</v>
      </c>
      <c r="E437" s="165">
        <v>741681</v>
      </c>
      <c r="F437" s="636"/>
      <c r="G437" s="650">
        <v>9200</v>
      </c>
      <c r="H437" s="719">
        <f t="shared" si="23"/>
        <v>5888</v>
      </c>
    </row>
    <row r="438" spans="3:8" ht="16.5">
      <c r="C438" s="163"/>
      <c r="D438" s="164"/>
      <c r="E438" s="165"/>
      <c r="F438" s="165"/>
      <c r="G438" s="166" t="s">
        <v>805</v>
      </c>
      <c r="H438" s="719"/>
    </row>
    <row r="439" spans="3:8">
      <c r="C439" s="633" t="s">
        <v>636</v>
      </c>
      <c r="D439" s="634" t="s">
        <v>470</v>
      </c>
      <c r="E439" s="636">
        <v>741692</v>
      </c>
      <c r="F439" s="636"/>
      <c r="G439" s="650">
        <v>9200</v>
      </c>
      <c r="H439" s="719">
        <f t="shared" si="23"/>
        <v>5888</v>
      </c>
    </row>
    <row r="440" spans="3:8">
      <c r="C440" s="651" t="s">
        <v>845</v>
      </c>
      <c r="D440" s="634" t="s">
        <v>152</v>
      </c>
      <c r="E440" s="636">
        <v>741694</v>
      </c>
      <c r="F440" s="636"/>
      <c r="G440" s="650">
        <v>9200</v>
      </c>
      <c r="H440" s="719">
        <f t="shared" si="23"/>
        <v>5888</v>
      </c>
    </row>
    <row r="441" spans="3:8">
      <c r="C441" s="637" t="s">
        <v>630</v>
      </c>
      <c r="D441" s="634" t="s">
        <v>473</v>
      </c>
      <c r="E441" s="636">
        <v>741696</v>
      </c>
      <c r="F441" s="636"/>
      <c r="G441" s="650">
        <v>9200</v>
      </c>
      <c r="H441" s="719">
        <f t="shared" si="23"/>
        <v>5888</v>
      </c>
    </row>
    <row r="442" spans="3:8">
      <c r="C442" s="651" t="s">
        <v>635</v>
      </c>
      <c r="D442" s="634" t="s">
        <v>149</v>
      </c>
      <c r="E442" s="636">
        <v>741697</v>
      </c>
      <c r="F442" s="636"/>
      <c r="G442" s="650">
        <v>9200</v>
      </c>
      <c r="H442" s="719">
        <f t="shared" si="23"/>
        <v>5888</v>
      </c>
    </row>
    <row r="443" spans="3:8">
      <c r="C443" s="637"/>
      <c r="D443" s="634" t="s">
        <v>151</v>
      </c>
      <c r="E443" s="636">
        <v>741698</v>
      </c>
      <c r="F443" s="636"/>
      <c r="G443" s="650">
        <v>9200</v>
      </c>
      <c r="H443" s="719">
        <f t="shared" si="23"/>
        <v>5888</v>
      </c>
    </row>
    <row r="444" spans="3:8">
      <c r="C444" s="637"/>
      <c r="D444" s="634" t="s">
        <v>474</v>
      </c>
      <c r="E444" s="636">
        <v>741699</v>
      </c>
      <c r="F444" s="636"/>
      <c r="G444" s="650">
        <v>9200</v>
      </c>
      <c r="H444" s="719">
        <f t="shared" si="23"/>
        <v>5888</v>
      </c>
    </row>
    <row r="445" spans="3:8">
      <c r="C445" s="637"/>
      <c r="D445" s="634" t="s">
        <v>502</v>
      </c>
      <c r="E445" s="636">
        <v>741691</v>
      </c>
      <c r="F445" s="636"/>
      <c r="G445" s="650">
        <v>9200</v>
      </c>
      <c r="H445" s="719">
        <f t="shared" si="23"/>
        <v>5888</v>
      </c>
    </row>
    <row r="446" spans="3:8" ht="16.5">
      <c r="C446" s="163"/>
      <c r="D446" s="164"/>
      <c r="E446" s="165"/>
      <c r="F446" s="165"/>
      <c r="G446" s="166" t="s">
        <v>805</v>
      </c>
      <c r="H446" s="660"/>
    </row>
    <row r="447" spans="3:8" ht="16.5">
      <c r="C447" s="1761" t="s">
        <v>637</v>
      </c>
      <c r="D447" s="1186"/>
      <c r="E447" s="1186"/>
      <c r="F447" s="1186"/>
      <c r="G447" s="1186" t="s">
        <v>499</v>
      </c>
      <c r="H447" s="1749"/>
    </row>
    <row r="448" spans="3:8" ht="16.5">
      <c r="C448" s="163"/>
      <c r="D448" s="164"/>
      <c r="E448" s="165"/>
      <c r="F448" s="165"/>
      <c r="G448" s="166"/>
      <c r="H448" s="660"/>
    </row>
    <row r="449" spans="3:8">
      <c r="C449" s="633" t="s">
        <v>638</v>
      </c>
      <c r="D449" s="634" t="s">
        <v>103</v>
      </c>
      <c r="E449" s="636">
        <v>741772</v>
      </c>
      <c r="F449" s="636"/>
      <c r="G449" s="631">
        <v>27000</v>
      </c>
      <c r="H449" s="719">
        <f>G449-(G449*$H$9)</f>
        <v>17280</v>
      </c>
    </row>
    <row r="450" spans="3:8">
      <c r="C450" s="651" t="s">
        <v>845</v>
      </c>
      <c r="D450" s="634" t="s">
        <v>152</v>
      </c>
      <c r="E450" s="636">
        <v>741774</v>
      </c>
      <c r="F450" s="636"/>
      <c r="G450" s="631">
        <v>29000</v>
      </c>
      <c r="H450" s="719">
        <f t="shared" ref="H450:H489" si="24">G450-(G450*$H$9)</f>
        <v>18560</v>
      </c>
    </row>
    <row r="451" spans="3:8">
      <c r="C451" s="637" t="s">
        <v>628</v>
      </c>
      <c r="D451" s="634" t="s">
        <v>473</v>
      </c>
      <c r="E451" s="636">
        <v>741776</v>
      </c>
      <c r="F451" s="636"/>
      <c r="G451" s="631">
        <v>29000</v>
      </c>
      <c r="H451" s="719">
        <f t="shared" si="24"/>
        <v>18560</v>
      </c>
    </row>
    <row r="452" spans="3:8">
      <c r="C452" s="651" t="s">
        <v>639</v>
      </c>
      <c r="D452" s="634" t="s">
        <v>149</v>
      </c>
      <c r="E452" s="636">
        <v>741777</v>
      </c>
      <c r="F452" s="636"/>
      <c r="G452" s="631">
        <v>29000</v>
      </c>
      <c r="H452" s="719">
        <f t="shared" si="24"/>
        <v>18560</v>
      </c>
    </row>
    <row r="453" spans="3:8">
      <c r="C453" s="158"/>
      <c r="D453" s="634" t="s">
        <v>151</v>
      </c>
      <c r="E453" s="636">
        <v>741778</v>
      </c>
      <c r="F453" s="636"/>
      <c r="G453" s="631">
        <v>29000</v>
      </c>
      <c r="H453" s="719">
        <f t="shared" si="24"/>
        <v>18560</v>
      </c>
    </row>
    <row r="454" spans="3:8">
      <c r="C454" s="158"/>
      <c r="D454" s="634" t="s">
        <v>474</v>
      </c>
      <c r="E454" s="636">
        <v>741779</v>
      </c>
      <c r="F454" s="636"/>
      <c r="G454" s="631">
        <v>29000</v>
      </c>
      <c r="H454" s="719">
        <f t="shared" si="24"/>
        <v>18560</v>
      </c>
    </row>
    <row r="455" spans="3:8" ht="16.5">
      <c r="C455" s="163"/>
      <c r="D455" s="164"/>
      <c r="E455" s="165"/>
      <c r="F455" s="165"/>
      <c r="G455" s="166" t="s">
        <v>805</v>
      </c>
      <c r="H455" s="719"/>
    </row>
    <row r="456" spans="3:8">
      <c r="C456" s="633" t="s">
        <v>640</v>
      </c>
      <c r="D456" s="634" t="s">
        <v>103</v>
      </c>
      <c r="E456" s="636">
        <v>741782</v>
      </c>
      <c r="F456" s="636"/>
      <c r="G456" s="631">
        <v>25000</v>
      </c>
      <c r="H456" s="719">
        <f t="shared" si="24"/>
        <v>16000</v>
      </c>
    </row>
    <row r="457" spans="3:8">
      <c r="C457" s="651" t="s">
        <v>845</v>
      </c>
      <c r="D457" s="634" t="s">
        <v>152</v>
      </c>
      <c r="E457" s="636">
        <v>741784</v>
      </c>
      <c r="F457" s="636"/>
      <c r="G457" s="631">
        <v>27000</v>
      </c>
      <c r="H457" s="719">
        <f t="shared" si="24"/>
        <v>17280</v>
      </c>
    </row>
    <row r="458" spans="3:8">
      <c r="C458" s="637" t="s">
        <v>630</v>
      </c>
      <c r="D458" s="634" t="s">
        <v>473</v>
      </c>
      <c r="E458" s="636">
        <v>741786</v>
      </c>
      <c r="F458" s="636"/>
      <c r="G458" s="631">
        <v>27000</v>
      </c>
      <c r="H458" s="719">
        <f t="shared" si="24"/>
        <v>17280</v>
      </c>
    </row>
    <row r="459" spans="3:8">
      <c r="C459" s="651" t="s">
        <v>639</v>
      </c>
      <c r="D459" s="634" t="s">
        <v>149</v>
      </c>
      <c r="E459" s="636">
        <v>741787</v>
      </c>
      <c r="F459" s="636"/>
      <c r="G459" s="631">
        <v>27000</v>
      </c>
      <c r="H459" s="719">
        <f t="shared" si="24"/>
        <v>17280</v>
      </c>
    </row>
    <row r="460" spans="3:8">
      <c r="C460" s="158"/>
      <c r="D460" s="634" t="s">
        <v>151</v>
      </c>
      <c r="E460" s="636">
        <v>741788</v>
      </c>
      <c r="F460" s="636"/>
      <c r="G460" s="631">
        <v>27000</v>
      </c>
      <c r="H460" s="719">
        <f t="shared" si="24"/>
        <v>17280</v>
      </c>
    </row>
    <row r="461" spans="3:8">
      <c r="C461" s="158"/>
      <c r="D461" s="634" t="s">
        <v>474</v>
      </c>
      <c r="E461" s="636">
        <v>741789</v>
      </c>
      <c r="F461" s="636"/>
      <c r="G461" s="631">
        <v>27000</v>
      </c>
      <c r="H461" s="719">
        <f t="shared" si="24"/>
        <v>17280</v>
      </c>
    </row>
    <row r="462" spans="3:8" ht="16.5">
      <c r="C462" s="163"/>
      <c r="D462" s="164"/>
      <c r="E462" s="165"/>
      <c r="F462" s="165"/>
      <c r="G462" s="166" t="s">
        <v>805</v>
      </c>
      <c r="H462" s="719"/>
    </row>
    <row r="463" spans="3:8">
      <c r="C463" s="633" t="s">
        <v>641</v>
      </c>
      <c r="D463" s="634" t="s">
        <v>498</v>
      </c>
      <c r="E463" s="636">
        <v>741702</v>
      </c>
      <c r="F463" s="636"/>
      <c r="G463" s="631">
        <v>28000</v>
      </c>
      <c r="H463" s="719">
        <f t="shared" si="24"/>
        <v>17920</v>
      </c>
    </row>
    <row r="464" spans="3:8">
      <c r="C464" s="651" t="s">
        <v>845</v>
      </c>
      <c r="D464" s="634" t="s">
        <v>807</v>
      </c>
      <c r="E464" s="636">
        <v>741704</v>
      </c>
      <c r="F464" s="695"/>
      <c r="G464" s="631">
        <v>30000</v>
      </c>
      <c r="H464" s="719">
        <f t="shared" si="24"/>
        <v>19200</v>
      </c>
    </row>
    <row r="465" spans="3:8">
      <c r="C465" s="637" t="s">
        <v>628</v>
      </c>
      <c r="D465" s="634" t="s">
        <v>501</v>
      </c>
      <c r="E465" s="636">
        <v>741706</v>
      </c>
      <c r="F465" s="695"/>
      <c r="G465" s="631">
        <v>30000</v>
      </c>
      <c r="H465" s="719">
        <f t="shared" si="24"/>
        <v>19200</v>
      </c>
    </row>
    <row r="466" spans="3:8">
      <c r="C466" s="651" t="s">
        <v>639</v>
      </c>
      <c r="D466" s="634" t="s">
        <v>538</v>
      </c>
      <c r="E466" s="636">
        <v>741707</v>
      </c>
      <c r="F466" s="695"/>
      <c r="G466" s="631">
        <v>30000</v>
      </c>
      <c r="H466" s="719">
        <f t="shared" si="24"/>
        <v>19200</v>
      </c>
    </row>
    <row r="467" spans="3:8">
      <c r="C467" s="158"/>
      <c r="D467" s="634" t="s">
        <v>512</v>
      </c>
      <c r="E467" s="636">
        <v>741708</v>
      </c>
      <c r="F467" s="695"/>
      <c r="G467" s="631">
        <v>30000</v>
      </c>
      <c r="H467" s="719">
        <f t="shared" si="24"/>
        <v>19200</v>
      </c>
    </row>
    <row r="468" spans="3:8">
      <c r="C468" s="158"/>
      <c r="D468" s="634" t="s">
        <v>474</v>
      </c>
      <c r="E468" s="636">
        <v>741709</v>
      </c>
      <c r="F468" s="695"/>
      <c r="G468" s="631">
        <v>30000</v>
      </c>
      <c r="H468" s="719">
        <f t="shared" si="24"/>
        <v>19200</v>
      </c>
    </row>
    <row r="469" spans="3:8" ht="16.5">
      <c r="C469" s="163"/>
      <c r="D469" s="164"/>
      <c r="E469" s="165"/>
      <c r="F469" s="165"/>
      <c r="G469" s="166" t="s">
        <v>805</v>
      </c>
      <c r="H469" s="719"/>
    </row>
    <row r="470" spans="3:8">
      <c r="C470" s="633" t="s">
        <v>642</v>
      </c>
      <c r="D470" s="634" t="s">
        <v>498</v>
      </c>
      <c r="E470" s="636">
        <v>741712</v>
      </c>
      <c r="F470" s="695"/>
      <c r="G470" s="631">
        <v>26000</v>
      </c>
      <c r="H470" s="719">
        <f t="shared" si="24"/>
        <v>16640</v>
      </c>
    </row>
    <row r="471" spans="3:8">
      <c r="C471" s="651" t="s">
        <v>845</v>
      </c>
      <c r="D471" s="634" t="s">
        <v>807</v>
      </c>
      <c r="E471" s="636">
        <v>741714</v>
      </c>
      <c r="F471" s="695"/>
      <c r="G471" s="631">
        <v>28000</v>
      </c>
      <c r="H471" s="719">
        <f t="shared" si="24"/>
        <v>17920</v>
      </c>
    </row>
    <row r="472" spans="3:8">
      <c r="C472" s="637" t="s">
        <v>630</v>
      </c>
      <c r="D472" s="634" t="s">
        <v>501</v>
      </c>
      <c r="E472" s="636">
        <v>741716</v>
      </c>
      <c r="F472" s="695"/>
      <c r="G472" s="631">
        <v>28000</v>
      </c>
      <c r="H472" s="719">
        <f t="shared" si="24"/>
        <v>17920</v>
      </c>
    </row>
    <row r="473" spans="3:8">
      <c r="C473" s="651" t="s">
        <v>639</v>
      </c>
      <c r="D473" s="634" t="s">
        <v>538</v>
      </c>
      <c r="E473" s="636">
        <v>741717</v>
      </c>
      <c r="F473" s="695"/>
      <c r="G473" s="631">
        <v>28000</v>
      </c>
      <c r="H473" s="719">
        <f t="shared" si="24"/>
        <v>17920</v>
      </c>
    </row>
    <row r="474" spans="3:8">
      <c r="C474" s="158"/>
      <c r="D474" s="634" t="s">
        <v>512</v>
      </c>
      <c r="E474" s="636">
        <v>741718</v>
      </c>
      <c r="F474" s="695"/>
      <c r="G474" s="631">
        <v>28000</v>
      </c>
      <c r="H474" s="719">
        <f t="shared" si="24"/>
        <v>17920</v>
      </c>
    </row>
    <row r="475" spans="3:8">
      <c r="C475" s="158"/>
      <c r="D475" s="634" t="s">
        <v>474</v>
      </c>
      <c r="E475" s="636">
        <v>741719</v>
      </c>
      <c r="F475" s="695"/>
      <c r="G475" s="631">
        <v>28000</v>
      </c>
      <c r="H475" s="719">
        <f t="shared" si="24"/>
        <v>17920</v>
      </c>
    </row>
    <row r="476" spans="3:8" ht="16.5">
      <c r="C476" s="163"/>
      <c r="D476" s="164"/>
      <c r="E476" s="165"/>
      <c r="F476" s="165"/>
      <c r="G476" s="166" t="s">
        <v>805</v>
      </c>
      <c r="H476" s="719"/>
    </row>
    <row r="477" spans="3:8">
      <c r="C477" s="633" t="s">
        <v>643</v>
      </c>
      <c r="D477" s="634" t="s">
        <v>470</v>
      </c>
      <c r="E477" s="636">
        <v>741752</v>
      </c>
      <c r="F477" s="636"/>
      <c r="G477" s="631">
        <v>29000</v>
      </c>
      <c r="H477" s="719">
        <f t="shared" si="24"/>
        <v>18560</v>
      </c>
    </row>
    <row r="478" spans="3:8">
      <c r="C478" s="651" t="s">
        <v>845</v>
      </c>
      <c r="D478" s="634" t="s">
        <v>543</v>
      </c>
      <c r="E478" s="636">
        <v>741754</v>
      </c>
      <c r="F478" s="636"/>
      <c r="G478" s="631">
        <v>31000</v>
      </c>
      <c r="H478" s="719">
        <f t="shared" si="24"/>
        <v>19840</v>
      </c>
    </row>
    <row r="479" spans="3:8">
      <c r="C479" s="637" t="s">
        <v>628</v>
      </c>
      <c r="D479" s="634" t="s">
        <v>501</v>
      </c>
      <c r="E479" s="636">
        <v>741756</v>
      </c>
      <c r="F479" s="636"/>
      <c r="G479" s="631">
        <v>31000</v>
      </c>
      <c r="H479" s="719">
        <f t="shared" si="24"/>
        <v>19840</v>
      </c>
    </row>
    <row r="480" spans="3:8">
      <c r="C480" s="158"/>
      <c r="D480" s="634" t="s">
        <v>808</v>
      </c>
      <c r="E480" s="636">
        <v>741757</v>
      </c>
      <c r="F480" s="636"/>
      <c r="G480" s="631">
        <v>31000</v>
      </c>
      <c r="H480" s="719">
        <f t="shared" si="24"/>
        <v>19840</v>
      </c>
    </row>
    <row r="481" spans="3:8">
      <c r="C481" s="158"/>
      <c r="D481" s="634" t="s">
        <v>151</v>
      </c>
      <c r="E481" s="636">
        <v>741758</v>
      </c>
      <c r="F481" s="636"/>
      <c r="G481" s="631">
        <v>31000</v>
      </c>
      <c r="H481" s="719">
        <f t="shared" si="24"/>
        <v>19840</v>
      </c>
    </row>
    <row r="482" spans="3:8">
      <c r="C482" s="158"/>
      <c r="D482" s="634" t="s">
        <v>474</v>
      </c>
      <c r="E482" s="636">
        <v>741759</v>
      </c>
      <c r="F482" s="636"/>
      <c r="G482" s="631">
        <v>31000</v>
      </c>
      <c r="H482" s="719">
        <f t="shared" si="24"/>
        <v>19840</v>
      </c>
    </row>
    <row r="483" spans="3:8" ht="16.5">
      <c r="C483" s="163"/>
      <c r="D483" s="164"/>
      <c r="E483" s="165"/>
      <c r="F483" s="165"/>
      <c r="G483" s="166" t="s">
        <v>805</v>
      </c>
      <c r="H483" s="719"/>
    </row>
    <row r="484" spans="3:8">
      <c r="C484" s="633" t="s">
        <v>644</v>
      </c>
      <c r="D484" s="634" t="s">
        <v>470</v>
      </c>
      <c r="E484" s="636">
        <v>741762</v>
      </c>
      <c r="F484" s="636"/>
      <c r="G484" s="631">
        <v>27000</v>
      </c>
      <c r="H484" s="719">
        <f t="shared" si="24"/>
        <v>17280</v>
      </c>
    </row>
    <row r="485" spans="3:8">
      <c r="C485" s="651" t="s">
        <v>845</v>
      </c>
      <c r="D485" s="634" t="s">
        <v>543</v>
      </c>
      <c r="E485" s="636">
        <v>741764</v>
      </c>
      <c r="F485" s="636"/>
      <c r="G485" s="631">
        <v>29000</v>
      </c>
      <c r="H485" s="719">
        <f t="shared" si="24"/>
        <v>18560</v>
      </c>
    </row>
    <row r="486" spans="3:8">
      <c r="C486" s="637" t="s">
        <v>630</v>
      </c>
      <c r="D486" s="634" t="s">
        <v>501</v>
      </c>
      <c r="E486" s="636">
        <v>741766</v>
      </c>
      <c r="F486" s="636"/>
      <c r="G486" s="631">
        <v>29000</v>
      </c>
      <c r="H486" s="719">
        <f t="shared" si="24"/>
        <v>18560</v>
      </c>
    </row>
    <row r="487" spans="3:8">
      <c r="C487" s="651" t="s">
        <v>639</v>
      </c>
      <c r="D487" s="634" t="s">
        <v>808</v>
      </c>
      <c r="E487" s="636">
        <v>741767</v>
      </c>
      <c r="F487" s="636"/>
      <c r="G487" s="631">
        <v>29000</v>
      </c>
      <c r="H487" s="719">
        <f t="shared" si="24"/>
        <v>18560</v>
      </c>
    </row>
    <row r="488" spans="3:8">
      <c r="C488" s="158"/>
      <c r="D488" s="634" t="s">
        <v>151</v>
      </c>
      <c r="E488" s="636">
        <v>741768</v>
      </c>
      <c r="F488" s="636"/>
      <c r="G488" s="631">
        <v>29000</v>
      </c>
      <c r="H488" s="719">
        <f t="shared" si="24"/>
        <v>18560</v>
      </c>
    </row>
    <row r="489" spans="3:8">
      <c r="C489" s="158"/>
      <c r="D489" s="634" t="s">
        <v>474</v>
      </c>
      <c r="E489" s="636">
        <v>741769</v>
      </c>
      <c r="F489" s="636"/>
      <c r="G489" s="631">
        <v>29000</v>
      </c>
      <c r="H489" s="719">
        <f t="shared" si="24"/>
        <v>18560</v>
      </c>
    </row>
    <row r="490" spans="3:8" ht="16.5">
      <c r="C490" s="163"/>
      <c r="D490" s="164"/>
      <c r="E490" s="165"/>
      <c r="F490" s="165"/>
      <c r="G490" s="166"/>
      <c r="H490" s="660"/>
    </row>
    <row r="491" spans="3:8" ht="16.5">
      <c r="C491" s="1761" t="s">
        <v>645</v>
      </c>
      <c r="D491" s="1186"/>
      <c r="E491" s="1186"/>
      <c r="F491" s="1186"/>
      <c r="G491" s="1186" t="s">
        <v>499</v>
      </c>
      <c r="H491" s="1749"/>
    </row>
    <row r="492" spans="3:8" ht="16.5">
      <c r="C492" s="163"/>
      <c r="D492" s="164"/>
      <c r="E492" s="165"/>
      <c r="F492" s="165"/>
      <c r="G492" s="166"/>
      <c r="H492" s="660"/>
    </row>
    <row r="493" spans="3:8">
      <c r="C493" s="633" t="s">
        <v>646</v>
      </c>
      <c r="D493" s="634" t="s">
        <v>103</v>
      </c>
      <c r="E493" s="636">
        <v>74222</v>
      </c>
      <c r="F493" s="636"/>
      <c r="G493" s="631">
        <v>2800</v>
      </c>
      <c r="H493" s="719">
        <f t="shared" ref="H493:H498" si="25">G493-(G493*$H$9)</f>
        <v>1792</v>
      </c>
    </row>
    <row r="494" spans="3:8">
      <c r="C494" s="637" t="s">
        <v>647</v>
      </c>
      <c r="D494" s="634" t="s">
        <v>807</v>
      </c>
      <c r="E494" s="636">
        <v>74224</v>
      </c>
      <c r="F494" s="636"/>
      <c r="G494" s="631">
        <v>2800</v>
      </c>
      <c r="H494" s="719">
        <f t="shared" si="25"/>
        <v>1792</v>
      </c>
    </row>
    <row r="495" spans="3:8">
      <c r="C495" s="637" t="s">
        <v>648</v>
      </c>
      <c r="D495" s="634" t="s">
        <v>812</v>
      </c>
      <c r="E495" s="636">
        <v>74226</v>
      </c>
      <c r="F495" s="636"/>
      <c r="G495" s="631">
        <v>2800</v>
      </c>
      <c r="H495" s="719">
        <f t="shared" si="25"/>
        <v>1792</v>
      </c>
    </row>
    <row r="496" spans="3:8">
      <c r="C496" s="651" t="s">
        <v>649</v>
      </c>
      <c r="D496" s="634" t="s">
        <v>808</v>
      </c>
      <c r="E496" s="636">
        <v>74227</v>
      </c>
      <c r="F496" s="636" t="s">
        <v>499</v>
      </c>
      <c r="G496" s="631">
        <v>2800</v>
      </c>
      <c r="H496" s="719">
        <f t="shared" si="25"/>
        <v>1792</v>
      </c>
    </row>
    <row r="497" spans="3:8">
      <c r="C497" s="637"/>
      <c r="D497" s="634" t="s">
        <v>809</v>
      </c>
      <c r="E497" s="636">
        <v>74228</v>
      </c>
      <c r="F497" s="636" t="s">
        <v>499</v>
      </c>
      <c r="G497" s="631">
        <v>2800</v>
      </c>
      <c r="H497" s="719">
        <f t="shared" si="25"/>
        <v>1792</v>
      </c>
    </row>
    <row r="498" spans="3:8">
      <c r="C498" s="637"/>
      <c r="D498" s="634" t="s">
        <v>474</v>
      </c>
      <c r="E498" s="636">
        <v>74229</v>
      </c>
      <c r="F498" s="636" t="s">
        <v>499</v>
      </c>
      <c r="G498" s="631">
        <v>2800</v>
      </c>
      <c r="H498" s="719">
        <f t="shared" si="25"/>
        <v>1792</v>
      </c>
    </row>
    <row r="499" spans="3:8" ht="16.5">
      <c r="C499" s="163"/>
      <c r="D499" s="164"/>
      <c r="E499" s="165"/>
      <c r="F499" s="165"/>
      <c r="G499" s="166"/>
      <c r="H499" s="660"/>
    </row>
    <row r="500" spans="3:8" ht="16.5">
      <c r="C500" s="1761" t="s">
        <v>650</v>
      </c>
      <c r="D500" s="1186"/>
      <c r="E500" s="1186"/>
      <c r="F500" s="1186"/>
      <c r="G500" s="1186" t="s">
        <v>499</v>
      </c>
      <c r="H500" s="1749"/>
    </row>
    <row r="501" spans="3:8" ht="16.5">
      <c r="C501" s="163"/>
      <c r="D501" s="164"/>
      <c r="E501" s="165"/>
      <c r="F501" s="165"/>
      <c r="G501" s="166"/>
      <c r="H501" s="660"/>
    </row>
    <row r="502" spans="3:8">
      <c r="C502" s="697" t="s">
        <v>651</v>
      </c>
      <c r="D502" s="634" t="s">
        <v>498</v>
      </c>
      <c r="E502" s="636">
        <v>741802</v>
      </c>
      <c r="F502" s="636"/>
      <c r="G502" s="631">
        <v>3050</v>
      </c>
      <c r="H502" s="719">
        <f>G502-(G502*$H$9)</f>
        <v>1952</v>
      </c>
    </row>
    <row r="503" spans="3:8">
      <c r="C503" s="651" t="s">
        <v>846</v>
      </c>
      <c r="D503" s="634" t="s">
        <v>543</v>
      </c>
      <c r="E503" s="636">
        <v>741804</v>
      </c>
      <c r="F503" s="636"/>
      <c r="G503" s="631">
        <v>3050</v>
      </c>
      <c r="H503" s="719">
        <f t="shared" ref="H503:H528" si="26">G503-(G503*$H$9)</f>
        <v>1952</v>
      </c>
    </row>
    <row r="504" spans="3:8">
      <c r="C504" s="651" t="s">
        <v>652</v>
      </c>
      <c r="D504" s="634" t="s">
        <v>501</v>
      </c>
      <c r="E504" s="636">
        <v>741806</v>
      </c>
      <c r="F504" s="636"/>
      <c r="G504" s="631">
        <v>3050</v>
      </c>
      <c r="H504" s="719">
        <f t="shared" si="26"/>
        <v>1952</v>
      </c>
    </row>
    <row r="505" spans="3:8">
      <c r="C505" s="651" t="s">
        <v>653</v>
      </c>
      <c r="D505" s="634" t="s">
        <v>538</v>
      </c>
      <c r="E505" s="636">
        <v>741807</v>
      </c>
      <c r="F505" s="636"/>
      <c r="G505" s="631">
        <v>3050</v>
      </c>
      <c r="H505" s="719">
        <f t="shared" si="26"/>
        <v>1952</v>
      </c>
    </row>
    <row r="506" spans="3:8">
      <c r="C506" s="158"/>
      <c r="D506" s="634" t="s">
        <v>512</v>
      </c>
      <c r="E506" s="636">
        <v>741808</v>
      </c>
      <c r="F506" s="636"/>
      <c r="G506" s="631">
        <v>3050</v>
      </c>
      <c r="H506" s="719">
        <f t="shared" si="26"/>
        <v>1952</v>
      </c>
    </row>
    <row r="507" spans="3:8">
      <c r="C507" s="651"/>
      <c r="D507" s="634" t="s">
        <v>539</v>
      </c>
      <c r="E507" s="636">
        <v>741809</v>
      </c>
      <c r="F507" s="636"/>
      <c r="G507" s="631">
        <v>3050</v>
      </c>
      <c r="H507" s="719">
        <f t="shared" si="26"/>
        <v>1952</v>
      </c>
    </row>
    <row r="508" spans="3:8" ht="16.5">
      <c r="C508" s="163"/>
      <c r="D508" s="164"/>
      <c r="E508" s="165"/>
      <c r="F508" s="165"/>
      <c r="G508" s="166" t="s">
        <v>805</v>
      </c>
      <c r="H508" s="719"/>
    </row>
    <row r="509" spans="3:8">
      <c r="C509" s="697" t="s">
        <v>654</v>
      </c>
      <c r="D509" s="634" t="s">
        <v>498</v>
      </c>
      <c r="E509" s="636">
        <v>741822</v>
      </c>
      <c r="F509" s="636"/>
      <c r="G509" s="631">
        <v>3500</v>
      </c>
      <c r="H509" s="719">
        <f t="shared" si="26"/>
        <v>2240</v>
      </c>
    </row>
    <row r="510" spans="3:8">
      <c r="C510" s="651" t="s">
        <v>846</v>
      </c>
      <c r="D510" s="634" t="s">
        <v>543</v>
      </c>
      <c r="E510" s="636">
        <v>741824</v>
      </c>
      <c r="F510" s="636"/>
      <c r="G510" s="631">
        <v>3500</v>
      </c>
      <c r="H510" s="719">
        <f t="shared" si="26"/>
        <v>2240</v>
      </c>
    </row>
    <row r="511" spans="3:8">
      <c r="C511" s="651" t="s">
        <v>652</v>
      </c>
      <c r="D511" s="634" t="s">
        <v>501</v>
      </c>
      <c r="E511" s="636">
        <v>741826</v>
      </c>
      <c r="F511" s="636"/>
      <c r="G511" s="631">
        <v>3500</v>
      </c>
      <c r="H511" s="719">
        <f t="shared" si="26"/>
        <v>2240</v>
      </c>
    </row>
    <row r="512" spans="3:8">
      <c r="C512" s="651" t="s">
        <v>653</v>
      </c>
      <c r="D512" s="634" t="s">
        <v>538</v>
      </c>
      <c r="E512" s="636">
        <v>741827</v>
      </c>
      <c r="F512" s="636"/>
      <c r="G512" s="631">
        <v>3500</v>
      </c>
      <c r="H512" s="719">
        <f t="shared" si="26"/>
        <v>2240</v>
      </c>
    </row>
    <row r="513" spans="3:8">
      <c r="C513" s="651"/>
      <c r="D513" s="634" t="s">
        <v>512</v>
      </c>
      <c r="E513" s="636">
        <v>741828</v>
      </c>
      <c r="F513" s="636"/>
      <c r="G513" s="631">
        <v>3500</v>
      </c>
      <c r="H513" s="719">
        <f t="shared" si="26"/>
        <v>2240</v>
      </c>
    </row>
    <row r="514" spans="3:8">
      <c r="C514" s="651"/>
      <c r="D514" s="634" t="s">
        <v>539</v>
      </c>
      <c r="E514" s="636">
        <v>741829</v>
      </c>
      <c r="F514" s="636"/>
      <c r="G514" s="631">
        <v>3500</v>
      </c>
      <c r="H514" s="719">
        <f t="shared" si="26"/>
        <v>2240</v>
      </c>
    </row>
    <row r="515" spans="3:8" ht="16.5">
      <c r="C515" s="163"/>
      <c r="D515" s="164"/>
      <c r="E515" s="165"/>
      <c r="F515" s="165"/>
      <c r="G515" s="166" t="s">
        <v>805</v>
      </c>
      <c r="H515" s="719"/>
    </row>
    <row r="516" spans="3:8">
      <c r="C516" s="697" t="s">
        <v>655</v>
      </c>
      <c r="D516" s="634" t="s">
        <v>498</v>
      </c>
      <c r="E516" s="636">
        <v>741842</v>
      </c>
      <c r="F516" s="698"/>
      <c r="G516" s="631">
        <v>5400</v>
      </c>
      <c r="H516" s="719">
        <f t="shared" si="26"/>
        <v>3456</v>
      </c>
    </row>
    <row r="517" spans="3:8">
      <c r="C517" s="651" t="s">
        <v>846</v>
      </c>
      <c r="D517" s="634" t="s">
        <v>543</v>
      </c>
      <c r="E517" s="636">
        <v>741844</v>
      </c>
      <c r="F517" s="698"/>
      <c r="G517" s="631">
        <v>5400</v>
      </c>
      <c r="H517" s="719">
        <f t="shared" si="26"/>
        <v>3456</v>
      </c>
    </row>
    <row r="518" spans="3:8">
      <c r="C518" s="651" t="s">
        <v>652</v>
      </c>
      <c r="D518" s="634" t="s">
        <v>501</v>
      </c>
      <c r="E518" s="636">
        <v>741846</v>
      </c>
      <c r="F518" s="698"/>
      <c r="G518" s="631">
        <v>5400</v>
      </c>
      <c r="H518" s="719">
        <f t="shared" si="26"/>
        <v>3456</v>
      </c>
    </row>
    <row r="519" spans="3:8">
      <c r="C519" s="651" t="s">
        <v>653</v>
      </c>
      <c r="D519" s="634" t="s">
        <v>538</v>
      </c>
      <c r="E519" s="636">
        <v>741847</v>
      </c>
      <c r="F519" s="698"/>
      <c r="G519" s="631">
        <v>5400</v>
      </c>
      <c r="H519" s="719">
        <f t="shared" si="26"/>
        <v>3456</v>
      </c>
    </row>
    <row r="520" spans="3:8">
      <c r="C520" s="651"/>
      <c r="D520" s="634" t="s">
        <v>512</v>
      </c>
      <c r="E520" s="636">
        <v>741848</v>
      </c>
      <c r="F520" s="698"/>
      <c r="G520" s="631">
        <v>5400</v>
      </c>
      <c r="H520" s="719">
        <f t="shared" si="26"/>
        <v>3456</v>
      </c>
    </row>
    <row r="521" spans="3:8">
      <c r="C521" s="651"/>
      <c r="D521" s="634" t="s">
        <v>539</v>
      </c>
      <c r="E521" s="636">
        <v>741849</v>
      </c>
      <c r="F521" s="698"/>
      <c r="G521" s="631">
        <v>5400</v>
      </c>
      <c r="H521" s="719">
        <f t="shared" si="26"/>
        <v>3456</v>
      </c>
    </row>
    <row r="522" spans="3:8" ht="16.5">
      <c r="C522" s="163"/>
      <c r="D522" s="164"/>
      <c r="E522" s="165"/>
      <c r="F522" s="165"/>
      <c r="G522" s="166" t="s">
        <v>805</v>
      </c>
      <c r="H522" s="719"/>
    </row>
    <row r="523" spans="3:8">
      <c r="C523" s="697" t="s">
        <v>656</v>
      </c>
      <c r="D523" s="634" t="s">
        <v>498</v>
      </c>
      <c r="E523" s="636">
        <v>741862</v>
      </c>
      <c r="F523" s="636"/>
      <c r="G523" s="631">
        <v>10300</v>
      </c>
      <c r="H523" s="719">
        <f t="shared" si="26"/>
        <v>6592</v>
      </c>
    </row>
    <row r="524" spans="3:8">
      <c r="C524" s="651" t="s">
        <v>846</v>
      </c>
      <c r="D524" s="634" t="s">
        <v>543</v>
      </c>
      <c r="E524" s="636">
        <v>741864</v>
      </c>
      <c r="F524" s="636"/>
      <c r="G524" s="631">
        <v>10300</v>
      </c>
      <c r="H524" s="719">
        <f t="shared" si="26"/>
        <v>6592</v>
      </c>
    </row>
    <row r="525" spans="3:8">
      <c r="C525" s="651" t="s">
        <v>652</v>
      </c>
      <c r="D525" s="634" t="s">
        <v>501</v>
      </c>
      <c r="E525" s="636">
        <v>741866</v>
      </c>
      <c r="F525" s="636"/>
      <c r="G525" s="631">
        <v>10300</v>
      </c>
      <c r="H525" s="719">
        <f t="shared" si="26"/>
        <v>6592</v>
      </c>
    </row>
    <row r="526" spans="3:8">
      <c r="C526" s="651" t="s">
        <v>653</v>
      </c>
      <c r="D526" s="634" t="s">
        <v>538</v>
      </c>
      <c r="E526" s="636">
        <v>741867</v>
      </c>
      <c r="F526" s="636"/>
      <c r="G526" s="631">
        <v>10300</v>
      </c>
      <c r="H526" s="719">
        <f t="shared" si="26"/>
        <v>6592</v>
      </c>
    </row>
    <row r="527" spans="3:8">
      <c r="C527" s="158"/>
      <c r="D527" s="634" t="s">
        <v>512</v>
      </c>
      <c r="E527" s="636">
        <v>741868</v>
      </c>
      <c r="F527" s="636"/>
      <c r="G527" s="631">
        <v>10300</v>
      </c>
      <c r="H527" s="719">
        <f t="shared" si="26"/>
        <v>6592</v>
      </c>
    </row>
    <row r="528" spans="3:8">
      <c r="C528" s="158"/>
      <c r="D528" s="634" t="s">
        <v>539</v>
      </c>
      <c r="E528" s="636">
        <v>741869</v>
      </c>
      <c r="F528" s="636"/>
      <c r="G528" s="631">
        <v>10300</v>
      </c>
      <c r="H528" s="719">
        <f t="shared" si="26"/>
        <v>6592</v>
      </c>
    </row>
    <row r="529" spans="3:8" ht="16.5">
      <c r="C529" s="163"/>
      <c r="D529" s="164"/>
      <c r="E529" s="165"/>
      <c r="F529" s="165"/>
      <c r="G529" s="166"/>
      <c r="H529" s="660"/>
    </row>
    <row r="530" spans="3:8" ht="16.5">
      <c r="C530" s="1761" t="s">
        <v>657</v>
      </c>
      <c r="D530" s="1186"/>
      <c r="E530" s="1186"/>
      <c r="F530" s="1186"/>
      <c r="G530" s="1186"/>
      <c r="H530" s="1749"/>
    </row>
    <row r="531" spans="3:8" ht="16.5">
      <c r="C531" s="163"/>
      <c r="D531" s="164"/>
      <c r="E531" s="165"/>
      <c r="F531" s="165"/>
      <c r="G531" s="166"/>
      <c r="H531" s="660"/>
    </row>
    <row r="532" spans="3:8">
      <c r="C532" s="1785" t="s">
        <v>847</v>
      </c>
      <c r="D532" s="634" t="s">
        <v>331</v>
      </c>
      <c r="E532" s="636" t="s">
        <v>658</v>
      </c>
      <c r="F532" s="699"/>
      <c r="G532" s="650">
        <v>6000</v>
      </c>
      <c r="H532" s="719">
        <f>G532-(G532*$H$9)</f>
        <v>3840</v>
      </c>
    </row>
    <row r="533" spans="3:8">
      <c r="C533" s="1786"/>
      <c r="D533" s="634"/>
      <c r="E533" s="636"/>
      <c r="F533" s="699"/>
      <c r="G533" s="631" t="s">
        <v>805</v>
      </c>
      <c r="H533" s="719"/>
    </row>
    <row r="534" spans="3:8" ht="16.5">
      <c r="C534" s="163"/>
      <c r="D534" s="164"/>
      <c r="E534" s="165"/>
      <c r="F534" s="165"/>
      <c r="G534" s="166" t="s">
        <v>805</v>
      </c>
      <c r="H534" s="719"/>
    </row>
    <row r="535" spans="3:8">
      <c r="C535" s="700" t="s">
        <v>851</v>
      </c>
      <c r="D535" s="634" t="s">
        <v>331</v>
      </c>
      <c r="E535" s="636">
        <v>735028</v>
      </c>
      <c r="F535" s="699"/>
      <c r="G535" s="650">
        <v>6500</v>
      </c>
      <c r="H535" s="719">
        <f t="shared" ref="H535:H596" si="27">G535-(G535*$H$9)</f>
        <v>4160</v>
      </c>
    </row>
    <row r="536" spans="3:8">
      <c r="C536" s="632"/>
      <c r="D536" s="634"/>
      <c r="E536" s="636"/>
      <c r="F536" s="699"/>
      <c r="G536" s="631" t="s">
        <v>805</v>
      </c>
      <c r="H536" s="719"/>
    </row>
    <row r="537" spans="3:8">
      <c r="C537" s="628" t="s">
        <v>848</v>
      </c>
      <c r="D537" s="634" t="s">
        <v>498</v>
      </c>
      <c r="E537" s="636">
        <v>735812</v>
      </c>
      <c r="F537" s="699"/>
      <c r="G537" s="631">
        <v>17000</v>
      </c>
      <c r="H537" s="719">
        <f t="shared" si="27"/>
        <v>10880</v>
      </c>
    </row>
    <row r="538" spans="3:8">
      <c r="C538" s="659" t="s">
        <v>659</v>
      </c>
      <c r="D538" s="634" t="s">
        <v>543</v>
      </c>
      <c r="E538" s="636">
        <v>735814</v>
      </c>
      <c r="F538" s="699"/>
      <c r="G538" s="631">
        <v>17000</v>
      </c>
      <c r="H538" s="719">
        <f t="shared" si="27"/>
        <v>10880</v>
      </c>
    </row>
    <row r="539" spans="3:8">
      <c r="C539" s="659" t="s">
        <v>660</v>
      </c>
      <c r="D539" s="634" t="s">
        <v>501</v>
      </c>
      <c r="E539" s="636">
        <v>735816</v>
      </c>
      <c r="F539" s="699"/>
      <c r="G539" s="631">
        <v>17000</v>
      </c>
      <c r="H539" s="719">
        <f t="shared" si="27"/>
        <v>10880</v>
      </c>
    </row>
    <row r="540" spans="3:8">
      <c r="C540" s="628"/>
      <c r="D540" s="634" t="s">
        <v>538</v>
      </c>
      <c r="E540" s="636">
        <v>735817</v>
      </c>
      <c r="F540" s="699"/>
      <c r="G540" s="631">
        <v>17000</v>
      </c>
      <c r="H540" s="719">
        <f t="shared" si="27"/>
        <v>10880</v>
      </c>
    </row>
    <row r="541" spans="3:8">
      <c r="C541" s="628"/>
      <c r="D541" s="634" t="s">
        <v>512</v>
      </c>
      <c r="E541" s="636">
        <v>735818</v>
      </c>
      <c r="F541" s="699"/>
      <c r="G541" s="631">
        <v>17000</v>
      </c>
      <c r="H541" s="719">
        <f t="shared" si="27"/>
        <v>10880</v>
      </c>
    </row>
    <row r="542" spans="3:8">
      <c r="C542" s="689"/>
      <c r="D542" s="690" t="s">
        <v>539</v>
      </c>
      <c r="E542" s="691">
        <v>735819</v>
      </c>
      <c r="F542" s="699"/>
      <c r="G542" s="631">
        <v>17000</v>
      </c>
      <c r="H542" s="719">
        <f t="shared" si="27"/>
        <v>10880</v>
      </c>
    </row>
    <row r="543" spans="3:8" ht="16.5">
      <c r="C543" s="163"/>
      <c r="D543" s="164"/>
      <c r="E543" s="165"/>
      <c r="F543" s="165"/>
      <c r="G543" s="166"/>
      <c r="H543" s="719"/>
    </row>
    <row r="544" spans="3:8">
      <c r="C544" s="628" t="s">
        <v>661</v>
      </c>
      <c r="D544" s="634" t="s">
        <v>498</v>
      </c>
      <c r="E544" s="636">
        <v>736722</v>
      </c>
      <c r="F544" s="699"/>
      <c r="G544" s="631">
        <v>1600</v>
      </c>
      <c r="H544" s="719">
        <f t="shared" si="27"/>
        <v>1024</v>
      </c>
    </row>
    <row r="545" spans="3:8">
      <c r="C545" s="632" t="s">
        <v>662</v>
      </c>
      <c r="D545" s="634" t="s">
        <v>543</v>
      </c>
      <c r="E545" s="636">
        <v>736724</v>
      </c>
      <c r="F545" s="699"/>
      <c r="G545" s="631">
        <v>1600</v>
      </c>
      <c r="H545" s="719">
        <f t="shared" si="27"/>
        <v>1024</v>
      </c>
    </row>
    <row r="546" spans="3:8">
      <c r="C546" s="632"/>
      <c r="D546" s="634" t="s">
        <v>501</v>
      </c>
      <c r="E546" s="636">
        <v>736726</v>
      </c>
      <c r="F546" s="699"/>
      <c r="G546" s="631">
        <v>1600</v>
      </c>
      <c r="H546" s="719">
        <f t="shared" si="27"/>
        <v>1024</v>
      </c>
    </row>
    <row r="547" spans="3:8">
      <c r="C547" s="632"/>
      <c r="D547" s="634" t="s">
        <v>538</v>
      </c>
      <c r="E547" s="636">
        <v>736727</v>
      </c>
      <c r="F547" s="699"/>
      <c r="G547" s="631">
        <v>1600</v>
      </c>
      <c r="H547" s="719">
        <f t="shared" si="27"/>
        <v>1024</v>
      </c>
    </row>
    <row r="548" spans="3:8">
      <c r="C548" s="632"/>
      <c r="D548" s="634" t="s">
        <v>512</v>
      </c>
      <c r="E548" s="636">
        <v>736728</v>
      </c>
      <c r="F548" s="699"/>
      <c r="G548" s="631">
        <v>1600</v>
      </c>
      <c r="H548" s="719">
        <f t="shared" si="27"/>
        <v>1024</v>
      </c>
    </row>
    <row r="549" spans="3:8">
      <c r="C549" s="632"/>
      <c r="D549" s="634" t="s">
        <v>539</v>
      </c>
      <c r="E549" s="636">
        <v>736729</v>
      </c>
      <c r="F549" s="699"/>
      <c r="G549" s="631">
        <v>1600</v>
      </c>
      <c r="H549" s="719">
        <f t="shared" si="27"/>
        <v>1024</v>
      </c>
    </row>
    <row r="550" spans="3:8" ht="16.5">
      <c r="C550" s="163"/>
      <c r="D550" s="164"/>
      <c r="E550" s="165"/>
      <c r="F550" s="165"/>
      <c r="G550" s="166"/>
      <c r="H550" s="719"/>
    </row>
    <row r="551" spans="3:8">
      <c r="C551" s="628" t="s">
        <v>849</v>
      </c>
      <c r="D551" s="634" t="s">
        <v>498</v>
      </c>
      <c r="E551" s="636">
        <v>73582</v>
      </c>
      <c r="F551" s="699"/>
      <c r="G551" s="631">
        <v>19000</v>
      </c>
      <c r="H551" s="719">
        <f t="shared" si="27"/>
        <v>12160</v>
      </c>
    </row>
    <row r="552" spans="3:8">
      <c r="C552" s="632" t="s">
        <v>663</v>
      </c>
      <c r="D552" s="634" t="s">
        <v>543</v>
      </c>
      <c r="E552" s="636">
        <v>73584</v>
      </c>
      <c r="F552" s="699"/>
      <c r="G552" s="631">
        <v>19000</v>
      </c>
      <c r="H552" s="719">
        <f t="shared" si="27"/>
        <v>12160</v>
      </c>
    </row>
    <row r="553" spans="3:8">
      <c r="C553" s="659" t="s">
        <v>660</v>
      </c>
      <c r="D553" s="634" t="s">
        <v>501</v>
      </c>
      <c r="E553" s="636">
        <v>73586</v>
      </c>
      <c r="F553" s="699"/>
      <c r="G553" s="631">
        <v>19000</v>
      </c>
      <c r="H553" s="719">
        <f t="shared" si="27"/>
        <v>12160</v>
      </c>
    </row>
    <row r="554" spans="3:8">
      <c r="C554" s="628"/>
      <c r="D554" s="634" t="s">
        <v>538</v>
      </c>
      <c r="E554" s="636">
        <v>73587</v>
      </c>
      <c r="F554" s="699"/>
      <c r="G554" s="631">
        <v>19000</v>
      </c>
      <c r="H554" s="719">
        <f t="shared" si="27"/>
        <v>12160</v>
      </c>
    </row>
    <row r="555" spans="3:8">
      <c r="C555" s="628"/>
      <c r="D555" s="634" t="s">
        <v>512</v>
      </c>
      <c r="E555" s="636">
        <v>73588</v>
      </c>
      <c r="F555" s="699"/>
      <c r="G555" s="631">
        <v>19000</v>
      </c>
      <c r="H555" s="719">
        <f t="shared" si="27"/>
        <v>12160</v>
      </c>
    </row>
    <row r="556" spans="3:8">
      <c r="C556" s="628"/>
      <c r="D556" s="634" t="s">
        <v>539</v>
      </c>
      <c r="E556" s="636">
        <v>73589</v>
      </c>
      <c r="F556" s="699"/>
      <c r="G556" s="631">
        <v>19000</v>
      </c>
      <c r="H556" s="719">
        <f t="shared" si="27"/>
        <v>12160</v>
      </c>
    </row>
    <row r="557" spans="3:8" ht="16.5">
      <c r="C557" s="163"/>
      <c r="D557" s="164"/>
      <c r="E557" s="165"/>
      <c r="F557" s="165"/>
      <c r="G557" s="166" t="s">
        <v>805</v>
      </c>
      <c r="H557" s="719"/>
    </row>
    <row r="558" spans="3:8">
      <c r="C558" s="700" t="s">
        <v>850</v>
      </c>
      <c r="D558" s="634" t="s">
        <v>498</v>
      </c>
      <c r="E558" s="636">
        <v>737312</v>
      </c>
      <c r="F558" s="699"/>
      <c r="G558" s="631">
        <v>31000</v>
      </c>
      <c r="H558" s="719">
        <f t="shared" si="27"/>
        <v>19840</v>
      </c>
    </row>
    <row r="559" spans="3:8" ht="15" customHeight="1">
      <c r="C559" s="701" t="s">
        <v>664</v>
      </c>
      <c r="D559" s="634" t="s">
        <v>543</v>
      </c>
      <c r="E559" s="636">
        <v>737314</v>
      </c>
      <c r="F559" s="699"/>
      <c r="G559" s="631">
        <v>31000</v>
      </c>
      <c r="H559" s="719">
        <f t="shared" si="27"/>
        <v>19840</v>
      </c>
    </row>
    <row r="560" spans="3:8">
      <c r="C560" s="659" t="s">
        <v>660</v>
      </c>
      <c r="D560" s="634" t="s">
        <v>501</v>
      </c>
      <c r="E560" s="636">
        <v>737316</v>
      </c>
      <c r="F560" s="699"/>
      <c r="G560" s="631">
        <v>31000</v>
      </c>
      <c r="H560" s="719">
        <f t="shared" si="27"/>
        <v>19840</v>
      </c>
    </row>
    <row r="561" spans="3:8">
      <c r="C561" s="659"/>
      <c r="D561" s="634" t="s">
        <v>538</v>
      </c>
      <c r="E561" s="636">
        <v>737317</v>
      </c>
      <c r="F561" s="699"/>
      <c r="G561" s="631">
        <v>31000</v>
      </c>
      <c r="H561" s="719">
        <f t="shared" si="27"/>
        <v>19840</v>
      </c>
    </row>
    <row r="562" spans="3:8" ht="15" customHeight="1">
      <c r="C562" s="660"/>
      <c r="D562" s="634" t="s">
        <v>512</v>
      </c>
      <c r="E562" s="636">
        <v>737318</v>
      </c>
      <c r="F562" s="699"/>
      <c r="G562" s="631">
        <v>31000</v>
      </c>
      <c r="H562" s="719">
        <f t="shared" si="27"/>
        <v>19840</v>
      </c>
    </row>
    <row r="563" spans="3:8">
      <c r="C563" s="660"/>
      <c r="D563" s="634" t="s">
        <v>539</v>
      </c>
      <c r="E563" s="636">
        <v>737319</v>
      </c>
      <c r="F563" s="699"/>
      <c r="G563" s="631">
        <v>31000</v>
      </c>
      <c r="H563" s="719">
        <f t="shared" si="27"/>
        <v>19840</v>
      </c>
    </row>
    <row r="564" spans="3:8">
      <c r="C564" s="660"/>
      <c r="D564" s="634" t="s">
        <v>502</v>
      </c>
      <c r="E564" s="636">
        <v>737311</v>
      </c>
      <c r="F564" s="699"/>
      <c r="G564" s="631">
        <v>31000</v>
      </c>
      <c r="H564" s="719">
        <f t="shared" si="27"/>
        <v>19840</v>
      </c>
    </row>
    <row r="565" spans="3:8" ht="16.5">
      <c r="C565" s="163"/>
      <c r="D565" s="164"/>
      <c r="E565" s="165"/>
      <c r="F565" s="165"/>
      <c r="G565" s="166" t="s">
        <v>805</v>
      </c>
      <c r="H565" s="719"/>
    </row>
    <row r="566" spans="3:8">
      <c r="C566" s="628" t="s">
        <v>665</v>
      </c>
      <c r="D566" s="634" t="s">
        <v>498</v>
      </c>
      <c r="E566" s="636">
        <v>736862</v>
      </c>
      <c r="F566" s="699"/>
      <c r="G566" s="631">
        <v>1800</v>
      </c>
      <c r="H566" s="719">
        <f t="shared" si="27"/>
        <v>1152</v>
      </c>
    </row>
    <row r="567" spans="3:8">
      <c r="C567" s="632" t="s">
        <v>666</v>
      </c>
      <c r="D567" s="634" t="s">
        <v>543</v>
      </c>
      <c r="E567" s="636">
        <v>736864</v>
      </c>
      <c r="F567" s="699"/>
      <c r="G567" s="631">
        <v>1800</v>
      </c>
      <c r="H567" s="719">
        <f t="shared" si="27"/>
        <v>1152</v>
      </c>
    </row>
    <row r="568" spans="3:8">
      <c r="C568" s="632"/>
      <c r="D568" s="634" t="s">
        <v>501</v>
      </c>
      <c r="E568" s="636">
        <v>736866</v>
      </c>
      <c r="F568" s="699"/>
      <c r="G568" s="631">
        <v>1800</v>
      </c>
      <c r="H568" s="719">
        <f t="shared" si="27"/>
        <v>1152</v>
      </c>
    </row>
    <row r="569" spans="3:8">
      <c r="C569" s="632"/>
      <c r="D569" s="634" t="s">
        <v>538</v>
      </c>
      <c r="E569" s="636">
        <v>736867</v>
      </c>
      <c r="F569" s="699"/>
      <c r="G569" s="631">
        <v>1800</v>
      </c>
      <c r="H569" s="719">
        <f t="shared" si="27"/>
        <v>1152</v>
      </c>
    </row>
    <row r="570" spans="3:8">
      <c r="C570" s="632"/>
      <c r="D570" s="634" t="s">
        <v>512</v>
      </c>
      <c r="E570" s="636">
        <v>736868</v>
      </c>
      <c r="F570" s="699"/>
      <c r="G570" s="631">
        <v>1800</v>
      </c>
      <c r="H570" s="719">
        <f t="shared" si="27"/>
        <v>1152</v>
      </c>
    </row>
    <row r="571" spans="3:8">
      <c r="C571" s="684"/>
      <c r="D571" s="634" t="s">
        <v>539</v>
      </c>
      <c r="E571" s="636">
        <v>736869</v>
      </c>
      <c r="F571" s="699"/>
      <c r="G571" s="631">
        <v>1800</v>
      </c>
      <c r="H571" s="719">
        <f t="shared" si="27"/>
        <v>1152</v>
      </c>
    </row>
    <row r="572" spans="3:8" ht="16.5">
      <c r="C572" s="163"/>
      <c r="D572" s="164"/>
      <c r="E572" s="165"/>
      <c r="F572" s="165"/>
      <c r="G572" s="166" t="s">
        <v>805</v>
      </c>
      <c r="H572" s="719"/>
    </row>
    <row r="573" spans="3:8">
      <c r="C573" s="628" t="s">
        <v>852</v>
      </c>
      <c r="D573" s="634" t="s">
        <v>498</v>
      </c>
      <c r="E573" s="636">
        <v>735912</v>
      </c>
      <c r="F573" s="699"/>
      <c r="G573" s="631">
        <v>23000</v>
      </c>
      <c r="H573" s="719">
        <f t="shared" si="27"/>
        <v>14720</v>
      </c>
    </row>
    <row r="574" spans="3:8">
      <c r="C574" s="632" t="s">
        <v>667</v>
      </c>
      <c r="D574" s="634" t="s">
        <v>543</v>
      </c>
      <c r="E574" s="636">
        <v>735914</v>
      </c>
      <c r="F574" s="699"/>
      <c r="G574" s="631">
        <v>23000</v>
      </c>
      <c r="H574" s="719">
        <f t="shared" si="27"/>
        <v>14720</v>
      </c>
    </row>
    <row r="575" spans="3:8">
      <c r="C575" s="659" t="s">
        <v>668</v>
      </c>
      <c r="D575" s="634" t="s">
        <v>501</v>
      </c>
      <c r="E575" s="636">
        <v>735916</v>
      </c>
      <c r="F575" s="699"/>
      <c r="G575" s="631">
        <v>23000</v>
      </c>
      <c r="H575" s="719">
        <f t="shared" si="27"/>
        <v>14720</v>
      </c>
    </row>
    <row r="576" spans="3:8">
      <c r="C576" s="628"/>
      <c r="D576" s="634" t="s">
        <v>538</v>
      </c>
      <c r="E576" s="636">
        <v>735917</v>
      </c>
      <c r="F576" s="699"/>
      <c r="G576" s="631">
        <v>23000</v>
      </c>
      <c r="H576" s="719">
        <f t="shared" si="27"/>
        <v>14720</v>
      </c>
    </row>
    <row r="577" spans="3:8">
      <c r="C577" s="628"/>
      <c r="D577" s="634" t="s">
        <v>512</v>
      </c>
      <c r="E577" s="636">
        <v>735918</v>
      </c>
      <c r="F577" s="699"/>
      <c r="G577" s="631">
        <v>23000</v>
      </c>
      <c r="H577" s="719">
        <f t="shared" si="27"/>
        <v>14720</v>
      </c>
    </row>
    <row r="578" spans="3:8">
      <c r="C578" s="628"/>
      <c r="D578" s="634" t="s">
        <v>539</v>
      </c>
      <c r="E578" s="636">
        <v>735919</v>
      </c>
      <c r="F578" s="699"/>
      <c r="G578" s="631">
        <v>23000</v>
      </c>
      <c r="H578" s="719">
        <f t="shared" si="27"/>
        <v>14720</v>
      </c>
    </row>
    <row r="579" spans="3:8" ht="16.5">
      <c r="C579" s="163"/>
      <c r="D579" s="164"/>
      <c r="E579" s="165"/>
      <c r="F579" s="165"/>
      <c r="G579" s="166" t="s">
        <v>805</v>
      </c>
      <c r="H579" s="719"/>
    </row>
    <row r="580" spans="3:8">
      <c r="C580" s="700" t="s">
        <v>853</v>
      </c>
      <c r="D580" s="634" t="s">
        <v>498</v>
      </c>
      <c r="E580" s="636">
        <v>737392</v>
      </c>
      <c r="F580" s="699"/>
      <c r="G580" s="631">
        <v>34000</v>
      </c>
      <c r="H580" s="719">
        <f t="shared" si="27"/>
        <v>21760</v>
      </c>
    </row>
    <row r="581" spans="3:8">
      <c r="C581" s="701" t="s">
        <v>669</v>
      </c>
      <c r="D581" s="634" t="s">
        <v>543</v>
      </c>
      <c r="E581" s="636">
        <v>737394</v>
      </c>
      <c r="F581" s="699"/>
      <c r="G581" s="631">
        <v>34000</v>
      </c>
      <c r="H581" s="719">
        <f t="shared" si="27"/>
        <v>21760</v>
      </c>
    </row>
    <row r="582" spans="3:8">
      <c r="C582" s="659" t="s">
        <v>670</v>
      </c>
      <c r="D582" s="634" t="s">
        <v>501</v>
      </c>
      <c r="E582" s="636">
        <v>737396</v>
      </c>
      <c r="F582" s="699"/>
      <c r="G582" s="631">
        <v>34000</v>
      </c>
      <c r="H582" s="719">
        <f t="shared" si="27"/>
        <v>21760</v>
      </c>
    </row>
    <row r="583" spans="3:8">
      <c r="C583" s="659" t="s">
        <v>668</v>
      </c>
      <c r="D583" s="634" t="s">
        <v>538</v>
      </c>
      <c r="E583" s="636">
        <v>737397</v>
      </c>
      <c r="F583" s="699"/>
      <c r="G583" s="631">
        <v>34000</v>
      </c>
      <c r="H583" s="719">
        <f t="shared" si="27"/>
        <v>21760</v>
      </c>
    </row>
    <row r="584" spans="3:8">
      <c r="C584" s="660"/>
      <c r="D584" s="634" t="s">
        <v>512</v>
      </c>
      <c r="E584" s="636">
        <v>737398</v>
      </c>
      <c r="F584" s="699"/>
      <c r="G584" s="631">
        <v>34000</v>
      </c>
      <c r="H584" s="719">
        <f t="shared" si="27"/>
        <v>21760</v>
      </c>
    </row>
    <row r="585" spans="3:8">
      <c r="C585" s="660"/>
      <c r="D585" s="634" t="s">
        <v>539</v>
      </c>
      <c r="E585" s="636">
        <v>737399</v>
      </c>
      <c r="F585" s="699"/>
      <c r="G585" s="631">
        <v>34000</v>
      </c>
      <c r="H585" s="719">
        <f t="shared" si="27"/>
        <v>21760</v>
      </c>
    </row>
    <row r="586" spans="3:8">
      <c r="C586" s="660"/>
      <c r="D586" s="634" t="s">
        <v>502</v>
      </c>
      <c r="E586" s="636">
        <v>737391</v>
      </c>
      <c r="F586" s="699"/>
      <c r="G586" s="631">
        <v>34000</v>
      </c>
      <c r="H586" s="719">
        <f t="shared" si="27"/>
        <v>21760</v>
      </c>
    </row>
    <row r="587" spans="3:8" ht="16.5">
      <c r="C587" s="163"/>
      <c r="D587" s="164"/>
      <c r="E587" s="165"/>
      <c r="F587" s="165"/>
      <c r="G587" s="166" t="s">
        <v>805</v>
      </c>
      <c r="H587" s="719"/>
    </row>
    <row r="588" spans="3:8">
      <c r="C588" s="628" t="s">
        <v>671</v>
      </c>
      <c r="D588" s="634" t="s">
        <v>498</v>
      </c>
      <c r="E588" s="165">
        <v>736842</v>
      </c>
      <c r="F588" s="699"/>
      <c r="G588" s="631">
        <v>2000</v>
      </c>
      <c r="H588" s="719">
        <f t="shared" si="27"/>
        <v>1280</v>
      </c>
    </row>
    <row r="589" spans="3:8">
      <c r="C589" s="632" t="s">
        <v>666</v>
      </c>
      <c r="D589" s="634" t="s">
        <v>543</v>
      </c>
      <c r="E589" s="165">
        <v>736844</v>
      </c>
      <c r="F589" s="699"/>
      <c r="G589" s="631">
        <v>2000</v>
      </c>
      <c r="H589" s="719">
        <f t="shared" si="27"/>
        <v>1280</v>
      </c>
    </row>
    <row r="590" spans="3:8">
      <c r="C590" s="632"/>
      <c r="D590" s="634" t="s">
        <v>501</v>
      </c>
      <c r="E590" s="165">
        <v>736846</v>
      </c>
      <c r="F590" s="699"/>
      <c r="G590" s="631">
        <v>2000</v>
      </c>
      <c r="H590" s="719">
        <f t="shared" si="27"/>
        <v>1280</v>
      </c>
    </row>
    <row r="591" spans="3:8">
      <c r="C591" s="632"/>
      <c r="D591" s="634" t="s">
        <v>538</v>
      </c>
      <c r="E591" s="165">
        <v>736847</v>
      </c>
      <c r="F591" s="699"/>
      <c r="G591" s="631">
        <v>2000</v>
      </c>
      <c r="H591" s="719">
        <f t="shared" si="27"/>
        <v>1280</v>
      </c>
    </row>
    <row r="592" spans="3:8">
      <c r="C592" s="632"/>
      <c r="D592" s="634" t="s">
        <v>512</v>
      </c>
      <c r="E592" s="165">
        <v>736848</v>
      </c>
      <c r="F592" s="699"/>
      <c r="G592" s="631">
        <v>2000</v>
      </c>
      <c r="H592" s="719">
        <f t="shared" si="27"/>
        <v>1280</v>
      </c>
    </row>
    <row r="593" spans="3:8">
      <c r="C593" s="632"/>
      <c r="D593" s="634" t="s">
        <v>539</v>
      </c>
      <c r="E593" s="165">
        <v>736849</v>
      </c>
      <c r="F593" s="699"/>
      <c r="G593" s="631">
        <v>2000</v>
      </c>
      <c r="H593" s="719">
        <f t="shared" si="27"/>
        <v>1280</v>
      </c>
    </row>
    <row r="594" spans="3:8" ht="16.5">
      <c r="C594" s="163"/>
      <c r="D594" s="164"/>
      <c r="E594" s="165"/>
      <c r="F594" s="165"/>
      <c r="G594" s="166" t="s">
        <v>805</v>
      </c>
      <c r="H594" s="719"/>
    </row>
    <row r="595" spans="3:8">
      <c r="C595" s="700" t="s">
        <v>1420</v>
      </c>
      <c r="D595" s="634" t="s">
        <v>498</v>
      </c>
      <c r="E595" s="636">
        <v>737452</v>
      </c>
      <c r="F595" s="699"/>
      <c r="G595" s="631">
        <v>58000</v>
      </c>
      <c r="H595" s="719">
        <f t="shared" si="27"/>
        <v>37120</v>
      </c>
    </row>
    <row r="596" spans="3:8">
      <c r="C596" s="701" t="s">
        <v>1421</v>
      </c>
      <c r="D596" s="634" t="s">
        <v>543</v>
      </c>
      <c r="E596" s="636">
        <v>737454</v>
      </c>
      <c r="F596" s="699"/>
      <c r="G596" s="631">
        <v>58000</v>
      </c>
      <c r="H596" s="719">
        <f t="shared" si="27"/>
        <v>37120</v>
      </c>
    </row>
    <row r="597" spans="3:8">
      <c r="C597" s="659" t="s">
        <v>1422</v>
      </c>
      <c r="D597" s="634" t="s">
        <v>501</v>
      </c>
      <c r="E597" s="636">
        <v>737456</v>
      </c>
      <c r="F597" s="699"/>
      <c r="G597" s="631">
        <v>58000</v>
      </c>
      <c r="H597" s="719">
        <f t="shared" ref="H597:H607" si="28">G597-(G597*$H$9)</f>
        <v>37120</v>
      </c>
    </row>
    <row r="598" spans="3:8">
      <c r="C598" s="659" t="s">
        <v>672</v>
      </c>
      <c r="D598" s="634" t="s">
        <v>538</v>
      </c>
      <c r="E598" s="636">
        <v>737457</v>
      </c>
      <c r="F598" s="699"/>
      <c r="G598" s="631">
        <v>58000</v>
      </c>
      <c r="H598" s="719">
        <f t="shared" si="28"/>
        <v>37120</v>
      </c>
    </row>
    <row r="599" spans="3:8">
      <c r="D599" s="634" t="s">
        <v>512</v>
      </c>
      <c r="E599" s="636">
        <v>737458</v>
      </c>
      <c r="F599" s="699"/>
      <c r="G599" s="631">
        <v>58000</v>
      </c>
      <c r="H599" s="719">
        <f t="shared" si="28"/>
        <v>37120</v>
      </c>
    </row>
    <row r="600" spans="3:8">
      <c r="C600" s="660"/>
      <c r="D600" s="634" t="s">
        <v>539</v>
      </c>
      <c r="E600" s="636">
        <v>737459</v>
      </c>
      <c r="F600" s="699"/>
      <c r="G600" s="631">
        <v>58000</v>
      </c>
      <c r="H600" s="719">
        <f t="shared" si="28"/>
        <v>37120</v>
      </c>
    </row>
    <row r="601" spans="3:8" ht="16.5">
      <c r="C601" s="163"/>
      <c r="D601" s="164"/>
      <c r="E601" s="165"/>
      <c r="F601" s="165"/>
      <c r="G601" s="166" t="s">
        <v>805</v>
      </c>
      <c r="H601" s="719"/>
    </row>
    <row r="602" spans="3:8">
      <c r="C602" s="628" t="s">
        <v>673</v>
      </c>
      <c r="D602" s="634" t="s">
        <v>498</v>
      </c>
      <c r="E602" s="636">
        <v>736742</v>
      </c>
      <c r="F602" s="699"/>
      <c r="G602" s="631">
        <v>2600</v>
      </c>
      <c r="H602" s="719">
        <f t="shared" si="28"/>
        <v>1664</v>
      </c>
    </row>
    <row r="603" spans="3:8">
      <c r="C603" s="659" t="s">
        <v>674</v>
      </c>
      <c r="D603" s="634" t="s">
        <v>543</v>
      </c>
      <c r="E603" s="636">
        <v>736744</v>
      </c>
      <c r="F603" s="699"/>
      <c r="G603" s="631">
        <v>2600</v>
      </c>
      <c r="H603" s="719">
        <f t="shared" si="28"/>
        <v>1664</v>
      </c>
    </row>
    <row r="604" spans="3:8">
      <c r="C604" s="660"/>
      <c r="D604" s="634" t="s">
        <v>501</v>
      </c>
      <c r="E604" s="636">
        <v>736746</v>
      </c>
      <c r="F604" s="699"/>
      <c r="G604" s="631">
        <v>2600</v>
      </c>
      <c r="H604" s="719">
        <f t="shared" si="28"/>
        <v>1664</v>
      </c>
    </row>
    <row r="605" spans="3:8">
      <c r="C605" s="632"/>
      <c r="D605" s="634" t="s">
        <v>538</v>
      </c>
      <c r="E605" s="636">
        <v>736747</v>
      </c>
      <c r="F605" s="699"/>
      <c r="G605" s="631">
        <v>2600</v>
      </c>
      <c r="H605" s="719">
        <f t="shared" si="28"/>
        <v>1664</v>
      </c>
    </row>
    <row r="606" spans="3:8">
      <c r="C606" s="660"/>
      <c r="D606" s="634" t="s">
        <v>512</v>
      </c>
      <c r="E606" s="636">
        <v>736748</v>
      </c>
      <c r="F606" s="699"/>
      <c r="G606" s="631">
        <v>2600</v>
      </c>
      <c r="H606" s="719">
        <f t="shared" si="28"/>
        <v>1664</v>
      </c>
    </row>
    <row r="607" spans="3:8">
      <c r="C607" s="660"/>
      <c r="D607" s="634" t="s">
        <v>539</v>
      </c>
      <c r="E607" s="636">
        <v>736749</v>
      </c>
      <c r="F607" s="699"/>
      <c r="G607" s="631">
        <v>2600</v>
      </c>
      <c r="H607" s="719">
        <f t="shared" si="28"/>
        <v>1664</v>
      </c>
    </row>
    <row r="608" spans="3:8" ht="16.5">
      <c r="C608" s="163"/>
      <c r="D608" s="164"/>
      <c r="E608" s="165"/>
      <c r="F608" s="165"/>
      <c r="G608" s="166"/>
      <c r="H608" s="660"/>
    </row>
    <row r="609" spans="3:8" ht="16.5">
      <c r="C609" s="1761" t="s">
        <v>675</v>
      </c>
      <c r="D609" s="1186"/>
      <c r="E609" s="1186"/>
      <c r="F609" s="1186"/>
      <c r="G609" s="1186"/>
      <c r="H609" s="1749"/>
    </row>
    <row r="610" spans="3:8" ht="16.5">
      <c r="C610" s="163"/>
      <c r="D610" s="164"/>
      <c r="E610" s="165"/>
      <c r="F610" s="165"/>
      <c r="G610" s="166"/>
      <c r="H610" s="660"/>
    </row>
    <row r="611" spans="3:8">
      <c r="C611" s="700" t="s">
        <v>854</v>
      </c>
      <c r="D611" s="634" t="s">
        <v>498</v>
      </c>
      <c r="E611" s="636">
        <v>737322</v>
      </c>
      <c r="F611" s="699"/>
      <c r="G611" s="631">
        <v>32000</v>
      </c>
      <c r="H611" s="719">
        <f>G611-(G611*$H$9)</f>
        <v>20480</v>
      </c>
    </row>
    <row r="612" spans="3:8">
      <c r="C612" s="701" t="s">
        <v>676</v>
      </c>
      <c r="D612" s="634" t="s">
        <v>543</v>
      </c>
      <c r="E612" s="636">
        <v>737324</v>
      </c>
      <c r="F612" s="699"/>
      <c r="G612" s="631">
        <v>32000</v>
      </c>
      <c r="H612" s="719">
        <f t="shared" ref="H612:H634" si="29">G612-(G612*$H$9)</f>
        <v>20480</v>
      </c>
    </row>
    <row r="613" spans="3:8">
      <c r="C613" s="637" t="s">
        <v>855</v>
      </c>
      <c r="D613" s="634" t="s">
        <v>501</v>
      </c>
      <c r="E613" s="636">
        <v>737326</v>
      </c>
      <c r="F613" s="636"/>
      <c r="G613" s="631">
        <v>32000</v>
      </c>
      <c r="H613" s="719">
        <f t="shared" si="29"/>
        <v>20480</v>
      </c>
    </row>
    <row r="614" spans="3:8">
      <c r="C614" s="637" t="s">
        <v>856</v>
      </c>
      <c r="D614" s="634" t="s">
        <v>538</v>
      </c>
      <c r="E614" s="636">
        <v>737327</v>
      </c>
      <c r="F614" s="636"/>
      <c r="G614" s="631">
        <v>32000</v>
      </c>
      <c r="H614" s="719">
        <f t="shared" si="29"/>
        <v>20480</v>
      </c>
    </row>
    <row r="615" spans="3:8">
      <c r="C615" s="651" t="s">
        <v>677</v>
      </c>
      <c r="D615" s="634" t="s">
        <v>512</v>
      </c>
      <c r="E615" s="636">
        <v>737328</v>
      </c>
      <c r="F615" s="636"/>
      <c r="G615" s="631">
        <v>32000</v>
      </c>
      <c r="H615" s="719">
        <f t="shared" si="29"/>
        <v>20480</v>
      </c>
    </row>
    <row r="616" spans="3:8">
      <c r="C616" s="637"/>
      <c r="D616" s="634" t="s">
        <v>539</v>
      </c>
      <c r="E616" s="636">
        <v>737329</v>
      </c>
      <c r="F616" s="636"/>
      <c r="G616" s="631">
        <v>32000</v>
      </c>
      <c r="H616" s="719">
        <f t="shared" si="29"/>
        <v>20480</v>
      </c>
    </row>
    <row r="617" spans="3:8">
      <c r="C617" s="637"/>
      <c r="D617" s="634" t="s">
        <v>502</v>
      </c>
      <c r="E617" s="636">
        <v>737321</v>
      </c>
      <c r="F617" s="636"/>
      <c r="G617" s="631">
        <v>32000</v>
      </c>
      <c r="H617" s="719">
        <f t="shared" si="29"/>
        <v>20480</v>
      </c>
    </row>
    <row r="618" spans="3:8" ht="16.5">
      <c r="C618" s="163"/>
      <c r="D618" s="164"/>
      <c r="E618" s="165"/>
      <c r="F618" s="165"/>
      <c r="G618" s="166"/>
      <c r="H618" s="719"/>
    </row>
    <row r="619" spans="3:8">
      <c r="C619" s="700" t="s">
        <v>857</v>
      </c>
      <c r="D619" s="634" t="s">
        <v>498</v>
      </c>
      <c r="E619" s="636">
        <v>735492</v>
      </c>
      <c r="F619" s="636"/>
      <c r="G619" s="631">
        <v>32000</v>
      </c>
      <c r="H619" s="719">
        <f t="shared" si="29"/>
        <v>20480</v>
      </c>
    </row>
    <row r="620" spans="3:8">
      <c r="C620" s="701" t="s">
        <v>676</v>
      </c>
      <c r="D620" s="634" t="s">
        <v>543</v>
      </c>
      <c r="E620" s="636">
        <v>735494</v>
      </c>
      <c r="F620" s="636"/>
      <c r="G620" s="631">
        <v>32000</v>
      </c>
      <c r="H620" s="719">
        <f t="shared" si="29"/>
        <v>20480</v>
      </c>
    </row>
    <row r="621" spans="3:8">
      <c r="C621" s="637" t="s">
        <v>855</v>
      </c>
      <c r="D621" s="634" t="s">
        <v>501</v>
      </c>
      <c r="E621" s="636">
        <v>735496</v>
      </c>
      <c r="F621" s="636"/>
      <c r="G621" s="631">
        <v>32000</v>
      </c>
      <c r="H621" s="719">
        <f t="shared" si="29"/>
        <v>20480</v>
      </c>
    </row>
    <row r="622" spans="3:8">
      <c r="C622" s="637" t="s">
        <v>856</v>
      </c>
      <c r="D622" s="634" t="s">
        <v>538</v>
      </c>
      <c r="E622" s="636">
        <v>735497</v>
      </c>
      <c r="F622" s="636"/>
      <c r="G622" s="631">
        <v>32000</v>
      </c>
      <c r="H622" s="719">
        <f t="shared" si="29"/>
        <v>20480</v>
      </c>
    </row>
    <row r="623" spans="3:8">
      <c r="C623" s="651" t="s">
        <v>677</v>
      </c>
      <c r="D623" s="634" t="s">
        <v>512</v>
      </c>
      <c r="E623" s="636">
        <v>735498</v>
      </c>
      <c r="F623" s="636"/>
      <c r="G623" s="631">
        <v>32000</v>
      </c>
      <c r="H623" s="719">
        <f t="shared" si="29"/>
        <v>20480</v>
      </c>
    </row>
    <row r="624" spans="3:8">
      <c r="C624" s="637"/>
      <c r="D624" s="634" t="s">
        <v>539</v>
      </c>
      <c r="E624" s="636">
        <v>735499</v>
      </c>
      <c r="F624" s="636"/>
      <c r="G624" s="631">
        <v>32000</v>
      </c>
      <c r="H624" s="719">
        <f t="shared" si="29"/>
        <v>20480</v>
      </c>
    </row>
    <row r="625" spans="3:8" ht="16.5">
      <c r="C625" s="163"/>
      <c r="D625" s="164"/>
      <c r="E625" s="165"/>
      <c r="F625" s="165"/>
      <c r="G625" s="631"/>
      <c r="H625" s="719"/>
    </row>
    <row r="626" spans="3:8">
      <c r="C626" s="700" t="s">
        <v>858</v>
      </c>
      <c r="D626" s="634" t="s">
        <v>498</v>
      </c>
      <c r="E626" s="636">
        <v>736892</v>
      </c>
      <c r="F626" s="636"/>
      <c r="G626" s="631">
        <v>29000</v>
      </c>
      <c r="H626" s="719">
        <f t="shared" si="29"/>
        <v>18560</v>
      </c>
    </row>
    <row r="627" spans="3:8">
      <c r="C627" s="701" t="s">
        <v>678</v>
      </c>
      <c r="D627" s="634" t="s">
        <v>543</v>
      </c>
      <c r="E627" s="691">
        <v>736894</v>
      </c>
      <c r="F627" s="636"/>
      <c r="G627" s="631">
        <v>29000</v>
      </c>
      <c r="H627" s="719">
        <f t="shared" si="29"/>
        <v>18560</v>
      </c>
    </row>
    <row r="628" spans="3:8">
      <c r="C628" s="637" t="s">
        <v>855</v>
      </c>
      <c r="D628" s="634" t="s">
        <v>501</v>
      </c>
      <c r="E628" s="691">
        <v>736896</v>
      </c>
      <c r="F628" s="636"/>
      <c r="G628" s="631">
        <v>29000</v>
      </c>
      <c r="H628" s="719">
        <f t="shared" si="29"/>
        <v>18560</v>
      </c>
    </row>
    <row r="629" spans="3:8">
      <c r="C629" s="637" t="s">
        <v>856</v>
      </c>
      <c r="D629" s="634" t="s">
        <v>538</v>
      </c>
      <c r="E629" s="691">
        <v>736897</v>
      </c>
      <c r="F629" s="636"/>
      <c r="G629" s="631">
        <v>29000</v>
      </c>
      <c r="H629" s="719">
        <f t="shared" si="29"/>
        <v>18560</v>
      </c>
    </row>
    <row r="630" spans="3:8">
      <c r="C630" s="651" t="s">
        <v>679</v>
      </c>
      <c r="D630" s="634" t="s">
        <v>512</v>
      </c>
      <c r="E630" s="691">
        <v>736898</v>
      </c>
      <c r="F630" s="636"/>
      <c r="G630" s="631">
        <v>29000</v>
      </c>
      <c r="H630" s="719">
        <f t="shared" si="29"/>
        <v>18560</v>
      </c>
    </row>
    <row r="631" spans="3:8">
      <c r="C631" s="686"/>
      <c r="D631" s="634" t="s">
        <v>539</v>
      </c>
      <c r="E631" s="691">
        <v>736899</v>
      </c>
      <c r="F631" s="636"/>
      <c r="G631" s="631">
        <v>29000</v>
      </c>
      <c r="H631" s="719">
        <f t="shared" si="29"/>
        <v>18560</v>
      </c>
    </row>
    <row r="632" spans="3:8">
      <c r="C632" s="686"/>
      <c r="D632" s="634" t="s">
        <v>502</v>
      </c>
      <c r="E632" s="691">
        <v>737331</v>
      </c>
      <c r="F632" s="636"/>
      <c r="G632" s="631">
        <v>29000</v>
      </c>
      <c r="H632" s="719">
        <f t="shared" si="29"/>
        <v>18560</v>
      </c>
    </row>
    <row r="633" spans="3:8" ht="16.5">
      <c r="C633" s="163"/>
      <c r="D633" s="164"/>
      <c r="E633" s="165"/>
      <c r="F633" s="165"/>
      <c r="G633" s="166"/>
      <c r="H633" s="719"/>
    </row>
    <row r="634" spans="3:8">
      <c r="C634" s="633" t="s">
        <v>859</v>
      </c>
      <c r="D634" s="634" t="s">
        <v>498</v>
      </c>
      <c r="E634" s="636">
        <v>735098</v>
      </c>
      <c r="F634" s="636"/>
      <c r="G634" s="631">
        <v>49000</v>
      </c>
      <c r="H634" s="719">
        <f t="shared" si="29"/>
        <v>31360</v>
      </c>
    </row>
    <row r="635" spans="3:8" ht="16.5">
      <c r="C635" s="163"/>
      <c r="D635" s="164"/>
      <c r="E635" s="165"/>
      <c r="F635" s="165"/>
      <c r="G635" s="166"/>
      <c r="H635" s="660"/>
    </row>
    <row r="636" spans="3:8" ht="16.5">
      <c r="C636" s="1761" t="s">
        <v>680</v>
      </c>
      <c r="D636" s="1186" t="s">
        <v>499</v>
      </c>
      <c r="E636" s="1186"/>
      <c r="F636" s="1186"/>
      <c r="G636" s="1186"/>
      <c r="H636" s="1749"/>
    </row>
    <row r="637" spans="3:8" ht="16.5">
      <c r="C637" s="163"/>
      <c r="D637" s="164"/>
      <c r="E637" s="165"/>
      <c r="F637" s="165"/>
      <c r="G637" s="166"/>
      <c r="H637" s="660"/>
    </row>
    <row r="638" spans="3:8">
      <c r="C638" s="1785" t="s">
        <v>847</v>
      </c>
      <c r="D638" s="634" t="s">
        <v>331</v>
      </c>
      <c r="E638" s="636" t="s">
        <v>658</v>
      </c>
      <c r="F638" s="699"/>
      <c r="G638" s="650">
        <v>6000</v>
      </c>
      <c r="H638" s="719">
        <f>G638-(G638*$H$9)</f>
        <v>3840</v>
      </c>
    </row>
    <row r="639" spans="3:8">
      <c r="C639" s="1786"/>
      <c r="D639" s="634"/>
      <c r="E639" s="636"/>
      <c r="F639" s="699"/>
      <c r="G639" s="631" t="s">
        <v>805</v>
      </c>
      <c r="H639" s="719"/>
    </row>
    <row r="640" spans="3:8" ht="16.5">
      <c r="C640" s="163"/>
      <c r="D640" s="164"/>
      <c r="E640" s="165"/>
      <c r="F640" s="165"/>
      <c r="G640" s="166" t="s">
        <v>805</v>
      </c>
      <c r="H640" s="719"/>
    </row>
    <row r="641" spans="3:8">
      <c r="C641" s="700" t="s">
        <v>851</v>
      </c>
      <c r="D641" s="634" t="s">
        <v>331</v>
      </c>
      <c r="E641" s="636">
        <v>735028</v>
      </c>
      <c r="F641" s="699"/>
      <c r="G641" s="650">
        <v>6500</v>
      </c>
      <c r="H641" s="719">
        <f t="shared" ref="H641:H702" si="30">G641-(G641*$H$9)</f>
        <v>4160</v>
      </c>
    </row>
    <row r="642" spans="3:8">
      <c r="C642" s="632"/>
      <c r="D642" s="634"/>
      <c r="E642" s="636"/>
      <c r="F642" s="699"/>
      <c r="G642" s="631" t="s">
        <v>805</v>
      </c>
      <c r="H642" s="719"/>
    </row>
    <row r="643" spans="3:8">
      <c r="C643" s="656" t="s">
        <v>681</v>
      </c>
      <c r="D643" s="164" t="s">
        <v>498</v>
      </c>
      <c r="E643" s="165">
        <v>73482</v>
      </c>
      <c r="F643" s="637"/>
      <c r="G643" s="631">
        <v>19000</v>
      </c>
      <c r="H643" s="719">
        <f t="shared" si="30"/>
        <v>12160</v>
      </c>
    </row>
    <row r="644" spans="3:8">
      <c r="C644" s="702" t="s">
        <v>659</v>
      </c>
      <c r="D644" s="634" t="s">
        <v>543</v>
      </c>
      <c r="E644" s="636">
        <v>73484</v>
      </c>
      <c r="F644" s="637"/>
      <c r="G644" s="631">
        <v>19000</v>
      </c>
      <c r="H644" s="719">
        <f t="shared" si="30"/>
        <v>12160</v>
      </c>
    </row>
    <row r="645" spans="3:8">
      <c r="C645" s="702" t="s">
        <v>682</v>
      </c>
      <c r="D645" s="634" t="s">
        <v>501</v>
      </c>
      <c r="E645" s="636">
        <v>73486</v>
      </c>
      <c r="F645" s="637"/>
      <c r="G645" s="631">
        <v>19000</v>
      </c>
      <c r="H645" s="719">
        <f t="shared" si="30"/>
        <v>12160</v>
      </c>
    </row>
    <row r="646" spans="3:8">
      <c r="C646" s="632"/>
      <c r="D646" s="634" t="s">
        <v>538</v>
      </c>
      <c r="E646" s="636">
        <v>73487</v>
      </c>
      <c r="F646" s="637"/>
      <c r="G646" s="631">
        <v>19000</v>
      </c>
      <c r="H646" s="719">
        <f t="shared" si="30"/>
        <v>12160</v>
      </c>
    </row>
    <row r="647" spans="3:8">
      <c r="C647" s="656"/>
      <c r="D647" s="634" t="s">
        <v>512</v>
      </c>
      <c r="E647" s="636">
        <v>73488</v>
      </c>
      <c r="F647" s="637"/>
      <c r="G647" s="631">
        <v>19000</v>
      </c>
      <c r="H647" s="719">
        <f t="shared" si="30"/>
        <v>12160</v>
      </c>
    </row>
    <row r="648" spans="3:8">
      <c r="C648" s="703"/>
      <c r="D648" s="164" t="s">
        <v>539</v>
      </c>
      <c r="E648" s="165">
        <v>73489</v>
      </c>
      <c r="F648" s="637"/>
      <c r="G648" s="631">
        <v>19000</v>
      </c>
      <c r="H648" s="719">
        <f t="shared" si="30"/>
        <v>12160</v>
      </c>
    </row>
    <row r="649" spans="3:8" ht="16.5">
      <c r="C649" s="163"/>
      <c r="D649" s="164"/>
      <c r="E649" s="165"/>
      <c r="F649" s="165"/>
      <c r="G649" s="166"/>
      <c r="H649" s="719"/>
    </row>
    <row r="650" spans="3:8">
      <c r="C650" s="656" t="s">
        <v>683</v>
      </c>
      <c r="D650" s="164" t="s">
        <v>498</v>
      </c>
      <c r="E650" s="165">
        <v>73492</v>
      </c>
      <c r="F650" s="704"/>
      <c r="G650" s="631">
        <v>19000</v>
      </c>
      <c r="H650" s="719">
        <f t="shared" si="30"/>
        <v>12160</v>
      </c>
    </row>
    <row r="651" spans="3:8">
      <c r="C651" s="659" t="s">
        <v>659</v>
      </c>
      <c r="D651" s="634" t="s">
        <v>543</v>
      </c>
      <c r="E651" s="636">
        <v>73494</v>
      </c>
      <c r="F651" s="704"/>
      <c r="G651" s="631">
        <v>19000</v>
      </c>
      <c r="H651" s="719">
        <f t="shared" si="30"/>
        <v>12160</v>
      </c>
    </row>
    <row r="652" spans="3:8">
      <c r="C652" s="702" t="s">
        <v>682</v>
      </c>
      <c r="D652" s="634" t="s">
        <v>501</v>
      </c>
      <c r="E652" s="636">
        <v>73496</v>
      </c>
      <c r="F652" s="704"/>
      <c r="G652" s="631">
        <v>19000</v>
      </c>
      <c r="H652" s="719">
        <f t="shared" si="30"/>
        <v>12160</v>
      </c>
    </row>
    <row r="653" spans="3:8">
      <c r="C653" s="632"/>
      <c r="D653" s="634" t="s">
        <v>538</v>
      </c>
      <c r="E653" s="636">
        <v>73497</v>
      </c>
      <c r="F653" s="704"/>
      <c r="G653" s="631">
        <v>19000</v>
      </c>
      <c r="H653" s="719">
        <f t="shared" si="30"/>
        <v>12160</v>
      </c>
    </row>
    <row r="654" spans="3:8">
      <c r="C654" s="656"/>
      <c r="D654" s="634" t="s">
        <v>512</v>
      </c>
      <c r="E654" s="636">
        <v>73498</v>
      </c>
      <c r="F654" s="704"/>
      <c r="G654" s="631">
        <v>19000</v>
      </c>
      <c r="H654" s="719">
        <f t="shared" si="30"/>
        <v>12160</v>
      </c>
    </row>
    <row r="655" spans="3:8">
      <c r="C655" s="703"/>
      <c r="D655" s="164" t="s">
        <v>539</v>
      </c>
      <c r="E655" s="165">
        <v>73499</v>
      </c>
      <c r="F655" s="637"/>
      <c r="G655" s="631">
        <v>19000</v>
      </c>
      <c r="H655" s="719">
        <f t="shared" si="30"/>
        <v>12160</v>
      </c>
    </row>
    <row r="656" spans="3:8">
      <c r="C656" s="703"/>
      <c r="D656" s="164" t="s">
        <v>502</v>
      </c>
      <c r="E656" s="164">
        <v>73491</v>
      </c>
      <c r="F656" s="637"/>
      <c r="G656" s="631">
        <v>19000</v>
      </c>
      <c r="H656" s="719">
        <f t="shared" si="30"/>
        <v>12160</v>
      </c>
    </row>
    <row r="657" spans="3:8" ht="16.5">
      <c r="C657" s="163"/>
      <c r="D657" s="164"/>
      <c r="E657" s="165"/>
      <c r="F657" s="165"/>
      <c r="G657" s="166" t="s">
        <v>805</v>
      </c>
      <c r="H657" s="719"/>
    </row>
    <row r="658" spans="3:8">
      <c r="C658" s="628" t="s">
        <v>684</v>
      </c>
      <c r="D658" s="634" t="s">
        <v>498</v>
      </c>
      <c r="E658" s="636">
        <v>73532</v>
      </c>
      <c r="F658" s="637"/>
      <c r="G658" s="631">
        <v>24000</v>
      </c>
      <c r="H658" s="719">
        <f t="shared" si="30"/>
        <v>15360</v>
      </c>
    </row>
    <row r="659" spans="3:8">
      <c r="C659" s="659" t="s">
        <v>685</v>
      </c>
      <c r="D659" s="634" t="s">
        <v>543</v>
      </c>
      <c r="E659" s="636">
        <v>73534</v>
      </c>
      <c r="F659" s="637"/>
      <c r="G659" s="631">
        <v>24000</v>
      </c>
      <c r="H659" s="719">
        <f t="shared" si="30"/>
        <v>15360</v>
      </c>
    </row>
    <row r="660" spans="3:8">
      <c r="C660" s="659" t="s">
        <v>663</v>
      </c>
      <c r="D660" s="634" t="s">
        <v>501</v>
      </c>
      <c r="E660" s="636">
        <v>73536</v>
      </c>
      <c r="F660" s="637"/>
      <c r="G660" s="631">
        <v>24000</v>
      </c>
      <c r="H660" s="719">
        <f t="shared" si="30"/>
        <v>15360</v>
      </c>
    </row>
    <row r="661" spans="3:8">
      <c r="C661" s="655" t="s">
        <v>686</v>
      </c>
      <c r="D661" s="634" t="s">
        <v>538</v>
      </c>
      <c r="E661" s="636">
        <v>73537</v>
      </c>
      <c r="F661" s="637"/>
      <c r="G661" s="631">
        <v>24000</v>
      </c>
      <c r="H661" s="719">
        <f t="shared" si="30"/>
        <v>15360</v>
      </c>
    </row>
    <row r="662" spans="3:8">
      <c r="C662" s="659"/>
      <c r="D662" s="634" t="s">
        <v>512</v>
      </c>
      <c r="E662" s="636">
        <v>73538</v>
      </c>
      <c r="F662" s="637"/>
      <c r="G662" s="631">
        <v>24000</v>
      </c>
      <c r="H662" s="719">
        <f t="shared" si="30"/>
        <v>15360</v>
      </c>
    </row>
    <row r="663" spans="3:8">
      <c r="C663" s="628"/>
      <c r="D663" s="634" t="s">
        <v>539</v>
      </c>
      <c r="E663" s="636">
        <v>73539</v>
      </c>
      <c r="F663" s="637"/>
      <c r="G663" s="631">
        <v>24000</v>
      </c>
      <c r="H663" s="719">
        <f t="shared" si="30"/>
        <v>15360</v>
      </c>
    </row>
    <row r="664" spans="3:8">
      <c r="C664" s="660"/>
      <c r="D664" s="634" t="s">
        <v>502</v>
      </c>
      <c r="E664" s="636">
        <v>73531</v>
      </c>
      <c r="F664" s="637"/>
      <c r="G664" s="631">
        <v>24000</v>
      </c>
      <c r="H664" s="719">
        <f t="shared" si="30"/>
        <v>15360</v>
      </c>
    </row>
    <row r="665" spans="3:8" ht="16.5">
      <c r="C665" s="163"/>
      <c r="D665" s="164"/>
      <c r="E665" s="165"/>
      <c r="F665" s="165"/>
      <c r="G665" s="166"/>
      <c r="H665" s="719"/>
    </row>
    <row r="666" spans="3:8">
      <c r="C666" s="628" t="s">
        <v>687</v>
      </c>
      <c r="D666" s="634" t="s">
        <v>498</v>
      </c>
      <c r="E666" s="636">
        <v>73592</v>
      </c>
      <c r="F666" s="637"/>
      <c r="G666" s="631">
        <v>24000</v>
      </c>
      <c r="H666" s="719">
        <f t="shared" si="30"/>
        <v>15360</v>
      </c>
    </row>
    <row r="667" spans="3:8">
      <c r="C667" s="702" t="s">
        <v>685</v>
      </c>
      <c r="D667" s="634" t="s">
        <v>543</v>
      </c>
      <c r="E667" s="636">
        <v>73594</v>
      </c>
      <c r="F667" s="637"/>
      <c r="G667" s="631">
        <v>24000</v>
      </c>
      <c r="H667" s="719">
        <f t="shared" si="30"/>
        <v>15360</v>
      </c>
    </row>
    <row r="668" spans="3:8">
      <c r="C668" s="702" t="s">
        <v>663</v>
      </c>
      <c r="D668" s="634" t="s">
        <v>501</v>
      </c>
      <c r="E668" s="636">
        <v>73596</v>
      </c>
      <c r="F668" s="637"/>
      <c r="G668" s="631">
        <v>24000</v>
      </c>
      <c r="H668" s="719">
        <f t="shared" si="30"/>
        <v>15360</v>
      </c>
    </row>
    <row r="669" spans="3:8">
      <c r="C669" s="655" t="s">
        <v>686</v>
      </c>
      <c r="D669" s="634" t="s">
        <v>538</v>
      </c>
      <c r="E669" s="636">
        <v>73597</v>
      </c>
      <c r="F669" s="637"/>
      <c r="G669" s="631">
        <v>24000</v>
      </c>
      <c r="H669" s="719">
        <f t="shared" si="30"/>
        <v>15360</v>
      </c>
    </row>
    <row r="670" spans="3:8">
      <c r="C670" s="659"/>
      <c r="D670" s="634" t="s">
        <v>512</v>
      </c>
      <c r="E670" s="636">
        <v>73598</v>
      </c>
      <c r="F670" s="699"/>
      <c r="G670" s="631">
        <v>24000</v>
      </c>
      <c r="H670" s="719">
        <f t="shared" si="30"/>
        <v>15360</v>
      </c>
    </row>
    <row r="671" spans="3:8" ht="15" customHeight="1">
      <c r="C671" s="628"/>
      <c r="D671" s="634" t="s">
        <v>539</v>
      </c>
      <c r="E671" s="636">
        <v>73599</v>
      </c>
      <c r="F671" s="637"/>
      <c r="G671" s="631">
        <v>24000</v>
      </c>
      <c r="H671" s="719">
        <f t="shared" si="30"/>
        <v>15360</v>
      </c>
    </row>
    <row r="672" spans="3:8" ht="16.5">
      <c r="C672" s="163"/>
      <c r="D672" s="164"/>
      <c r="E672" s="165"/>
      <c r="F672" s="165"/>
      <c r="G672" s="631" t="s">
        <v>805</v>
      </c>
      <c r="H672" s="719"/>
    </row>
    <row r="673" spans="3:8">
      <c r="C673" s="700" t="s">
        <v>688</v>
      </c>
      <c r="D673" s="634" t="s">
        <v>498</v>
      </c>
      <c r="E673" s="636">
        <v>737302</v>
      </c>
      <c r="F673" s="637"/>
      <c r="G673" s="631">
        <v>36000</v>
      </c>
      <c r="H673" s="719">
        <f t="shared" si="30"/>
        <v>23040</v>
      </c>
    </row>
    <row r="674" spans="3:8" ht="15" customHeight="1">
      <c r="C674" s="701" t="s">
        <v>685</v>
      </c>
      <c r="D674" s="634" t="s">
        <v>543</v>
      </c>
      <c r="E674" s="636">
        <v>737304</v>
      </c>
      <c r="F674" s="637"/>
      <c r="G674" s="631">
        <v>36000</v>
      </c>
      <c r="H674" s="719">
        <f t="shared" si="30"/>
        <v>23040</v>
      </c>
    </row>
    <row r="675" spans="3:8">
      <c r="C675" s="632" t="s">
        <v>664</v>
      </c>
      <c r="D675" s="634" t="s">
        <v>501</v>
      </c>
      <c r="E675" s="636">
        <v>737306</v>
      </c>
      <c r="F675" s="637"/>
      <c r="G675" s="631">
        <v>36000</v>
      </c>
      <c r="H675" s="719">
        <f t="shared" si="30"/>
        <v>23040</v>
      </c>
    </row>
    <row r="676" spans="3:8">
      <c r="C676" s="632" t="s">
        <v>686</v>
      </c>
      <c r="D676" s="634" t="s">
        <v>538</v>
      </c>
      <c r="E676" s="636">
        <v>737307</v>
      </c>
      <c r="F676" s="637"/>
      <c r="G676" s="631">
        <v>36000</v>
      </c>
      <c r="H676" s="719">
        <f t="shared" si="30"/>
        <v>23040</v>
      </c>
    </row>
    <row r="677" spans="3:8">
      <c r="C677" s="632"/>
      <c r="D677" s="634" t="s">
        <v>512</v>
      </c>
      <c r="E677" s="636">
        <v>737308</v>
      </c>
      <c r="F677" s="637"/>
      <c r="G677" s="631">
        <v>36000</v>
      </c>
      <c r="H677" s="719">
        <f t="shared" si="30"/>
        <v>23040</v>
      </c>
    </row>
    <row r="678" spans="3:8">
      <c r="C678" s="632"/>
      <c r="D678" s="634" t="s">
        <v>539</v>
      </c>
      <c r="E678" s="636">
        <v>737309</v>
      </c>
      <c r="F678" s="637"/>
      <c r="G678" s="631">
        <v>36000</v>
      </c>
      <c r="H678" s="719">
        <f t="shared" si="30"/>
        <v>23040</v>
      </c>
    </row>
    <row r="679" spans="3:8">
      <c r="C679" s="632"/>
      <c r="D679" s="634" t="s">
        <v>502</v>
      </c>
      <c r="E679" s="636">
        <v>737301</v>
      </c>
      <c r="F679" s="637"/>
      <c r="G679" s="631">
        <v>36000</v>
      </c>
      <c r="H679" s="719">
        <f t="shared" si="30"/>
        <v>23040</v>
      </c>
    </row>
    <row r="680" spans="3:8" ht="16.5">
      <c r="C680" s="163"/>
      <c r="D680" s="164"/>
      <c r="E680" s="165"/>
      <c r="F680" s="165"/>
      <c r="G680" s="166"/>
      <c r="H680" s="719"/>
    </row>
    <row r="681" spans="3:8">
      <c r="C681" s="700" t="s">
        <v>689</v>
      </c>
      <c r="D681" s="634" t="s">
        <v>498</v>
      </c>
      <c r="E681" s="636">
        <v>737342</v>
      </c>
      <c r="F681" s="637"/>
      <c r="G681" s="631">
        <v>36000</v>
      </c>
      <c r="H681" s="719">
        <f t="shared" si="30"/>
        <v>23040</v>
      </c>
    </row>
    <row r="682" spans="3:8">
      <c r="C682" s="701" t="s">
        <v>685</v>
      </c>
      <c r="D682" s="634" t="s">
        <v>543</v>
      </c>
      <c r="E682" s="636">
        <v>737344</v>
      </c>
      <c r="F682" s="637"/>
      <c r="G682" s="631">
        <v>36000</v>
      </c>
      <c r="H682" s="719">
        <f t="shared" si="30"/>
        <v>23040</v>
      </c>
    </row>
    <row r="683" spans="3:8">
      <c r="C683" s="632" t="s">
        <v>664</v>
      </c>
      <c r="D683" s="634" t="s">
        <v>501</v>
      </c>
      <c r="E683" s="636">
        <v>737346</v>
      </c>
      <c r="F683" s="637"/>
      <c r="G683" s="631">
        <v>36000</v>
      </c>
      <c r="H683" s="719">
        <f t="shared" si="30"/>
        <v>23040</v>
      </c>
    </row>
    <row r="684" spans="3:8">
      <c r="C684" s="632" t="s">
        <v>686</v>
      </c>
      <c r="D684" s="634" t="s">
        <v>538</v>
      </c>
      <c r="E684" s="636">
        <v>737347</v>
      </c>
      <c r="F684" s="637"/>
      <c r="G684" s="631">
        <v>36000</v>
      </c>
      <c r="H684" s="719">
        <f t="shared" si="30"/>
        <v>23040</v>
      </c>
    </row>
    <row r="685" spans="3:8">
      <c r="C685" s="632"/>
      <c r="D685" s="634" t="s">
        <v>512</v>
      </c>
      <c r="E685" s="636">
        <v>737348</v>
      </c>
      <c r="F685" s="637"/>
      <c r="G685" s="631">
        <v>36000</v>
      </c>
      <c r="H685" s="719">
        <f t="shared" si="30"/>
        <v>23040</v>
      </c>
    </row>
    <row r="686" spans="3:8">
      <c r="C686" s="632"/>
      <c r="D686" s="634" t="s">
        <v>539</v>
      </c>
      <c r="E686" s="636">
        <v>737349</v>
      </c>
      <c r="F686" s="637"/>
      <c r="G686" s="631">
        <v>36000</v>
      </c>
      <c r="H686" s="719">
        <f t="shared" si="30"/>
        <v>23040</v>
      </c>
    </row>
    <row r="687" spans="3:8">
      <c r="C687" s="632"/>
      <c r="D687" s="634" t="s">
        <v>502</v>
      </c>
      <c r="E687" s="636">
        <v>737341</v>
      </c>
      <c r="F687" s="637"/>
      <c r="G687" s="631">
        <v>36000</v>
      </c>
      <c r="H687" s="719">
        <f t="shared" si="30"/>
        <v>23040</v>
      </c>
    </row>
    <row r="688" spans="3:8" ht="16.5">
      <c r="C688" s="163"/>
      <c r="D688" s="164"/>
      <c r="E688" s="165"/>
      <c r="F688" s="165"/>
      <c r="G688" s="166" t="s">
        <v>805</v>
      </c>
      <c r="H688" s="719"/>
    </row>
    <row r="689" spans="3:8" ht="16.5">
      <c r="C689" s="163"/>
      <c r="D689" s="164"/>
      <c r="E689" s="165"/>
      <c r="F689" s="165"/>
      <c r="G689" s="166" t="s">
        <v>805</v>
      </c>
      <c r="H689" s="719"/>
    </row>
    <row r="690" spans="3:8">
      <c r="C690" s="656" t="s">
        <v>690</v>
      </c>
      <c r="D690" s="634" t="s">
        <v>470</v>
      </c>
      <c r="E690" s="636">
        <v>73462</v>
      </c>
      <c r="F690" s="637"/>
      <c r="G690" s="631">
        <v>32000</v>
      </c>
      <c r="H690" s="719">
        <f t="shared" si="30"/>
        <v>20480</v>
      </c>
    </row>
    <row r="691" spans="3:8">
      <c r="C691" s="702" t="s">
        <v>667</v>
      </c>
      <c r="D691" s="634" t="s">
        <v>152</v>
      </c>
      <c r="E691" s="636">
        <v>73464</v>
      </c>
      <c r="F691" s="637"/>
      <c r="G691" s="631">
        <v>32000</v>
      </c>
      <c r="H691" s="719">
        <f t="shared" si="30"/>
        <v>20480</v>
      </c>
    </row>
    <row r="692" spans="3:8">
      <c r="C692" s="702" t="s">
        <v>686</v>
      </c>
      <c r="D692" s="634" t="s">
        <v>473</v>
      </c>
      <c r="E692" s="636">
        <v>73466</v>
      </c>
      <c r="F692" s="637"/>
      <c r="G692" s="631">
        <v>32000</v>
      </c>
      <c r="H692" s="719">
        <f t="shared" si="30"/>
        <v>20480</v>
      </c>
    </row>
    <row r="693" spans="3:8">
      <c r="C693" s="632"/>
      <c r="D693" s="634" t="s">
        <v>149</v>
      </c>
      <c r="E693" s="636">
        <v>73467</v>
      </c>
      <c r="F693" s="637"/>
      <c r="G693" s="631">
        <v>32000</v>
      </c>
      <c r="H693" s="719">
        <f t="shared" si="30"/>
        <v>20480</v>
      </c>
    </row>
    <row r="694" spans="3:8">
      <c r="C694" s="628"/>
      <c r="D694" s="634" t="s">
        <v>151</v>
      </c>
      <c r="E694" s="636">
        <v>73468</v>
      </c>
      <c r="F694" s="699"/>
      <c r="G694" s="631">
        <v>32000</v>
      </c>
      <c r="H694" s="719">
        <f t="shared" si="30"/>
        <v>20480</v>
      </c>
    </row>
    <row r="695" spans="3:8">
      <c r="C695" s="628"/>
      <c r="D695" s="634" t="s">
        <v>474</v>
      </c>
      <c r="E695" s="636">
        <v>73469</v>
      </c>
      <c r="F695" s="637"/>
      <c r="G695" s="631">
        <v>32000</v>
      </c>
      <c r="H695" s="719">
        <f t="shared" si="30"/>
        <v>20480</v>
      </c>
    </row>
    <row r="696" spans="3:8" ht="16.5">
      <c r="C696" s="163"/>
      <c r="D696" s="164"/>
      <c r="E696" s="165"/>
      <c r="F696" s="165"/>
      <c r="G696" s="166"/>
      <c r="H696" s="719"/>
    </row>
    <row r="697" spans="3:8">
      <c r="C697" s="656" t="s">
        <v>691</v>
      </c>
      <c r="D697" s="634" t="s">
        <v>470</v>
      </c>
      <c r="E697" s="636">
        <v>73472</v>
      </c>
      <c r="F697" s="637"/>
      <c r="G697" s="631">
        <v>32000</v>
      </c>
      <c r="H697" s="719">
        <f t="shared" si="30"/>
        <v>20480</v>
      </c>
    </row>
    <row r="698" spans="3:8">
      <c r="C698" s="702" t="s">
        <v>667</v>
      </c>
      <c r="D698" s="634" t="s">
        <v>152</v>
      </c>
      <c r="E698" s="636">
        <v>73474</v>
      </c>
      <c r="F698" s="637"/>
      <c r="G698" s="631">
        <v>32000</v>
      </c>
      <c r="H698" s="719">
        <f t="shared" si="30"/>
        <v>20480</v>
      </c>
    </row>
    <row r="699" spans="3:8">
      <c r="C699" s="702" t="s">
        <v>686</v>
      </c>
      <c r="D699" s="634" t="s">
        <v>473</v>
      </c>
      <c r="E699" s="636">
        <v>73476</v>
      </c>
      <c r="F699" s="637"/>
      <c r="G699" s="631">
        <v>32000</v>
      </c>
      <c r="H699" s="719">
        <f t="shared" si="30"/>
        <v>20480</v>
      </c>
    </row>
    <row r="700" spans="3:8">
      <c r="C700" s="632"/>
      <c r="D700" s="634" t="s">
        <v>149</v>
      </c>
      <c r="E700" s="636">
        <v>73477</v>
      </c>
      <c r="F700" s="637"/>
      <c r="G700" s="631">
        <v>32000</v>
      </c>
      <c r="H700" s="719">
        <f t="shared" si="30"/>
        <v>20480</v>
      </c>
    </row>
    <row r="701" spans="3:8">
      <c r="C701" s="628"/>
      <c r="D701" s="634" t="s">
        <v>151</v>
      </c>
      <c r="E701" s="636">
        <v>73478</v>
      </c>
      <c r="F701" s="637"/>
      <c r="G701" s="631">
        <v>32000</v>
      </c>
      <c r="H701" s="719">
        <f t="shared" si="30"/>
        <v>20480</v>
      </c>
    </row>
    <row r="702" spans="3:8">
      <c r="C702" s="628"/>
      <c r="D702" s="634" t="s">
        <v>474</v>
      </c>
      <c r="E702" s="636">
        <v>73479</v>
      </c>
      <c r="F702" s="637"/>
      <c r="G702" s="631">
        <v>32000</v>
      </c>
      <c r="H702" s="719">
        <f t="shared" si="30"/>
        <v>20480</v>
      </c>
    </row>
    <row r="703" spans="3:8">
      <c r="C703" s="628"/>
      <c r="D703" s="164" t="s">
        <v>502</v>
      </c>
      <c r="E703" s="164">
        <v>73471</v>
      </c>
      <c r="F703" s="637"/>
      <c r="G703" s="631">
        <v>32000</v>
      </c>
      <c r="H703" s="719">
        <f t="shared" ref="H703:H719" si="31">G703-(G703*$H$9)</f>
        <v>20480</v>
      </c>
    </row>
    <row r="704" spans="3:8" ht="16.5">
      <c r="C704" s="163"/>
      <c r="D704" s="164"/>
      <c r="E704" s="165"/>
      <c r="F704" s="165"/>
      <c r="G704" s="166" t="s">
        <v>805</v>
      </c>
      <c r="H704" s="719"/>
    </row>
    <row r="705" spans="3:8">
      <c r="C705" s="700" t="s">
        <v>692</v>
      </c>
      <c r="D705" s="634" t="s">
        <v>498</v>
      </c>
      <c r="E705" s="636">
        <v>737372</v>
      </c>
      <c r="F705" s="637"/>
      <c r="G705" s="631">
        <v>39000</v>
      </c>
      <c r="H705" s="719">
        <f t="shared" si="31"/>
        <v>24960</v>
      </c>
    </row>
    <row r="706" spans="3:8">
      <c r="C706" s="701" t="s">
        <v>685</v>
      </c>
      <c r="D706" s="634" t="s">
        <v>543</v>
      </c>
      <c r="E706" s="636">
        <v>737374</v>
      </c>
      <c r="F706" s="637"/>
      <c r="G706" s="631">
        <v>39000</v>
      </c>
      <c r="H706" s="719">
        <f t="shared" si="31"/>
        <v>24960</v>
      </c>
    </row>
    <row r="707" spans="3:8">
      <c r="C707" s="632" t="s">
        <v>693</v>
      </c>
      <c r="D707" s="634" t="s">
        <v>501</v>
      </c>
      <c r="E707" s="636">
        <v>737376</v>
      </c>
      <c r="F707" s="637"/>
      <c r="G707" s="631">
        <v>39000</v>
      </c>
      <c r="H707" s="719">
        <f t="shared" si="31"/>
        <v>24960</v>
      </c>
    </row>
    <row r="708" spans="3:8">
      <c r="C708" s="632" t="s">
        <v>686</v>
      </c>
      <c r="D708" s="634" t="s">
        <v>538</v>
      </c>
      <c r="E708" s="636">
        <v>737377</v>
      </c>
      <c r="F708" s="637"/>
      <c r="G708" s="631">
        <v>39000</v>
      </c>
      <c r="H708" s="719">
        <f t="shared" si="31"/>
        <v>24960</v>
      </c>
    </row>
    <row r="709" spans="3:8">
      <c r="C709" s="632"/>
      <c r="D709" s="634" t="s">
        <v>512</v>
      </c>
      <c r="E709" s="636">
        <v>737378</v>
      </c>
      <c r="F709" s="637"/>
      <c r="G709" s="631">
        <v>39000</v>
      </c>
      <c r="H709" s="719">
        <f t="shared" si="31"/>
        <v>24960</v>
      </c>
    </row>
    <row r="710" spans="3:8">
      <c r="C710" s="632"/>
      <c r="D710" s="634" t="s">
        <v>539</v>
      </c>
      <c r="E710" s="636">
        <v>737379</v>
      </c>
      <c r="F710" s="637"/>
      <c r="G710" s="631">
        <v>39000</v>
      </c>
      <c r="H710" s="719">
        <f t="shared" si="31"/>
        <v>24960</v>
      </c>
    </row>
    <row r="711" spans="3:8">
      <c r="C711" s="632"/>
      <c r="D711" s="634" t="s">
        <v>502</v>
      </c>
      <c r="E711" s="636">
        <v>737371</v>
      </c>
      <c r="F711" s="637"/>
      <c r="G711" s="631">
        <v>39000</v>
      </c>
      <c r="H711" s="719">
        <f t="shared" si="31"/>
        <v>24960</v>
      </c>
    </row>
    <row r="712" spans="3:8" ht="16.5">
      <c r="C712" s="163"/>
      <c r="D712" s="164"/>
      <c r="E712" s="165"/>
      <c r="F712" s="165"/>
      <c r="G712" s="166"/>
      <c r="H712" s="719"/>
    </row>
    <row r="713" spans="3:8">
      <c r="C713" s="700" t="s">
        <v>694</v>
      </c>
      <c r="D713" s="634" t="s">
        <v>498</v>
      </c>
      <c r="E713" s="636">
        <v>737382</v>
      </c>
      <c r="F713" s="637"/>
      <c r="G713" s="631">
        <v>39000</v>
      </c>
      <c r="H713" s="719">
        <f t="shared" si="31"/>
        <v>24960</v>
      </c>
    </row>
    <row r="714" spans="3:8">
      <c r="C714" s="701" t="s">
        <v>685</v>
      </c>
      <c r="D714" s="634" t="s">
        <v>543</v>
      </c>
      <c r="E714" s="636">
        <v>737384</v>
      </c>
      <c r="F714" s="637"/>
      <c r="G714" s="631">
        <v>39000</v>
      </c>
      <c r="H714" s="719">
        <f t="shared" si="31"/>
        <v>24960</v>
      </c>
    </row>
    <row r="715" spans="3:8">
      <c r="C715" s="632" t="s">
        <v>693</v>
      </c>
      <c r="D715" s="634" t="s">
        <v>501</v>
      </c>
      <c r="E715" s="636">
        <v>737386</v>
      </c>
      <c r="F715" s="637"/>
      <c r="G715" s="631">
        <v>39000</v>
      </c>
      <c r="H715" s="719">
        <f t="shared" si="31"/>
        <v>24960</v>
      </c>
    </row>
    <row r="716" spans="3:8">
      <c r="C716" s="632" t="s">
        <v>686</v>
      </c>
      <c r="D716" s="634" t="s">
        <v>538</v>
      </c>
      <c r="E716" s="636">
        <v>737387</v>
      </c>
      <c r="F716" s="637"/>
      <c r="G716" s="631">
        <v>39000</v>
      </c>
      <c r="H716" s="719">
        <f t="shared" si="31"/>
        <v>24960</v>
      </c>
    </row>
    <row r="717" spans="3:8">
      <c r="C717" s="632"/>
      <c r="D717" s="634" t="s">
        <v>512</v>
      </c>
      <c r="E717" s="636">
        <v>737388</v>
      </c>
      <c r="F717" s="637"/>
      <c r="G717" s="631">
        <v>39000</v>
      </c>
      <c r="H717" s="719">
        <f t="shared" si="31"/>
        <v>24960</v>
      </c>
    </row>
    <row r="718" spans="3:8">
      <c r="C718" s="632"/>
      <c r="D718" s="634" t="s">
        <v>539</v>
      </c>
      <c r="E718" s="636">
        <v>737389</v>
      </c>
      <c r="F718" s="637"/>
      <c r="G718" s="631">
        <v>39000</v>
      </c>
      <c r="H718" s="719">
        <f t="shared" si="31"/>
        <v>24960</v>
      </c>
    </row>
    <row r="719" spans="3:8">
      <c r="C719" s="632"/>
      <c r="D719" s="634" t="s">
        <v>502</v>
      </c>
      <c r="E719" s="636">
        <v>737381</v>
      </c>
      <c r="F719" s="637"/>
      <c r="G719" s="631">
        <v>39000</v>
      </c>
      <c r="H719" s="719">
        <f t="shared" si="31"/>
        <v>24960</v>
      </c>
    </row>
    <row r="720" spans="3:8" ht="16.5">
      <c r="C720" s="163"/>
      <c r="D720" s="164"/>
      <c r="E720" s="165"/>
      <c r="F720" s="165"/>
      <c r="G720" s="166" t="s">
        <v>805</v>
      </c>
      <c r="H720" s="660"/>
    </row>
    <row r="721" spans="3:8" ht="16.5">
      <c r="C721" s="1761" t="s">
        <v>695</v>
      </c>
      <c r="D721" s="1186"/>
      <c r="E721" s="1186"/>
      <c r="F721" s="1186"/>
      <c r="G721" s="1186"/>
      <c r="H721" s="1749"/>
    </row>
    <row r="722" spans="3:8" ht="16.5">
      <c r="C722" s="163"/>
      <c r="D722" s="164"/>
      <c r="E722" s="165"/>
      <c r="F722" s="165"/>
      <c r="G722" s="166"/>
      <c r="H722" s="660"/>
    </row>
    <row r="723" spans="3:8">
      <c r="C723" s="633" t="s">
        <v>1423</v>
      </c>
      <c r="D723" s="634" t="s">
        <v>498</v>
      </c>
      <c r="E723" s="636">
        <v>734512</v>
      </c>
      <c r="F723" s="637"/>
      <c r="G723" s="631">
        <v>43000</v>
      </c>
      <c r="H723" s="719">
        <f>G723-(G723*$H$9)</f>
        <v>27520</v>
      </c>
    </row>
    <row r="724" spans="3:8">
      <c r="C724" s="637" t="s">
        <v>696</v>
      </c>
      <c r="D724" s="634" t="s">
        <v>543</v>
      </c>
      <c r="E724" s="636">
        <v>734514</v>
      </c>
      <c r="F724" s="637"/>
      <c r="G724" s="631">
        <v>43000</v>
      </c>
      <c r="H724" s="719">
        <f t="shared" ref="H724:H749" si="32">G724-(G724*$H$9)</f>
        <v>27520</v>
      </c>
    </row>
    <row r="725" spans="3:8">
      <c r="C725" s="705" t="s">
        <v>697</v>
      </c>
      <c r="D725" s="634" t="s">
        <v>501</v>
      </c>
      <c r="E725" s="636">
        <v>734516</v>
      </c>
      <c r="F725" s="704"/>
      <c r="G725" s="631">
        <v>43000</v>
      </c>
      <c r="H725" s="719">
        <f t="shared" si="32"/>
        <v>27520</v>
      </c>
    </row>
    <row r="726" spans="3:8">
      <c r="C726" s="633"/>
      <c r="D726" s="634" t="s">
        <v>538</v>
      </c>
      <c r="E726" s="636">
        <v>734517</v>
      </c>
      <c r="F726" s="637"/>
      <c r="G726" s="631">
        <v>43000</v>
      </c>
      <c r="H726" s="719">
        <f t="shared" si="32"/>
        <v>27520</v>
      </c>
    </row>
    <row r="727" spans="3:8">
      <c r="C727" s="637"/>
      <c r="D727" s="634" t="s">
        <v>512</v>
      </c>
      <c r="E727" s="636">
        <v>734518</v>
      </c>
      <c r="F727" s="699"/>
      <c r="G727" s="631">
        <v>43000</v>
      </c>
      <c r="H727" s="719">
        <f t="shared" si="32"/>
        <v>27520</v>
      </c>
    </row>
    <row r="728" spans="3:8">
      <c r="C728" s="633"/>
      <c r="D728" s="634" t="s">
        <v>539</v>
      </c>
      <c r="E728" s="636">
        <v>734519</v>
      </c>
      <c r="F728" s="699"/>
      <c r="G728" s="631">
        <v>43000</v>
      </c>
      <c r="H728" s="719">
        <f t="shared" si="32"/>
        <v>27520</v>
      </c>
    </row>
    <row r="729" spans="3:8" ht="16.5">
      <c r="C729" s="163"/>
      <c r="D729" s="164"/>
      <c r="E729" s="165"/>
      <c r="F729" s="165"/>
      <c r="G729" s="166"/>
      <c r="H729" s="719"/>
    </row>
    <row r="730" spans="3:8">
      <c r="C730" s="633" t="s">
        <v>1424</v>
      </c>
      <c r="D730" s="634" t="s">
        <v>498</v>
      </c>
      <c r="E730" s="636">
        <v>734502</v>
      </c>
      <c r="F730" s="699"/>
      <c r="G730" s="631">
        <v>43000</v>
      </c>
      <c r="H730" s="719">
        <f t="shared" si="32"/>
        <v>27520</v>
      </c>
    </row>
    <row r="731" spans="3:8">
      <c r="C731" s="637" t="s">
        <v>696</v>
      </c>
      <c r="D731" s="634" t="s">
        <v>543</v>
      </c>
      <c r="E731" s="636">
        <v>734504</v>
      </c>
      <c r="F731" s="699"/>
      <c r="G731" s="631">
        <v>43000</v>
      </c>
      <c r="H731" s="719">
        <f t="shared" si="32"/>
        <v>27520</v>
      </c>
    </row>
    <row r="732" spans="3:8">
      <c r="C732" s="705" t="s">
        <v>697</v>
      </c>
      <c r="D732" s="634" t="s">
        <v>501</v>
      </c>
      <c r="E732" s="636">
        <v>734506</v>
      </c>
      <c r="F732" s="699"/>
      <c r="G732" s="631">
        <v>43000</v>
      </c>
      <c r="H732" s="719">
        <f t="shared" si="32"/>
        <v>27520</v>
      </c>
    </row>
    <row r="733" spans="3:8">
      <c r="C733" s="633"/>
      <c r="D733" s="634" t="s">
        <v>538</v>
      </c>
      <c r="E733" s="636">
        <v>734507</v>
      </c>
      <c r="F733" s="704"/>
      <c r="G733" s="631">
        <v>43000</v>
      </c>
      <c r="H733" s="719">
        <f t="shared" si="32"/>
        <v>27520</v>
      </c>
    </row>
    <row r="734" spans="3:8">
      <c r="C734" s="637"/>
      <c r="D734" s="634" t="s">
        <v>512</v>
      </c>
      <c r="E734" s="636">
        <v>734508</v>
      </c>
      <c r="F734" s="704"/>
      <c r="G734" s="631">
        <v>43000</v>
      </c>
      <c r="H734" s="719">
        <f t="shared" si="32"/>
        <v>27520</v>
      </c>
    </row>
    <row r="735" spans="3:8">
      <c r="C735" s="633"/>
      <c r="D735" s="634" t="s">
        <v>539</v>
      </c>
      <c r="E735" s="636">
        <v>734509</v>
      </c>
      <c r="F735" s="699"/>
      <c r="G735" s="631">
        <v>43000</v>
      </c>
      <c r="H735" s="719">
        <f t="shared" si="32"/>
        <v>27520</v>
      </c>
    </row>
    <row r="736" spans="3:8" ht="16.5">
      <c r="C736" s="163"/>
      <c r="D736" s="164"/>
      <c r="E736" s="165"/>
      <c r="F736" s="165"/>
      <c r="G736" s="166" t="s">
        <v>805</v>
      </c>
      <c r="H736" s="719"/>
    </row>
    <row r="737" spans="3:8">
      <c r="C737" s="700" t="s">
        <v>1425</v>
      </c>
      <c r="D737" s="634" t="s">
        <v>498</v>
      </c>
      <c r="E737" s="636">
        <v>737432</v>
      </c>
      <c r="F737" s="699"/>
      <c r="G737" s="631">
        <v>68000</v>
      </c>
      <c r="H737" s="719">
        <f t="shared" si="32"/>
        <v>43520</v>
      </c>
    </row>
    <row r="738" spans="3:8">
      <c r="C738" s="701" t="s">
        <v>1426</v>
      </c>
      <c r="D738" s="634" t="s">
        <v>543</v>
      </c>
      <c r="E738" s="636">
        <v>737434</v>
      </c>
      <c r="F738" s="699"/>
      <c r="G738" s="631">
        <v>68000</v>
      </c>
      <c r="H738" s="719">
        <f t="shared" si="32"/>
        <v>43520</v>
      </c>
    </row>
    <row r="739" spans="3:8">
      <c r="C739" s="705" t="s">
        <v>1427</v>
      </c>
      <c r="D739" s="634" t="s">
        <v>501</v>
      </c>
      <c r="E739" s="636">
        <v>737436</v>
      </c>
      <c r="F739" s="699"/>
      <c r="G739" s="631">
        <v>68000</v>
      </c>
      <c r="H739" s="719">
        <f t="shared" si="32"/>
        <v>43520</v>
      </c>
    </row>
    <row r="740" spans="3:8">
      <c r="C740" s="705" t="s">
        <v>697</v>
      </c>
      <c r="D740" s="634" t="s">
        <v>538</v>
      </c>
      <c r="E740" s="636">
        <v>737437</v>
      </c>
      <c r="F740" s="699"/>
      <c r="G740" s="631">
        <v>68000</v>
      </c>
      <c r="H740" s="719">
        <f t="shared" si="32"/>
        <v>43520</v>
      </c>
    </row>
    <row r="741" spans="3:8">
      <c r="C741" s="637"/>
      <c r="D741" s="634" t="s">
        <v>512</v>
      </c>
      <c r="E741" s="636">
        <v>737438</v>
      </c>
      <c r="F741" s="699"/>
      <c r="G741" s="631">
        <v>68000</v>
      </c>
      <c r="H741" s="719">
        <f t="shared" si="32"/>
        <v>43520</v>
      </c>
    </row>
    <row r="742" spans="3:8">
      <c r="C742" s="633"/>
      <c r="D742" s="634" t="s">
        <v>539</v>
      </c>
      <c r="E742" s="636">
        <v>737439</v>
      </c>
      <c r="F742" s="699"/>
      <c r="G742" s="631">
        <v>68000</v>
      </c>
      <c r="H742" s="719">
        <f t="shared" si="32"/>
        <v>43520</v>
      </c>
    </row>
    <row r="743" spans="3:8" ht="16.5">
      <c r="C743" s="163"/>
      <c r="D743" s="164"/>
      <c r="E743" s="165"/>
      <c r="F743" s="165"/>
      <c r="G743" s="166"/>
      <c r="H743" s="719"/>
    </row>
    <row r="744" spans="3:8">
      <c r="C744" s="700" t="s">
        <v>1428</v>
      </c>
      <c r="D744" s="634" t="s">
        <v>498</v>
      </c>
      <c r="E744" s="636">
        <v>737442</v>
      </c>
      <c r="F744" s="699"/>
      <c r="G744" s="631">
        <v>68000</v>
      </c>
      <c r="H744" s="719">
        <f t="shared" si="32"/>
        <v>43520</v>
      </c>
    </row>
    <row r="745" spans="3:8">
      <c r="C745" s="701" t="s">
        <v>1426</v>
      </c>
      <c r="D745" s="634" t="s">
        <v>543</v>
      </c>
      <c r="E745" s="636">
        <v>737444</v>
      </c>
      <c r="F745" s="699"/>
      <c r="G745" s="631">
        <v>68000</v>
      </c>
      <c r="H745" s="719">
        <f t="shared" si="32"/>
        <v>43520</v>
      </c>
    </row>
    <row r="746" spans="3:8">
      <c r="C746" s="705" t="s">
        <v>1427</v>
      </c>
      <c r="D746" s="634" t="s">
        <v>501</v>
      </c>
      <c r="E746" s="636">
        <v>737446</v>
      </c>
      <c r="F746" s="699"/>
      <c r="G746" s="631">
        <v>68000</v>
      </c>
      <c r="H746" s="719">
        <f t="shared" si="32"/>
        <v>43520</v>
      </c>
    </row>
    <row r="747" spans="3:8">
      <c r="C747" s="705" t="s">
        <v>697</v>
      </c>
      <c r="D747" s="634" t="s">
        <v>538</v>
      </c>
      <c r="E747" s="636">
        <v>737447</v>
      </c>
      <c r="F747" s="699"/>
      <c r="G747" s="631">
        <v>68000</v>
      </c>
      <c r="H747" s="719">
        <f t="shared" si="32"/>
        <v>43520</v>
      </c>
    </row>
    <row r="748" spans="3:8">
      <c r="C748" s="637"/>
      <c r="D748" s="634" t="s">
        <v>512</v>
      </c>
      <c r="E748" s="636">
        <v>737448</v>
      </c>
      <c r="F748" s="699"/>
      <c r="G748" s="631">
        <v>68000</v>
      </c>
      <c r="H748" s="719">
        <f t="shared" si="32"/>
        <v>43520</v>
      </c>
    </row>
    <row r="749" spans="3:8">
      <c r="C749" s="633"/>
      <c r="D749" s="634" t="s">
        <v>539</v>
      </c>
      <c r="E749" s="636">
        <v>737449</v>
      </c>
      <c r="F749" s="699"/>
      <c r="G749" s="631">
        <v>68000</v>
      </c>
      <c r="H749" s="719">
        <f t="shared" si="32"/>
        <v>43520</v>
      </c>
    </row>
    <row r="750" spans="3:8" ht="16.5">
      <c r="C750" s="163"/>
      <c r="D750" s="164"/>
      <c r="E750" s="165"/>
      <c r="F750" s="165"/>
      <c r="G750" s="166" t="s">
        <v>805</v>
      </c>
      <c r="H750" s="660"/>
    </row>
    <row r="751" spans="3:8" ht="16.5">
      <c r="C751" s="1761" t="s">
        <v>860</v>
      </c>
      <c r="D751" s="1186"/>
      <c r="E751" s="1186"/>
      <c r="F751" s="1186"/>
      <c r="G751" s="1186"/>
      <c r="H751" s="1749"/>
    </row>
    <row r="752" spans="3:8" ht="16.5">
      <c r="C752" s="163"/>
      <c r="D752" s="164"/>
      <c r="E752" s="165"/>
      <c r="F752" s="165"/>
      <c r="G752" s="166" t="s">
        <v>805</v>
      </c>
      <c r="H752" s="660"/>
    </row>
    <row r="753" spans="3:8">
      <c r="C753" s="628" t="s">
        <v>698</v>
      </c>
      <c r="D753" s="164" t="s">
        <v>103</v>
      </c>
      <c r="E753" s="165">
        <v>741022</v>
      </c>
      <c r="F753" s="165"/>
      <c r="G753" s="631">
        <v>7300</v>
      </c>
      <c r="H753" s="719">
        <f>G753-(G753*$H$9)</f>
        <v>4672</v>
      </c>
    </row>
    <row r="754" spans="3:8">
      <c r="C754" s="632" t="s">
        <v>699</v>
      </c>
      <c r="D754" s="164" t="s">
        <v>807</v>
      </c>
      <c r="E754" s="165">
        <v>741024</v>
      </c>
      <c r="F754" s="165"/>
      <c r="G754" s="631">
        <v>7300</v>
      </c>
      <c r="H754" s="719">
        <f t="shared" ref="H754:H803" si="33">G754-(G754*$H$9)</f>
        <v>4672</v>
      </c>
    </row>
    <row r="755" spans="3:8">
      <c r="C755" s="628"/>
      <c r="D755" s="164" t="s">
        <v>812</v>
      </c>
      <c r="E755" s="165">
        <v>741026</v>
      </c>
      <c r="F755" s="165"/>
      <c r="G755" s="631">
        <v>7300</v>
      </c>
      <c r="H755" s="719">
        <f t="shared" si="33"/>
        <v>4672</v>
      </c>
    </row>
    <row r="756" spans="3:8">
      <c r="C756" s="628"/>
      <c r="D756" s="164" t="s">
        <v>808</v>
      </c>
      <c r="E756" s="165">
        <v>741027</v>
      </c>
      <c r="F756" s="165"/>
      <c r="G756" s="631">
        <v>7300</v>
      </c>
      <c r="H756" s="719">
        <f t="shared" si="33"/>
        <v>4672</v>
      </c>
    </row>
    <row r="757" spans="3:8">
      <c r="C757" s="628"/>
      <c r="D757" s="164" t="s">
        <v>151</v>
      </c>
      <c r="E757" s="165">
        <v>741028</v>
      </c>
      <c r="F757" s="165"/>
      <c r="G757" s="631">
        <v>7300</v>
      </c>
      <c r="H757" s="719">
        <f t="shared" si="33"/>
        <v>4672</v>
      </c>
    </row>
    <row r="758" spans="3:8">
      <c r="C758" s="628"/>
      <c r="D758" s="164" t="s">
        <v>810</v>
      </c>
      <c r="E758" s="165">
        <v>741029</v>
      </c>
      <c r="F758" s="165"/>
      <c r="G758" s="631">
        <v>7300</v>
      </c>
      <c r="H758" s="719">
        <f t="shared" si="33"/>
        <v>4672</v>
      </c>
    </row>
    <row r="759" spans="3:8" ht="16.5">
      <c r="C759" s="163"/>
      <c r="D759" s="164"/>
      <c r="E759" s="165"/>
      <c r="F759" s="165"/>
      <c r="G759" s="166" t="s">
        <v>805</v>
      </c>
      <c r="H759" s="719"/>
    </row>
    <row r="760" spans="3:8">
      <c r="C760" s="628" t="s">
        <v>700</v>
      </c>
      <c r="D760" s="164" t="s">
        <v>103</v>
      </c>
      <c r="E760" s="165">
        <v>73206</v>
      </c>
      <c r="F760" s="165"/>
      <c r="G760" s="631">
        <v>6800</v>
      </c>
      <c r="H760" s="719">
        <f t="shared" si="33"/>
        <v>4352</v>
      </c>
    </row>
    <row r="761" spans="3:8">
      <c r="C761" s="632" t="s">
        <v>861</v>
      </c>
      <c r="D761" s="164"/>
      <c r="E761" s="165"/>
      <c r="F761" s="165"/>
      <c r="G761" s="631" t="s">
        <v>805</v>
      </c>
      <c r="H761" s="719"/>
    </row>
    <row r="762" spans="3:8">
      <c r="C762" s="632" t="s">
        <v>701</v>
      </c>
      <c r="D762" s="164"/>
      <c r="E762" s="165"/>
      <c r="F762" s="165"/>
      <c r="G762" s="631" t="s">
        <v>805</v>
      </c>
      <c r="H762" s="719"/>
    </row>
    <row r="763" spans="3:8" ht="16.5">
      <c r="C763" s="163"/>
      <c r="D763" s="164"/>
      <c r="E763" s="165"/>
      <c r="F763" s="165"/>
      <c r="G763" s="166" t="s">
        <v>805</v>
      </c>
      <c r="H763" s="719"/>
    </row>
    <row r="764" spans="3:8">
      <c r="C764" s="628" t="s">
        <v>702</v>
      </c>
      <c r="D764" s="164" t="s">
        <v>103</v>
      </c>
      <c r="E764" s="165">
        <v>741032</v>
      </c>
      <c r="F764" s="165"/>
      <c r="G764" s="631">
        <v>9600</v>
      </c>
      <c r="H764" s="719">
        <f t="shared" si="33"/>
        <v>6144</v>
      </c>
    </row>
    <row r="765" spans="3:8">
      <c r="C765" s="632" t="s">
        <v>699</v>
      </c>
      <c r="D765" s="164" t="s">
        <v>807</v>
      </c>
      <c r="E765" s="165">
        <v>741034</v>
      </c>
      <c r="F765" s="165"/>
      <c r="G765" s="631">
        <v>9600</v>
      </c>
      <c r="H765" s="719">
        <f t="shared" si="33"/>
        <v>6144</v>
      </c>
    </row>
    <row r="766" spans="3:8">
      <c r="C766" s="628"/>
      <c r="D766" s="164" t="s">
        <v>812</v>
      </c>
      <c r="E766" s="165">
        <v>741036</v>
      </c>
      <c r="F766" s="165"/>
      <c r="G766" s="631">
        <v>9600</v>
      </c>
      <c r="H766" s="719">
        <f t="shared" si="33"/>
        <v>6144</v>
      </c>
    </row>
    <row r="767" spans="3:8">
      <c r="C767" s="628"/>
      <c r="D767" s="164" t="s">
        <v>808</v>
      </c>
      <c r="E767" s="165">
        <v>741037</v>
      </c>
      <c r="F767" s="165"/>
      <c r="G767" s="631">
        <v>9600</v>
      </c>
      <c r="H767" s="719">
        <f t="shared" si="33"/>
        <v>6144</v>
      </c>
    </row>
    <row r="768" spans="3:8">
      <c r="C768" s="628"/>
      <c r="D768" s="164" t="s">
        <v>151</v>
      </c>
      <c r="E768" s="165">
        <v>741038</v>
      </c>
      <c r="F768" s="165"/>
      <c r="G768" s="631">
        <v>9600</v>
      </c>
      <c r="H768" s="719">
        <f t="shared" si="33"/>
        <v>6144</v>
      </c>
    </row>
    <row r="769" spans="3:8">
      <c r="C769" s="628"/>
      <c r="D769" s="164" t="s">
        <v>810</v>
      </c>
      <c r="E769" s="165">
        <v>741039</v>
      </c>
      <c r="F769" s="165"/>
      <c r="G769" s="631">
        <v>9600</v>
      </c>
      <c r="H769" s="719">
        <f t="shared" si="33"/>
        <v>6144</v>
      </c>
    </row>
    <row r="770" spans="3:8" ht="16.5">
      <c r="C770" s="163"/>
      <c r="D770" s="164"/>
      <c r="E770" s="165"/>
      <c r="F770" s="165"/>
      <c r="G770" s="166" t="s">
        <v>805</v>
      </c>
      <c r="H770" s="719"/>
    </row>
    <row r="771" spans="3:8">
      <c r="C771" s="628" t="s">
        <v>703</v>
      </c>
      <c r="D771" s="164" t="s">
        <v>103</v>
      </c>
      <c r="E771" s="165">
        <v>73208</v>
      </c>
      <c r="F771" s="165"/>
      <c r="G771" s="631">
        <v>7300</v>
      </c>
      <c r="H771" s="719">
        <f t="shared" si="33"/>
        <v>4672</v>
      </c>
    </row>
    <row r="772" spans="3:8">
      <c r="C772" s="632" t="s">
        <v>861</v>
      </c>
      <c r="D772" s="164"/>
      <c r="E772" s="165"/>
      <c r="F772" s="165"/>
      <c r="G772" s="631" t="s">
        <v>805</v>
      </c>
      <c r="H772" s="719"/>
    </row>
    <row r="773" spans="3:8">
      <c r="C773" s="632" t="s">
        <v>701</v>
      </c>
      <c r="D773" s="164"/>
      <c r="E773" s="165"/>
      <c r="F773" s="165"/>
      <c r="G773" s="631" t="s">
        <v>805</v>
      </c>
      <c r="H773" s="719"/>
    </row>
    <row r="774" spans="3:8" ht="16.5">
      <c r="C774" s="163"/>
      <c r="D774" s="164"/>
      <c r="E774" s="165"/>
      <c r="F774" s="165"/>
      <c r="G774" s="166" t="s">
        <v>805</v>
      </c>
      <c r="H774" s="719"/>
    </row>
    <row r="775" spans="3:8">
      <c r="C775" s="628" t="s">
        <v>1429</v>
      </c>
      <c r="D775" s="164" t="s">
        <v>103</v>
      </c>
      <c r="E775" s="165">
        <v>741012</v>
      </c>
      <c r="F775" s="165"/>
      <c r="G775" s="631">
        <v>9100</v>
      </c>
      <c r="H775" s="719">
        <f t="shared" si="33"/>
        <v>5824</v>
      </c>
    </row>
    <row r="776" spans="3:8">
      <c r="C776" s="632" t="s">
        <v>704</v>
      </c>
      <c r="D776" s="164" t="s">
        <v>807</v>
      </c>
      <c r="E776" s="165">
        <v>741014</v>
      </c>
      <c r="F776" s="165"/>
      <c r="G776" s="631">
        <v>9100</v>
      </c>
      <c r="H776" s="719">
        <f t="shared" si="33"/>
        <v>5824</v>
      </c>
    </row>
    <row r="777" spans="3:8">
      <c r="C777" s="632" t="s">
        <v>705</v>
      </c>
      <c r="D777" s="164" t="s">
        <v>812</v>
      </c>
      <c r="E777" s="165">
        <v>741016</v>
      </c>
      <c r="F777" s="165"/>
      <c r="G777" s="631">
        <v>9100</v>
      </c>
      <c r="H777" s="719">
        <f t="shared" si="33"/>
        <v>5824</v>
      </c>
    </row>
    <row r="778" spans="3:8">
      <c r="C778" s="628"/>
      <c r="D778" s="164" t="s">
        <v>808</v>
      </c>
      <c r="E778" s="165">
        <v>741017</v>
      </c>
      <c r="F778" s="165"/>
      <c r="G778" s="631">
        <v>9100</v>
      </c>
      <c r="H778" s="719">
        <f t="shared" si="33"/>
        <v>5824</v>
      </c>
    </row>
    <row r="779" spans="3:8">
      <c r="C779" s="628"/>
      <c r="D779" s="164" t="s">
        <v>151</v>
      </c>
      <c r="E779" s="165">
        <v>741018</v>
      </c>
      <c r="F779" s="165"/>
      <c r="G779" s="631">
        <v>9100</v>
      </c>
      <c r="H779" s="719">
        <f t="shared" si="33"/>
        <v>5824</v>
      </c>
    </row>
    <row r="780" spans="3:8">
      <c r="C780" s="628"/>
      <c r="D780" s="164" t="s">
        <v>810</v>
      </c>
      <c r="E780" s="165">
        <v>741019</v>
      </c>
      <c r="F780" s="165"/>
      <c r="G780" s="631">
        <v>9100</v>
      </c>
      <c r="H780" s="719">
        <f t="shared" si="33"/>
        <v>5824</v>
      </c>
    </row>
    <row r="781" spans="3:8" ht="16.5">
      <c r="C781" s="163"/>
      <c r="D781" s="164"/>
      <c r="E781" s="165"/>
      <c r="F781" s="165"/>
      <c r="G781" s="166" t="s">
        <v>805</v>
      </c>
      <c r="H781" s="719"/>
    </row>
    <row r="782" spans="3:8">
      <c r="C782" s="628" t="s">
        <v>1430</v>
      </c>
      <c r="D782" s="164" t="s">
        <v>103</v>
      </c>
      <c r="E782" s="165">
        <v>741042</v>
      </c>
      <c r="F782" s="165"/>
      <c r="G782" s="631">
        <v>4200</v>
      </c>
      <c r="H782" s="719">
        <f t="shared" si="33"/>
        <v>2688</v>
      </c>
    </row>
    <row r="783" spans="3:8">
      <c r="C783" s="628" t="s">
        <v>863</v>
      </c>
      <c r="D783" s="164" t="s">
        <v>807</v>
      </c>
      <c r="E783" s="165">
        <v>741044</v>
      </c>
      <c r="F783" s="165"/>
      <c r="G783" s="631">
        <v>4200</v>
      </c>
      <c r="H783" s="719">
        <f t="shared" si="33"/>
        <v>2688</v>
      </c>
    </row>
    <row r="784" spans="3:8">
      <c r="C784" s="628"/>
      <c r="D784" s="164" t="s">
        <v>812</v>
      </c>
      <c r="E784" s="165">
        <v>741046</v>
      </c>
      <c r="F784" s="165"/>
      <c r="G784" s="631">
        <v>4200</v>
      </c>
      <c r="H784" s="719">
        <f t="shared" si="33"/>
        <v>2688</v>
      </c>
    </row>
    <row r="785" spans="3:8">
      <c r="C785" s="628"/>
      <c r="D785" s="164" t="s">
        <v>808</v>
      </c>
      <c r="E785" s="165">
        <v>741047</v>
      </c>
      <c r="F785" s="165"/>
      <c r="G785" s="631">
        <v>4200</v>
      </c>
      <c r="H785" s="719">
        <f t="shared" si="33"/>
        <v>2688</v>
      </c>
    </row>
    <row r="786" spans="3:8">
      <c r="C786" s="628"/>
      <c r="D786" s="164" t="s">
        <v>151</v>
      </c>
      <c r="E786" s="165">
        <v>741048</v>
      </c>
      <c r="F786" s="165"/>
      <c r="G786" s="631">
        <v>4200</v>
      </c>
      <c r="H786" s="719">
        <f t="shared" si="33"/>
        <v>2688</v>
      </c>
    </row>
    <row r="787" spans="3:8">
      <c r="C787" s="628"/>
      <c r="D787" s="164" t="s">
        <v>810</v>
      </c>
      <c r="E787" s="165">
        <v>741049</v>
      </c>
      <c r="F787" s="165"/>
      <c r="G787" s="631">
        <v>4200</v>
      </c>
      <c r="H787" s="719">
        <f t="shared" si="33"/>
        <v>2688</v>
      </c>
    </row>
    <row r="788" spans="3:8" ht="16.5">
      <c r="C788" s="163"/>
      <c r="D788" s="164"/>
      <c r="E788" s="165"/>
      <c r="F788" s="165"/>
      <c r="G788" s="166" t="s">
        <v>805</v>
      </c>
      <c r="H788" s="719"/>
    </row>
    <row r="789" spans="3:8">
      <c r="C789" s="628" t="s">
        <v>1431</v>
      </c>
      <c r="D789" s="164" t="s">
        <v>103</v>
      </c>
      <c r="E789" s="165">
        <v>742412</v>
      </c>
      <c r="F789" s="165"/>
      <c r="G789" s="631">
        <v>4200</v>
      </c>
      <c r="H789" s="719">
        <f t="shared" si="33"/>
        <v>2688</v>
      </c>
    </row>
    <row r="790" spans="3:8">
      <c r="C790" s="628" t="s">
        <v>863</v>
      </c>
      <c r="D790" s="164" t="s">
        <v>807</v>
      </c>
      <c r="E790" s="165">
        <v>742414</v>
      </c>
      <c r="F790" s="165"/>
      <c r="G790" s="631">
        <v>4200</v>
      </c>
      <c r="H790" s="719">
        <f t="shared" si="33"/>
        <v>2688</v>
      </c>
    </row>
    <row r="791" spans="3:8">
      <c r="C791" s="628"/>
      <c r="D791" s="164" t="s">
        <v>812</v>
      </c>
      <c r="E791" s="165">
        <v>742416</v>
      </c>
      <c r="F791" s="165"/>
      <c r="G791" s="631">
        <v>4200</v>
      </c>
      <c r="H791" s="719">
        <f t="shared" si="33"/>
        <v>2688</v>
      </c>
    </row>
    <row r="792" spans="3:8">
      <c r="C792" s="628"/>
      <c r="D792" s="164" t="s">
        <v>808</v>
      </c>
      <c r="E792" s="165">
        <v>742417</v>
      </c>
      <c r="F792" s="165"/>
      <c r="G792" s="631">
        <v>4200</v>
      </c>
      <c r="H792" s="719">
        <f t="shared" si="33"/>
        <v>2688</v>
      </c>
    </row>
    <row r="793" spans="3:8">
      <c r="C793" s="628"/>
      <c r="D793" s="164" t="s">
        <v>151</v>
      </c>
      <c r="E793" s="165">
        <v>742418</v>
      </c>
      <c r="F793" s="165"/>
      <c r="G793" s="631">
        <v>4200</v>
      </c>
      <c r="H793" s="719">
        <f t="shared" si="33"/>
        <v>2688</v>
      </c>
    </row>
    <row r="794" spans="3:8">
      <c r="C794" s="628"/>
      <c r="D794" s="164" t="s">
        <v>810</v>
      </c>
      <c r="E794" s="165">
        <v>742419</v>
      </c>
      <c r="F794" s="165"/>
      <c r="G794" s="631">
        <v>4200</v>
      </c>
      <c r="H794" s="719">
        <f t="shared" si="33"/>
        <v>2688</v>
      </c>
    </row>
    <row r="795" spans="3:8" ht="16.5">
      <c r="C795" s="163"/>
      <c r="D795" s="164"/>
      <c r="E795" s="165"/>
      <c r="F795" s="165"/>
      <c r="G795" s="166" t="s">
        <v>805</v>
      </c>
      <c r="H795" s="719"/>
    </row>
    <row r="796" spans="3:8">
      <c r="C796" s="628" t="s">
        <v>706</v>
      </c>
      <c r="D796" s="634" t="s">
        <v>470</v>
      </c>
      <c r="E796" s="636">
        <v>740292</v>
      </c>
      <c r="F796" s="636"/>
      <c r="G796" s="631">
        <v>3400</v>
      </c>
      <c r="H796" s="719">
        <f t="shared" si="33"/>
        <v>2176</v>
      </c>
    </row>
    <row r="797" spans="3:8">
      <c r="C797" s="632" t="s">
        <v>707</v>
      </c>
      <c r="D797" s="634" t="s">
        <v>543</v>
      </c>
      <c r="E797" s="636">
        <v>740294</v>
      </c>
      <c r="F797" s="636"/>
      <c r="G797" s="631">
        <v>3400</v>
      </c>
      <c r="H797" s="719">
        <f t="shared" si="33"/>
        <v>2176</v>
      </c>
    </row>
    <row r="798" spans="3:8">
      <c r="C798" s="632" t="s">
        <v>862</v>
      </c>
      <c r="D798" s="634" t="s">
        <v>501</v>
      </c>
      <c r="E798" s="636">
        <v>740296</v>
      </c>
      <c r="F798" s="636"/>
      <c r="G798" s="631">
        <v>3400</v>
      </c>
      <c r="H798" s="719">
        <f t="shared" si="33"/>
        <v>2176</v>
      </c>
    </row>
    <row r="799" spans="3:8">
      <c r="C799" s="632" t="s">
        <v>708</v>
      </c>
      <c r="D799" s="634" t="s">
        <v>538</v>
      </c>
      <c r="E799" s="636">
        <v>740297</v>
      </c>
      <c r="F799" s="636"/>
      <c r="G799" s="631">
        <v>3400</v>
      </c>
      <c r="H799" s="719">
        <f t="shared" si="33"/>
        <v>2176</v>
      </c>
    </row>
    <row r="800" spans="3:8">
      <c r="C800" s="632" t="s">
        <v>709</v>
      </c>
      <c r="D800" s="634" t="s">
        <v>512</v>
      </c>
      <c r="E800" s="636">
        <v>740298</v>
      </c>
      <c r="F800" s="636"/>
      <c r="G800" s="631">
        <v>3400</v>
      </c>
      <c r="H800" s="719">
        <f t="shared" si="33"/>
        <v>2176</v>
      </c>
    </row>
    <row r="801" spans="3:8">
      <c r="C801" s="637"/>
      <c r="D801" s="634" t="s">
        <v>539</v>
      </c>
      <c r="E801" s="636">
        <v>740299</v>
      </c>
      <c r="F801" s="637"/>
      <c r="G801" s="631">
        <v>3400</v>
      </c>
      <c r="H801" s="719">
        <f t="shared" si="33"/>
        <v>2176</v>
      </c>
    </row>
    <row r="802" spans="3:8" ht="16.5">
      <c r="C802" s="163"/>
      <c r="D802" s="164"/>
      <c r="E802" s="165"/>
      <c r="F802" s="165"/>
      <c r="G802" s="166" t="s">
        <v>805</v>
      </c>
      <c r="H802" s="719"/>
    </row>
    <row r="803" spans="3:8">
      <c r="C803" s="628" t="s">
        <v>710</v>
      </c>
      <c r="D803" s="164" t="s">
        <v>103</v>
      </c>
      <c r="E803" s="165">
        <v>741020</v>
      </c>
      <c r="F803" s="165"/>
      <c r="G803" s="631">
        <v>4600</v>
      </c>
      <c r="H803" s="719">
        <f t="shared" si="33"/>
        <v>2944</v>
      </c>
    </row>
    <row r="804" spans="3:8">
      <c r="C804" s="632" t="s">
        <v>864</v>
      </c>
      <c r="D804" s="164"/>
      <c r="E804" s="165"/>
      <c r="F804" s="165"/>
      <c r="G804" s="631"/>
      <c r="H804" s="719"/>
    </row>
    <row r="805" spans="3:8">
      <c r="C805" s="632" t="s">
        <v>711</v>
      </c>
      <c r="D805" s="164"/>
      <c r="E805" s="165"/>
      <c r="F805" s="165"/>
      <c r="G805" s="631"/>
      <c r="H805" s="719"/>
    </row>
    <row r="806" spans="3:8" ht="16.5">
      <c r="C806" s="163"/>
      <c r="D806" s="164"/>
      <c r="E806" s="165"/>
      <c r="F806" s="165"/>
      <c r="G806" s="166" t="s">
        <v>805</v>
      </c>
      <c r="H806" s="660"/>
    </row>
    <row r="807" spans="3:8" ht="16.5">
      <c r="C807" s="1761" t="s">
        <v>712</v>
      </c>
      <c r="D807" s="1186"/>
      <c r="E807" s="1186"/>
      <c r="F807" s="1186"/>
      <c r="G807" s="1186" t="s">
        <v>499</v>
      </c>
      <c r="H807" s="1749"/>
    </row>
    <row r="808" spans="3:8">
      <c r="C808" s="692" t="s">
        <v>713</v>
      </c>
      <c r="D808" s="690" t="s">
        <v>103</v>
      </c>
      <c r="E808" s="691">
        <v>74092</v>
      </c>
      <c r="F808" s="691" t="s">
        <v>499</v>
      </c>
      <c r="G808" s="631">
        <v>1800</v>
      </c>
      <c r="H808" s="719">
        <f>G808-(G808*$H$9)</f>
        <v>1152</v>
      </c>
    </row>
    <row r="809" spans="3:8">
      <c r="C809" s="686" t="s">
        <v>714</v>
      </c>
      <c r="D809" s="690" t="s">
        <v>543</v>
      </c>
      <c r="E809" s="691">
        <v>74094</v>
      </c>
      <c r="F809" s="691" t="s">
        <v>499</v>
      </c>
      <c r="G809" s="631">
        <v>1800</v>
      </c>
      <c r="H809" s="719">
        <f t="shared" ref="H809:H822" si="34">G809-(G809*$H$9)</f>
        <v>1152</v>
      </c>
    </row>
    <row r="810" spans="3:8">
      <c r="C810" s="686" t="s">
        <v>715</v>
      </c>
      <c r="D810" s="690" t="s">
        <v>501</v>
      </c>
      <c r="E810" s="691">
        <v>74096</v>
      </c>
      <c r="F810" s="691"/>
      <c r="G810" s="631">
        <v>1800</v>
      </c>
      <c r="H810" s="719">
        <f t="shared" si="34"/>
        <v>1152</v>
      </c>
    </row>
    <row r="811" spans="3:8">
      <c r="C811" s="686" t="s">
        <v>716</v>
      </c>
      <c r="D811" s="690" t="s">
        <v>538</v>
      </c>
      <c r="E811" s="691">
        <v>74097</v>
      </c>
      <c r="F811" s="691" t="s">
        <v>499</v>
      </c>
      <c r="G811" s="631">
        <v>1800</v>
      </c>
      <c r="H811" s="719">
        <f t="shared" si="34"/>
        <v>1152</v>
      </c>
    </row>
    <row r="812" spans="3:8">
      <c r="C812" s="686" t="s">
        <v>717</v>
      </c>
      <c r="D812" s="690" t="s">
        <v>512</v>
      </c>
      <c r="E812" s="691">
        <v>74098</v>
      </c>
      <c r="F812" s="691"/>
      <c r="G812" s="631">
        <v>1800</v>
      </c>
      <c r="H812" s="719">
        <f t="shared" si="34"/>
        <v>1152</v>
      </c>
    </row>
    <row r="813" spans="3:8">
      <c r="C813" s="686" t="s">
        <v>718</v>
      </c>
      <c r="D813" s="690" t="s">
        <v>539</v>
      </c>
      <c r="E813" s="691">
        <v>74099</v>
      </c>
      <c r="F813" s="691"/>
      <c r="G813" s="631">
        <v>1800</v>
      </c>
      <c r="H813" s="719">
        <f t="shared" si="34"/>
        <v>1152</v>
      </c>
    </row>
    <row r="814" spans="3:8" ht="16.5">
      <c r="C814" s="163"/>
      <c r="D814" s="164"/>
      <c r="E814" s="165"/>
      <c r="F814" s="165"/>
      <c r="G814" s="166" t="s">
        <v>805</v>
      </c>
      <c r="H814" s="719"/>
    </row>
    <row r="815" spans="3:8">
      <c r="C815" s="692" t="s">
        <v>719</v>
      </c>
      <c r="D815" s="690" t="s">
        <v>103</v>
      </c>
      <c r="E815" s="691">
        <v>741002</v>
      </c>
      <c r="F815" s="691"/>
      <c r="G815" s="631">
        <v>2800</v>
      </c>
      <c r="H815" s="719">
        <f t="shared" si="34"/>
        <v>1792</v>
      </c>
    </row>
    <row r="816" spans="3:8">
      <c r="C816" s="686" t="s">
        <v>720</v>
      </c>
      <c r="D816" s="690" t="s">
        <v>543</v>
      </c>
      <c r="E816" s="691">
        <v>741004</v>
      </c>
      <c r="F816" s="691"/>
      <c r="G816" s="631">
        <v>2800</v>
      </c>
      <c r="H816" s="719">
        <f t="shared" si="34"/>
        <v>1792</v>
      </c>
    </row>
    <row r="817" spans="3:8">
      <c r="C817" s="686" t="s">
        <v>721</v>
      </c>
      <c r="D817" s="690" t="s">
        <v>501</v>
      </c>
      <c r="E817" s="691">
        <v>741006</v>
      </c>
      <c r="F817" s="691"/>
      <c r="G817" s="631">
        <v>2800</v>
      </c>
      <c r="H817" s="719">
        <f t="shared" si="34"/>
        <v>1792</v>
      </c>
    </row>
    <row r="818" spans="3:8">
      <c r="C818" s="706" t="s">
        <v>722</v>
      </c>
      <c r="D818" s="690" t="s">
        <v>538</v>
      </c>
      <c r="E818" s="691">
        <v>741007</v>
      </c>
      <c r="F818" s="691"/>
      <c r="G818" s="631">
        <v>2800</v>
      </c>
      <c r="H818" s="719">
        <f t="shared" si="34"/>
        <v>1792</v>
      </c>
    </row>
    <row r="819" spans="3:8">
      <c r="C819" s="686" t="s">
        <v>717</v>
      </c>
      <c r="D819" s="690" t="s">
        <v>512</v>
      </c>
      <c r="E819" s="691">
        <v>741008</v>
      </c>
      <c r="F819" s="691"/>
      <c r="G819" s="631">
        <v>2800</v>
      </c>
      <c r="H819" s="719">
        <f t="shared" si="34"/>
        <v>1792</v>
      </c>
    </row>
    <row r="820" spans="3:8">
      <c r="C820" s="686" t="s">
        <v>718</v>
      </c>
      <c r="D820" s="690" t="s">
        <v>539</v>
      </c>
      <c r="E820" s="691">
        <v>741009</v>
      </c>
      <c r="F820" s="691"/>
      <c r="G820" s="631">
        <v>2800</v>
      </c>
      <c r="H820" s="719">
        <f t="shared" si="34"/>
        <v>1792</v>
      </c>
    </row>
    <row r="821" spans="3:8" ht="16.5">
      <c r="C821" s="163"/>
      <c r="D821" s="164"/>
      <c r="E821" s="165"/>
      <c r="F821" s="165"/>
      <c r="G821" s="166" t="s">
        <v>805</v>
      </c>
      <c r="H821" s="719"/>
    </row>
    <row r="822" spans="3:8">
      <c r="C822" s="633" t="s">
        <v>865</v>
      </c>
      <c r="D822" s="634" t="s">
        <v>103</v>
      </c>
      <c r="E822" s="636">
        <v>740896</v>
      </c>
      <c r="F822" s="636"/>
      <c r="G822" s="631">
        <v>3000</v>
      </c>
      <c r="H822" s="719">
        <f t="shared" si="34"/>
        <v>1920</v>
      </c>
    </row>
    <row r="823" spans="3:8">
      <c r="C823" s="686" t="s">
        <v>723</v>
      </c>
      <c r="D823" s="634"/>
      <c r="E823" s="636"/>
      <c r="F823" s="636"/>
      <c r="G823" s="631"/>
      <c r="H823" s="719"/>
    </row>
    <row r="824" spans="3:8">
      <c r="C824" s="632" t="s">
        <v>724</v>
      </c>
      <c r="D824" s="164"/>
      <c r="E824" s="165"/>
      <c r="F824" s="165"/>
      <c r="G824" s="631"/>
      <c r="H824" s="719"/>
    </row>
    <row r="825" spans="3:8" ht="16.5">
      <c r="C825" s="1761" t="s">
        <v>866</v>
      </c>
      <c r="D825" s="1186"/>
      <c r="E825" s="1186"/>
      <c r="F825" s="1186"/>
      <c r="G825" s="1186"/>
      <c r="H825" s="1749"/>
    </row>
    <row r="826" spans="3:8" ht="16.5">
      <c r="C826" s="163"/>
      <c r="D826" s="164"/>
      <c r="E826" s="165"/>
      <c r="F826" s="165"/>
      <c r="G826" s="166"/>
      <c r="H826" s="660"/>
    </row>
    <row r="827" spans="3:8" ht="15.75">
      <c r="C827" s="1758" t="s">
        <v>867</v>
      </c>
      <c r="D827" s="1759"/>
      <c r="E827" s="1759"/>
      <c r="F827" s="1759"/>
      <c r="G827" s="1759"/>
      <c r="H827" s="1760"/>
    </row>
    <row r="828" spans="3:8">
      <c r="C828" s="170" t="s">
        <v>868</v>
      </c>
      <c r="D828" s="179" t="s">
        <v>725</v>
      </c>
      <c r="E828" s="177">
        <v>71701</v>
      </c>
      <c r="F828" s="678"/>
      <c r="G828" s="173">
        <v>980</v>
      </c>
      <c r="H828" s="723">
        <f>G828-(G828*$H$5)</f>
        <v>715.4</v>
      </c>
    </row>
    <row r="829" spans="3:8">
      <c r="C829" s="170" t="s">
        <v>869</v>
      </c>
      <c r="D829" s="179" t="s">
        <v>726</v>
      </c>
      <c r="E829" s="177">
        <v>71702</v>
      </c>
      <c r="F829" s="678"/>
      <c r="G829" s="173">
        <v>1250</v>
      </c>
      <c r="H829" s="723">
        <f t="shared" ref="H829:H835" si="35">G829-(G829*$H$5)</f>
        <v>912.5</v>
      </c>
    </row>
    <row r="830" spans="3:8">
      <c r="C830" s="170" t="s">
        <v>870</v>
      </c>
      <c r="D830" s="179" t="s">
        <v>727</v>
      </c>
      <c r="E830" s="177">
        <v>71703</v>
      </c>
      <c r="F830" s="678"/>
      <c r="G830" s="173">
        <v>1350</v>
      </c>
      <c r="H830" s="723">
        <f t="shared" si="35"/>
        <v>985.5</v>
      </c>
    </row>
    <row r="831" spans="3:8">
      <c r="C831" s="170" t="s">
        <v>871</v>
      </c>
      <c r="D831" s="179" t="s">
        <v>727</v>
      </c>
      <c r="E831" s="177">
        <v>71753</v>
      </c>
      <c r="F831" s="678"/>
      <c r="G831" s="173">
        <v>1350</v>
      </c>
      <c r="H831" s="723">
        <f t="shared" si="35"/>
        <v>985.5</v>
      </c>
    </row>
    <row r="832" spans="3:8">
      <c r="C832" s="170" t="s">
        <v>872</v>
      </c>
      <c r="D832" s="179" t="s">
        <v>728</v>
      </c>
      <c r="E832" s="177">
        <v>71716</v>
      </c>
      <c r="F832" s="678"/>
      <c r="G832" s="173">
        <v>3600</v>
      </c>
      <c r="H832" s="723">
        <f t="shared" si="35"/>
        <v>2628</v>
      </c>
    </row>
    <row r="833" spans="3:8">
      <c r="C833" s="170" t="s">
        <v>873</v>
      </c>
      <c r="D833" s="179" t="s">
        <v>729</v>
      </c>
      <c r="E833" s="177">
        <v>71717</v>
      </c>
      <c r="F833" s="678"/>
      <c r="G833" s="173">
        <v>4000</v>
      </c>
      <c r="H833" s="723">
        <f t="shared" si="35"/>
        <v>2920</v>
      </c>
    </row>
    <row r="834" spans="3:8">
      <c r="C834" s="170" t="s">
        <v>874</v>
      </c>
      <c r="D834" s="179" t="s">
        <v>730</v>
      </c>
      <c r="E834" s="177">
        <v>71718</v>
      </c>
      <c r="F834" s="678"/>
      <c r="G834" s="173">
        <v>6000</v>
      </c>
      <c r="H834" s="723">
        <f t="shared" si="35"/>
        <v>4380</v>
      </c>
    </row>
    <row r="835" spans="3:8">
      <c r="C835" s="174" t="s">
        <v>875</v>
      </c>
      <c r="D835" s="180" t="s">
        <v>731</v>
      </c>
      <c r="E835" s="181">
        <v>71719</v>
      </c>
      <c r="F835" s="678"/>
      <c r="G835" s="173">
        <v>12000</v>
      </c>
      <c r="H835" s="723">
        <f t="shared" si="35"/>
        <v>8760</v>
      </c>
    </row>
    <row r="836" spans="3:8" ht="16.5">
      <c r="C836" s="163"/>
      <c r="D836" s="164"/>
      <c r="E836" s="165"/>
      <c r="F836" s="165"/>
      <c r="G836" s="166" t="s">
        <v>805</v>
      </c>
      <c r="H836" s="660"/>
    </row>
    <row r="837" spans="3:8" ht="15.75">
      <c r="C837" s="1758" t="s">
        <v>876</v>
      </c>
      <c r="D837" s="1759"/>
      <c r="E837" s="1759"/>
      <c r="F837" s="1759"/>
      <c r="G837" s="1759"/>
      <c r="H837" s="1760" t="s">
        <v>499</v>
      </c>
    </row>
    <row r="838" spans="3:8">
      <c r="C838" s="170" t="s">
        <v>877</v>
      </c>
      <c r="D838" s="179" t="s">
        <v>725</v>
      </c>
      <c r="E838" s="177">
        <v>71721</v>
      </c>
      <c r="F838" s="678"/>
      <c r="G838" s="173">
        <v>1600</v>
      </c>
      <c r="H838" s="723">
        <f>G838-(G838*$H$5)</f>
        <v>1168</v>
      </c>
    </row>
    <row r="839" spans="3:8">
      <c r="C839" s="170" t="s">
        <v>878</v>
      </c>
      <c r="D839" s="179" t="s">
        <v>726</v>
      </c>
      <c r="E839" s="177">
        <v>71722</v>
      </c>
      <c r="F839" s="678"/>
      <c r="G839" s="173">
        <v>2000</v>
      </c>
      <c r="H839" s="723">
        <f t="shared" ref="H839:H844" si="36">G839-(G839*$H$5)</f>
        <v>1460</v>
      </c>
    </row>
    <row r="840" spans="3:8">
      <c r="C840" s="170" t="s">
        <v>879</v>
      </c>
      <c r="D840" s="179" t="s">
        <v>727</v>
      </c>
      <c r="E840" s="177">
        <v>71723</v>
      </c>
      <c r="F840" s="678"/>
      <c r="G840" s="173">
        <v>2300</v>
      </c>
      <c r="H840" s="723">
        <f t="shared" si="36"/>
        <v>1679</v>
      </c>
    </row>
    <row r="841" spans="3:8">
      <c r="C841" s="170" t="s">
        <v>880</v>
      </c>
      <c r="D841" s="179" t="s">
        <v>727</v>
      </c>
      <c r="E841" s="177">
        <v>71773</v>
      </c>
      <c r="F841" s="678"/>
      <c r="G841" s="173">
        <v>2300</v>
      </c>
      <c r="H841" s="723">
        <f t="shared" si="36"/>
        <v>1679</v>
      </c>
    </row>
    <row r="842" spans="3:8">
      <c r="C842" s="170" t="s">
        <v>881</v>
      </c>
      <c r="D842" s="179" t="s">
        <v>728</v>
      </c>
      <c r="E842" s="177">
        <v>71726</v>
      </c>
      <c r="F842" s="678"/>
      <c r="G842" s="173">
        <v>6000</v>
      </c>
      <c r="H842" s="723">
        <f t="shared" si="36"/>
        <v>4380</v>
      </c>
    </row>
    <row r="843" spans="3:8">
      <c r="C843" s="170" t="s">
        <v>882</v>
      </c>
      <c r="D843" s="179" t="s">
        <v>729</v>
      </c>
      <c r="E843" s="177">
        <v>71727</v>
      </c>
      <c r="F843" s="678"/>
      <c r="G843" s="173">
        <v>7600</v>
      </c>
      <c r="H843" s="723">
        <f t="shared" si="36"/>
        <v>5548</v>
      </c>
    </row>
    <row r="844" spans="3:8">
      <c r="C844" s="170" t="s">
        <v>883</v>
      </c>
      <c r="D844" s="179" t="s">
        <v>730</v>
      </c>
      <c r="E844" s="177">
        <v>71728</v>
      </c>
      <c r="F844" s="678"/>
      <c r="G844" s="173">
        <v>11000</v>
      </c>
      <c r="H844" s="723">
        <f t="shared" si="36"/>
        <v>8030</v>
      </c>
    </row>
    <row r="845" spans="3:8" ht="16.5">
      <c r="C845" s="163"/>
      <c r="D845" s="164"/>
      <c r="E845" s="165"/>
      <c r="F845" s="165"/>
      <c r="G845" s="166" t="s">
        <v>805</v>
      </c>
      <c r="H845" s="660"/>
    </row>
    <row r="846" spans="3:8" ht="15.75">
      <c r="C846" s="1758" t="s">
        <v>732</v>
      </c>
      <c r="D846" s="1759"/>
      <c r="E846" s="1759"/>
      <c r="F846" s="1759"/>
      <c r="G846" s="1759"/>
      <c r="H846" s="1760" t="s">
        <v>499</v>
      </c>
    </row>
    <row r="847" spans="3:8">
      <c r="C847" s="174" t="s">
        <v>884</v>
      </c>
      <c r="D847" s="180" t="s">
        <v>733</v>
      </c>
      <c r="E847" s="181">
        <v>71742</v>
      </c>
      <c r="F847" s="678"/>
      <c r="G847" s="173">
        <v>3000</v>
      </c>
      <c r="H847" s="723">
        <f>G847-(G847*$H$5)</f>
        <v>2190</v>
      </c>
    </row>
    <row r="848" spans="3:8">
      <c r="C848" s="174" t="s">
        <v>885</v>
      </c>
      <c r="D848" s="180" t="s">
        <v>734</v>
      </c>
      <c r="E848" s="181">
        <v>71744</v>
      </c>
      <c r="F848" s="678"/>
      <c r="G848" s="173">
        <v>5000</v>
      </c>
      <c r="H848" s="723">
        <f>G848-(G848*$H$5)</f>
        <v>3650</v>
      </c>
    </row>
    <row r="849" spans="3:8" ht="16.5">
      <c r="C849" s="163"/>
      <c r="D849" s="164"/>
      <c r="E849" s="165"/>
      <c r="F849" s="165"/>
      <c r="G849" s="166" t="s">
        <v>805</v>
      </c>
      <c r="H849" s="660"/>
    </row>
    <row r="850" spans="3:8" ht="16.5">
      <c r="C850" s="1761" t="s">
        <v>735</v>
      </c>
      <c r="D850" s="1186"/>
      <c r="E850" s="1186"/>
      <c r="F850" s="1186"/>
      <c r="G850" s="1186"/>
      <c r="H850" s="1749"/>
    </row>
    <row r="851" spans="3:8" ht="16.5">
      <c r="C851" s="163"/>
      <c r="D851" s="164"/>
      <c r="E851" s="165"/>
      <c r="F851" s="165"/>
      <c r="G851" s="166" t="s">
        <v>805</v>
      </c>
      <c r="H851" s="660"/>
    </row>
    <row r="852" spans="3:8">
      <c r="C852" s="641" t="s">
        <v>736</v>
      </c>
      <c r="D852" s="164" t="s">
        <v>331</v>
      </c>
      <c r="E852" s="165">
        <v>793320</v>
      </c>
      <c r="F852" s="643"/>
      <c r="G852" s="631">
        <v>590</v>
      </c>
      <c r="H852" s="723">
        <f>G852-(G852*$H$5)</f>
        <v>430.7</v>
      </c>
    </row>
    <row r="853" spans="3:8">
      <c r="C853" s="707" t="s">
        <v>737</v>
      </c>
      <c r="D853" s="164" t="s">
        <v>738</v>
      </c>
      <c r="E853" s="165">
        <v>793321</v>
      </c>
      <c r="F853" s="643"/>
      <c r="G853" s="631">
        <v>590</v>
      </c>
      <c r="H853" s="723">
        <f t="shared" ref="H853:H868" si="37">G853-(G853*$H$5)</f>
        <v>430.7</v>
      </c>
    </row>
    <row r="854" spans="3:8">
      <c r="C854" s="707" t="s">
        <v>739</v>
      </c>
      <c r="D854" s="164" t="s">
        <v>502</v>
      </c>
      <c r="E854" s="165">
        <v>793323</v>
      </c>
      <c r="F854" s="643"/>
      <c r="G854" s="631">
        <v>590</v>
      </c>
      <c r="H854" s="723">
        <f t="shared" si="37"/>
        <v>430.7</v>
      </c>
    </row>
    <row r="855" spans="3:8">
      <c r="C855" s="707" t="s">
        <v>740</v>
      </c>
      <c r="D855" s="164" t="s">
        <v>149</v>
      </c>
      <c r="E855" s="165">
        <v>793327</v>
      </c>
      <c r="F855" s="643"/>
      <c r="G855" s="631">
        <v>590</v>
      </c>
      <c r="H855" s="723">
        <f t="shared" si="37"/>
        <v>430.7</v>
      </c>
    </row>
    <row r="856" spans="3:8">
      <c r="C856" s="707" t="s">
        <v>741</v>
      </c>
      <c r="D856" s="164" t="s">
        <v>151</v>
      </c>
      <c r="E856" s="165">
        <v>793328</v>
      </c>
      <c r="F856" s="643"/>
      <c r="G856" s="631">
        <v>590</v>
      </c>
      <c r="H856" s="723">
        <f t="shared" si="37"/>
        <v>430.7</v>
      </c>
    </row>
    <row r="857" spans="3:8" ht="16.5">
      <c r="C857" s="163"/>
      <c r="D857" s="164"/>
      <c r="E857" s="165"/>
      <c r="F857" s="165"/>
      <c r="G857" s="166" t="s">
        <v>805</v>
      </c>
      <c r="H857" s="723"/>
    </row>
    <row r="858" spans="3:8">
      <c r="C858" s="641" t="s">
        <v>742</v>
      </c>
      <c r="D858" s="164" t="s">
        <v>331</v>
      </c>
      <c r="E858" s="165">
        <v>793330</v>
      </c>
      <c r="F858" s="643"/>
      <c r="G858" s="631">
        <v>1250</v>
      </c>
      <c r="H858" s="723">
        <f t="shared" si="37"/>
        <v>912.5</v>
      </c>
    </row>
    <row r="859" spans="3:8">
      <c r="C859" s="707" t="s">
        <v>737</v>
      </c>
      <c r="D859" s="164" t="s">
        <v>738</v>
      </c>
      <c r="E859" s="165">
        <v>793331</v>
      </c>
      <c r="F859" s="643"/>
      <c r="G859" s="631">
        <v>1250</v>
      </c>
      <c r="H859" s="723">
        <f t="shared" si="37"/>
        <v>912.5</v>
      </c>
    </row>
    <row r="860" spans="3:8">
      <c r="C860" s="707" t="s">
        <v>739</v>
      </c>
      <c r="D860" s="164" t="s">
        <v>502</v>
      </c>
      <c r="E860" s="165">
        <v>793333</v>
      </c>
      <c r="F860" s="643"/>
      <c r="G860" s="631">
        <v>1250</v>
      </c>
      <c r="H860" s="723">
        <f t="shared" si="37"/>
        <v>912.5</v>
      </c>
    </row>
    <row r="861" spans="3:8">
      <c r="C861" s="707" t="s">
        <v>740</v>
      </c>
      <c r="D861" s="164" t="s">
        <v>149</v>
      </c>
      <c r="E861" s="165">
        <v>793337</v>
      </c>
      <c r="F861" s="643"/>
      <c r="G861" s="631">
        <v>1250</v>
      </c>
      <c r="H861" s="723">
        <f t="shared" si="37"/>
        <v>912.5</v>
      </c>
    </row>
    <row r="862" spans="3:8">
      <c r="C862" s="707" t="s">
        <v>741</v>
      </c>
      <c r="D862" s="164" t="s">
        <v>151</v>
      </c>
      <c r="E862" s="165">
        <v>793338</v>
      </c>
      <c r="F862" s="643"/>
      <c r="G862" s="631">
        <v>1250</v>
      </c>
      <c r="H862" s="723">
        <f t="shared" si="37"/>
        <v>912.5</v>
      </c>
    </row>
    <row r="863" spans="3:8" ht="16.5">
      <c r="C863" s="163"/>
      <c r="D863" s="164"/>
      <c r="E863" s="165"/>
      <c r="F863" s="165"/>
      <c r="G863" s="166" t="s">
        <v>805</v>
      </c>
      <c r="H863" s="723"/>
    </row>
    <row r="864" spans="3:8">
      <c r="C864" s="641" t="s">
        <v>743</v>
      </c>
      <c r="D864" s="164" t="s">
        <v>331</v>
      </c>
      <c r="E864" s="165">
        <v>793340</v>
      </c>
      <c r="F864" s="643"/>
      <c r="G864" s="631">
        <v>3100</v>
      </c>
      <c r="H864" s="723">
        <f t="shared" si="37"/>
        <v>2263</v>
      </c>
    </row>
    <row r="865" spans="3:8">
      <c r="C865" s="707" t="s">
        <v>737</v>
      </c>
      <c r="D865" s="164" t="s">
        <v>738</v>
      </c>
      <c r="E865" s="165">
        <v>793341</v>
      </c>
      <c r="F865" s="643"/>
      <c r="G865" s="631">
        <v>3100</v>
      </c>
      <c r="H865" s="723">
        <f t="shared" si="37"/>
        <v>2263</v>
      </c>
    </row>
    <row r="866" spans="3:8">
      <c r="C866" s="707" t="s">
        <v>739</v>
      </c>
      <c r="D866" s="164" t="s">
        <v>502</v>
      </c>
      <c r="E866" s="165">
        <v>793343</v>
      </c>
      <c r="F866" s="643"/>
      <c r="G866" s="631">
        <v>3100</v>
      </c>
      <c r="H866" s="723">
        <f t="shared" si="37"/>
        <v>2263</v>
      </c>
    </row>
    <row r="867" spans="3:8">
      <c r="C867" s="707" t="s">
        <v>740</v>
      </c>
      <c r="D867" s="164" t="s">
        <v>149</v>
      </c>
      <c r="E867" s="165">
        <v>793347</v>
      </c>
      <c r="F867" s="643"/>
      <c r="G867" s="631">
        <v>3100</v>
      </c>
      <c r="H867" s="723">
        <f t="shared" si="37"/>
        <v>2263</v>
      </c>
    </row>
    <row r="868" spans="3:8">
      <c r="C868" s="707" t="s">
        <v>741</v>
      </c>
      <c r="D868" s="164" t="s">
        <v>151</v>
      </c>
      <c r="E868" s="165">
        <v>793348</v>
      </c>
      <c r="F868" s="643"/>
      <c r="G868" s="631">
        <v>3100</v>
      </c>
      <c r="H868" s="723">
        <f t="shared" si="37"/>
        <v>2263</v>
      </c>
    </row>
    <row r="869" spans="3:8" ht="16.5">
      <c r="C869" s="163"/>
      <c r="D869" s="164"/>
      <c r="E869" s="165"/>
      <c r="F869" s="165"/>
      <c r="G869" s="166" t="s">
        <v>805</v>
      </c>
      <c r="H869" s="660"/>
    </row>
    <row r="870" spans="3:8" ht="15.75">
      <c r="C870" s="1758" t="s">
        <v>1432</v>
      </c>
      <c r="D870" s="1759"/>
      <c r="E870" s="1759"/>
      <c r="F870" s="1759"/>
      <c r="G870" s="1759"/>
      <c r="H870" s="1760"/>
    </row>
    <row r="871" spans="3:8">
      <c r="C871" s="656" t="s">
        <v>744</v>
      </c>
      <c r="D871" s="164" t="s">
        <v>502</v>
      </c>
      <c r="E871" s="165">
        <v>793352</v>
      </c>
      <c r="F871" s="643"/>
      <c r="G871" s="631">
        <v>270</v>
      </c>
      <c r="H871" s="723">
        <f>G871-(G871*$H$5)</f>
        <v>197.1</v>
      </c>
    </row>
    <row r="872" spans="3:8">
      <c r="C872" s="656" t="s">
        <v>745</v>
      </c>
      <c r="D872" s="164" t="s">
        <v>502</v>
      </c>
      <c r="E872" s="165">
        <v>793353</v>
      </c>
      <c r="F872" s="643"/>
      <c r="G872" s="631">
        <v>310</v>
      </c>
      <c r="H872" s="723">
        <f t="shared" ref="H872:H882" si="38">G872-(G872*$H$5)</f>
        <v>226.3</v>
      </c>
    </row>
    <row r="873" spans="3:8">
      <c r="C873" s="708" t="s">
        <v>746</v>
      </c>
      <c r="D873" s="164"/>
      <c r="E873" s="165"/>
      <c r="F873" s="165"/>
      <c r="G873" s="165" t="s">
        <v>805</v>
      </c>
      <c r="H873" s="723"/>
    </row>
    <row r="874" spans="3:8" ht="16.5">
      <c r="C874" s="163"/>
      <c r="D874" s="164"/>
      <c r="E874" s="165"/>
      <c r="F874" s="165"/>
      <c r="G874" s="166" t="s">
        <v>805</v>
      </c>
      <c r="H874" s="723"/>
    </row>
    <row r="875" spans="3:8">
      <c r="C875" s="656" t="s">
        <v>747</v>
      </c>
      <c r="D875" s="164" t="s">
        <v>502</v>
      </c>
      <c r="E875" s="165">
        <v>793354</v>
      </c>
      <c r="F875" s="643"/>
      <c r="G875" s="631">
        <v>370</v>
      </c>
      <c r="H875" s="723">
        <f t="shared" si="38"/>
        <v>270.10000000000002</v>
      </c>
    </row>
    <row r="876" spans="3:8">
      <c r="C876" s="656" t="s">
        <v>748</v>
      </c>
      <c r="D876" s="164" t="s">
        <v>502</v>
      </c>
      <c r="E876" s="165">
        <v>793355</v>
      </c>
      <c r="F876" s="643"/>
      <c r="G876" s="631">
        <v>450</v>
      </c>
      <c r="H876" s="723">
        <f t="shared" si="38"/>
        <v>328.5</v>
      </c>
    </row>
    <row r="877" spans="3:8">
      <c r="C877" s="656" t="s">
        <v>749</v>
      </c>
      <c r="D877" s="164" t="s">
        <v>502</v>
      </c>
      <c r="E877" s="165">
        <v>793359</v>
      </c>
      <c r="F877" s="643"/>
      <c r="G877" s="631">
        <v>940</v>
      </c>
      <c r="H877" s="723">
        <f t="shared" si="38"/>
        <v>686.2</v>
      </c>
    </row>
    <row r="878" spans="3:8">
      <c r="C878" s="708" t="s">
        <v>750</v>
      </c>
      <c r="D878" s="164"/>
      <c r="E878" s="165"/>
      <c r="F878" s="165"/>
      <c r="G878" s="165" t="s">
        <v>805</v>
      </c>
      <c r="H878" s="723"/>
    </row>
    <row r="879" spans="3:8" ht="16.5">
      <c r="C879" s="163"/>
      <c r="D879" s="164"/>
      <c r="E879" s="165"/>
      <c r="F879" s="165"/>
      <c r="G879" s="166" t="s">
        <v>805</v>
      </c>
      <c r="H879" s="723"/>
    </row>
    <row r="880" spans="3:8">
      <c r="C880" s="656" t="s">
        <v>749</v>
      </c>
      <c r="D880" s="164" t="s">
        <v>502</v>
      </c>
      <c r="E880" s="165">
        <v>793356</v>
      </c>
      <c r="F880" s="643"/>
      <c r="G880" s="631">
        <v>670</v>
      </c>
      <c r="H880" s="723">
        <f t="shared" si="38"/>
        <v>489.1</v>
      </c>
    </row>
    <row r="881" spans="3:8">
      <c r="C881" s="656" t="s">
        <v>751</v>
      </c>
      <c r="D881" s="164" t="s">
        <v>502</v>
      </c>
      <c r="E881" s="165">
        <v>793357</v>
      </c>
      <c r="F881" s="643"/>
      <c r="G881" s="631">
        <v>850</v>
      </c>
      <c r="H881" s="723">
        <f t="shared" si="38"/>
        <v>620.5</v>
      </c>
    </row>
    <row r="882" spans="3:8">
      <c r="C882" s="656" t="s">
        <v>752</v>
      </c>
      <c r="D882" s="164" t="s">
        <v>502</v>
      </c>
      <c r="E882" s="165">
        <v>793358</v>
      </c>
      <c r="F882" s="643"/>
      <c r="G882" s="631">
        <v>990</v>
      </c>
      <c r="H882" s="723">
        <f t="shared" si="38"/>
        <v>722.7</v>
      </c>
    </row>
    <row r="883" spans="3:8">
      <c r="C883" s="708" t="s">
        <v>753</v>
      </c>
      <c r="D883" s="164"/>
      <c r="E883" s="165"/>
      <c r="F883" s="165"/>
      <c r="G883" s="631"/>
      <c r="H883" s="719"/>
    </row>
    <row r="884" spans="3:8" ht="15.75">
      <c r="C884" s="1758" t="s">
        <v>1433</v>
      </c>
      <c r="D884" s="1759"/>
      <c r="E884" s="1759"/>
      <c r="F884" s="1759"/>
      <c r="G884" s="1759"/>
      <c r="H884" s="1760"/>
    </row>
    <row r="885" spans="3:8">
      <c r="C885" s="656" t="s">
        <v>886</v>
      </c>
      <c r="D885" s="164" t="s">
        <v>149</v>
      </c>
      <c r="E885" s="165">
        <v>793362</v>
      </c>
      <c r="F885" s="643"/>
      <c r="G885" s="631">
        <v>190</v>
      </c>
      <c r="H885" s="723">
        <f>G885-(G885*$H$5)</f>
        <v>138.69999999999999</v>
      </c>
    </row>
    <row r="886" spans="3:8">
      <c r="C886" s="659" t="s">
        <v>746</v>
      </c>
      <c r="D886" s="631" t="s">
        <v>805</v>
      </c>
      <c r="E886" s="631" t="s">
        <v>805</v>
      </c>
      <c r="F886" s="631" t="s">
        <v>805</v>
      </c>
      <c r="G886" s="631" t="s">
        <v>805</v>
      </c>
      <c r="H886" s="723"/>
    </row>
    <row r="887" spans="3:8" ht="16.5">
      <c r="C887" s="163"/>
      <c r="D887" s="164"/>
      <c r="E887" s="165"/>
      <c r="F887" s="165"/>
      <c r="G887" s="166" t="s">
        <v>805</v>
      </c>
      <c r="H887" s="723"/>
    </row>
    <row r="888" spans="3:8">
      <c r="C888" s="656" t="s">
        <v>887</v>
      </c>
      <c r="D888" s="164" t="s">
        <v>149</v>
      </c>
      <c r="E888" s="165">
        <v>793364</v>
      </c>
      <c r="F888" s="643"/>
      <c r="G888" s="631">
        <v>240</v>
      </c>
      <c r="H888" s="723">
        <f>G888-(G888*$H$5)</f>
        <v>175.2</v>
      </c>
    </row>
    <row r="889" spans="3:8">
      <c r="C889" s="659" t="s">
        <v>750</v>
      </c>
      <c r="D889" s="634"/>
      <c r="E889" s="636"/>
      <c r="F889" s="636"/>
      <c r="G889" s="631"/>
      <c r="H889" s="719"/>
    </row>
    <row r="890" spans="3:8" ht="16.5">
      <c r="C890" s="1761" t="s">
        <v>754</v>
      </c>
      <c r="D890" s="1186"/>
      <c r="E890" s="1186"/>
      <c r="F890" s="1186"/>
      <c r="G890" s="1186"/>
      <c r="H890" s="1749"/>
    </row>
    <row r="891" spans="3:8" ht="16.5">
      <c r="C891" s="163"/>
      <c r="D891" s="164"/>
      <c r="E891" s="165"/>
      <c r="F891" s="165"/>
      <c r="G891" s="166" t="s">
        <v>805</v>
      </c>
      <c r="H891" s="660"/>
    </row>
    <row r="892" spans="3:8">
      <c r="C892" s="628" t="s">
        <v>888</v>
      </c>
      <c r="D892" s="709" t="s">
        <v>470</v>
      </c>
      <c r="E892" s="710">
        <v>738852</v>
      </c>
      <c r="F892" s="636"/>
      <c r="G892" s="650">
        <v>14600</v>
      </c>
      <c r="H892" s="719">
        <f>G892-(G892*$H$9)</f>
        <v>9344</v>
      </c>
    </row>
    <row r="893" spans="3:8">
      <c r="C893" s="632" t="s">
        <v>755</v>
      </c>
      <c r="D893" s="709" t="s">
        <v>152</v>
      </c>
      <c r="E893" s="710">
        <v>738854</v>
      </c>
      <c r="F893" s="636"/>
      <c r="G893" s="650">
        <v>14600</v>
      </c>
      <c r="H893" s="719">
        <f t="shared" ref="H893:H908" si="39">G893-(G893*$H$9)</f>
        <v>9344</v>
      </c>
    </row>
    <row r="894" spans="3:8">
      <c r="C894" s="659" t="s">
        <v>756</v>
      </c>
      <c r="D894" s="709" t="s">
        <v>473</v>
      </c>
      <c r="E894" s="710">
        <v>738856</v>
      </c>
      <c r="F894" s="636"/>
      <c r="G894" s="650">
        <v>14600</v>
      </c>
      <c r="H894" s="719">
        <f t="shared" si="39"/>
        <v>9344</v>
      </c>
    </row>
    <row r="895" spans="3:8">
      <c r="C895" s="632" t="s">
        <v>889</v>
      </c>
      <c r="D895" s="709" t="s">
        <v>149</v>
      </c>
      <c r="E895" s="710">
        <v>738857</v>
      </c>
      <c r="F895" s="636"/>
      <c r="G895" s="650">
        <v>14600</v>
      </c>
      <c r="H895" s="719">
        <f t="shared" si="39"/>
        <v>9344</v>
      </c>
    </row>
    <row r="896" spans="3:8">
      <c r="C896" s="632" t="s">
        <v>757</v>
      </c>
      <c r="D896" s="709" t="s">
        <v>151</v>
      </c>
      <c r="E896" s="710">
        <v>738858</v>
      </c>
      <c r="F896" s="636"/>
      <c r="G896" s="650">
        <v>14600</v>
      </c>
      <c r="H896" s="719">
        <f t="shared" si="39"/>
        <v>9344</v>
      </c>
    </row>
    <row r="897" spans="3:8">
      <c r="C897" s="632"/>
      <c r="D897" s="709" t="s">
        <v>474</v>
      </c>
      <c r="E897" s="710">
        <v>738859</v>
      </c>
      <c r="F897" s="636"/>
      <c r="G897" s="650">
        <v>14600</v>
      </c>
      <c r="H897" s="719">
        <f t="shared" si="39"/>
        <v>9344</v>
      </c>
    </row>
    <row r="898" spans="3:8">
      <c r="C898" s="632"/>
      <c r="D898" s="709" t="s">
        <v>502</v>
      </c>
      <c r="E898" s="710">
        <v>738851</v>
      </c>
      <c r="F898" s="636"/>
      <c r="G898" s="650">
        <v>14600</v>
      </c>
      <c r="H898" s="719">
        <f t="shared" si="39"/>
        <v>9344</v>
      </c>
    </row>
    <row r="899" spans="3:8">
      <c r="C899" s="164"/>
      <c r="D899" s="164"/>
      <c r="E899" s="165"/>
      <c r="F899" s="165"/>
      <c r="G899" s="166" t="s">
        <v>805</v>
      </c>
      <c r="H899" s="719"/>
    </row>
    <row r="900" spans="3:8">
      <c r="C900" s="628" t="s">
        <v>890</v>
      </c>
      <c r="D900" s="709" t="s">
        <v>470</v>
      </c>
      <c r="E900" s="710">
        <v>73210</v>
      </c>
      <c r="F900" s="165"/>
      <c r="G900" s="650">
        <v>4400</v>
      </c>
      <c r="H900" s="719">
        <f t="shared" si="39"/>
        <v>2816</v>
      </c>
    </row>
    <row r="901" spans="3:8">
      <c r="C901" s="662" t="s">
        <v>891</v>
      </c>
      <c r="D901" s="164"/>
      <c r="E901" s="165"/>
      <c r="F901" s="165"/>
      <c r="G901" s="166" t="s">
        <v>805</v>
      </c>
      <c r="H901" s="719"/>
    </row>
    <row r="902" spans="3:8">
      <c r="C902" s="164"/>
      <c r="D902" s="164"/>
      <c r="E902" s="165"/>
      <c r="F902" s="165"/>
      <c r="G902" s="166" t="s">
        <v>805</v>
      </c>
      <c r="H902" s="719"/>
    </row>
    <row r="903" spans="3:8">
      <c r="C903" s="628" t="s">
        <v>758</v>
      </c>
      <c r="D903" s="634" t="s">
        <v>498</v>
      </c>
      <c r="E903" s="636">
        <v>738842</v>
      </c>
      <c r="F903" s="636"/>
      <c r="G903" s="631">
        <v>11800</v>
      </c>
      <c r="H903" s="719">
        <f t="shared" si="39"/>
        <v>7552</v>
      </c>
    </row>
    <row r="904" spans="3:8">
      <c r="C904" s="637" t="s">
        <v>759</v>
      </c>
      <c r="D904" s="634" t="s">
        <v>543</v>
      </c>
      <c r="E904" s="636">
        <v>738844</v>
      </c>
      <c r="F904" s="636"/>
      <c r="G904" s="631">
        <v>11800</v>
      </c>
      <c r="H904" s="719">
        <f t="shared" si="39"/>
        <v>7552</v>
      </c>
    </row>
    <row r="905" spans="3:8">
      <c r="C905" s="651" t="s">
        <v>889</v>
      </c>
      <c r="D905" s="634" t="s">
        <v>501</v>
      </c>
      <c r="E905" s="636">
        <v>738846</v>
      </c>
      <c r="F905" s="636"/>
      <c r="G905" s="631">
        <v>11800</v>
      </c>
      <c r="H905" s="719">
        <f t="shared" si="39"/>
        <v>7552</v>
      </c>
    </row>
    <row r="906" spans="3:8">
      <c r="C906" s="637" t="s">
        <v>757</v>
      </c>
      <c r="D906" s="634" t="s">
        <v>538</v>
      </c>
      <c r="E906" s="636">
        <v>738847</v>
      </c>
      <c r="F906" s="636"/>
      <c r="G906" s="631">
        <v>11800</v>
      </c>
      <c r="H906" s="719">
        <f t="shared" si="39"/>
        <v>7552</v>
      </c>
    </row>
    <row r="907" spans="3:8">
      <c r="C907" s="637"/>
      <c r="D907" s="634" t="s">
        <v>512</v>
      </c>
      <c r="E907" s="636">
        <v>738848</v>
      </c>
      <c r="F907" s="636"/>
      <c r="G907" s="631">
        <v>11800</v>
      </c>
      <c r="H907" s="719">
        <f t="shared" si="39"/>
        <v>7552</v>
      </c>
    </row>
    <row r="908" spans="3:8">
      <c r="C908" s="637"/>
      <c r="D908" s="634" t="s">
        <v>539</v>
      </c>
      <c r="E908" s="636">
        <v>738849</v>
      </c>
      <c r="F908" s="636"/>
      <c r="G908" s="631">
        <v>11800</v>
      </c>
      <c r="H908" s="719">
        <f t="shared" si="39"/>
        <v>7552</v>
      </c>
    </row>
    <row r="909" spans="3:8" ht="16.5">
      <c r="C909" s="163"/>
      <c r="D909" s="164"/>
      <c r="E909" s="165"/>
      <c r="F909" s="165"/>
      <c r="G909" s="166" t="s">
        <v>805</v>
      </c>
      <c r="H909" s="660"/>
    </row>
    <row r="910" spans="3:8" ht="16.5">
      <c r="C910" s="1761" t="s">
        <v>760</v>
      </c>
      <c r="D910" s="1186"/>
      <c r="E910" s="1186"/>
      <c r="F910" s="1186"/>
      <c r="G910" s="1186"/>
      <c r="H910" s="1749"/>
    </row>
    <row r="911" spans="3:8" ht="16.5">
      <c r="C911" s="163"/>
      <c r="D911" s="164"/>
      <c r="E911" s="165"/>
      <c r="F911" s="165"/>
      <c r="G911" s="166" t="s">
        <v>805</v>
      </c>
      <c r="H911" s="660"/>
    </row>
    <row r="912" spans="3:8">
      <c r="C912" s="628" t="s">
        <v>760</v>
      </c>
      <c r="D912" s="659" t="s">
        <v>761</v>
      </c>
      <c r="E912" s="165">
        <v>77020</v>
      </c>
      <c r="F912" s="636"/>
      <c r="G912" s="631">
        <v>660</v>
      </c>
      <c r="H912" s="719">
        <f>G912-(G912*$H$9)</f>
        <v>422.4</v>
      </c>
    </row>
    <row r="913" spans="3:8">
      <c r="C913" s="637" t="s">
        <v>762</v>
      </c>
      <c r="D913" s="659" t="s">
        <v>331</v>
      </c>
      <c r="E913" s="165">
        <v>77021</v>
      </c>
      <c r="F913" s="636"/>
      <c r="G913" s="631">
        <v>660</v>
      </c>
      <c r="H913" s="719">
        <f t="shared" ref="H913:H920" si="40">G913-(G913*$H$9)</f>
        <v>422.4</v>
      </c>
    </row>
    <row r="914" spans="3:8">
      <c r="C914" s="637" t="s">
        <v>892</v>
      </c>
      <c r="D914" s="659" t="s">
        <v>502</v>
      </c>
      <c r="E914" s="165">
        <v>77022</v>
      </c>
      <c r="F914" s="636"/>
      <c r="G914" s="631">
        <v>660</v>
      </c>
      <c r="H914" s="719">
        <f t="shared" si="40"/>
        <v>422.4</v>
      </c>
    </row>
    <row r="915" spans="3:8">
      <c r="C915" s="637" t="s">
        <v>763</v>
      </c>
      <c r="D915" s="659" t="s">
        <v>152</v>
      </c>
      <c r="E915" s="165">
        <v>77024</v>
      </c>
      <c r="F915" s="636"/>
      <c r="G915" s="631">
        <v>660</v>
      </c>
      <c r="H915" s="719">
        <f t="shared" si="40"/>
        <v>422.4</v>
      </c>
    </row>
    <row r="916" spans="3:8">
      <c r="C916" s="158"/>
      <c r="D916" s="659" t="s">
        <v>151</v>
      </c>
      <c r="E916" s="165">
        <v>77028</v>
      </c>
      <c r="F916" s="636"/>
      <c r="G916" s="631">
        <v>660</v>
      </c>
      <c r="H916" s="719">
        <f t="shared" si="40"/>
        <v>422.4</v>
      </c>
    </row>
    <row r="917" spans="3:8">
      <c r="C917" s="632"/>
      <c r="D917" s="659" t="s">
        <v>474</v>
      </c>
      <c r="E917" s="165">
        <v>77029</v>
      </c>
      <c r="F917" s="636"/>
      <c r="G917" s="631">
        <v>660</v>
      </c>
      <c r="H917" s="719">
        <f t="shared" si="40"/>
        <v>422.4</v>
      </c>
    </row>
    <row r="918" spans="3:8">
      <c r="C918" s="632"/>
      <c r="D918" s="659" t="s">
        <v>738</v>
      </c>
      <c r="E918" s="165">
        <v>77030</v>
      </c>
      <c r="F918" s="636"/>
      <c r="G918" s="631">
        <v>660</v>
      </c>
      <c r="H918" s="719">
        <f t="shared" si="40"/>
        <v>422.4</v>
      </c>
    </row>
    <row r="919" spans="3:8" ht="16.5">
      <c r="C919" s="163"/>
      <c r="D919" s="164"/>
      <c r="E919" s="165"/>
      <c r="F919" s="165"/>
      <c r="G919" s="166" t="s">
        <v>805</v>
      </c>
      <c r="H919" s="719"/>
    </row>
    <row r="920" spans="3:8">
      <c r="C920" s="628" t="s">
        <v>764</v>
      </c>
      <c r="D920" s="659" t="s">
        <v>470</v>
      </c>
      <c r="E920" s="165">
        <v>77010</v>
      </c>
      <c r="F920" s="165"/>
      <c r="G920" s="631">
        <v>140</v>
      </c>
      <c r="H920" s="719">
        <f t="shared" si="40"/>
        <v>89.6</v>
      </c>
    </row>
    <row r="921" spans="3:8" ht="16.5">
      <c r="C921" s="163"/>
      <c r="D921" s="164"/>
      <c r="E921" s="165"/>
      <c r="F921" s="165"/>
      <c r="G921" s="166" t="s">
        <v>805</v>
      </c>
      <c r="H921" s="660"/>
    </row>
    <row r="922" spans="3:8" ht="16.5">
      <c r="C922" s="1761" t="s">
        <v>765</v>
      </c>
      <c r="D922" s="1186"/>
      <c r="E922" s="1186"/>
      <c r="F922" s="1186"/>
      <c r="G922" s="1186"/>
      <c r="H922" s="1749"/>
    </row>
    <row r="923" spans="3:8" ht="16.5">
      <c r="C923" s="163"/>
      <c r="D923" s="164"/>
      <c r="E923" s="165"/>
      <c r="F923" s="165"/>
      <c r="G923" s="166"/>
      <c r="H923" s="660"/>
    </row>
    <row r="924" spans="3:8">
      <c r="C924" s="628" t="s">
        <v>766</v>
      </c>
      <c r="D924" s="659" t="s">
        <v>893</v>
      </c>
      <c r="E924" s="165">
        <v>74022</v>
      </c>
      <c r="F924" s="165"/>
      <c r="G924" s="631">
        <v>70</v>
      </c>
      <c r="H924" s="723">
        <f>G924-(G924*$H$9)</f>
        <v>44.8</v>
      </c>
    </row>
    <row r="925" spans="3:8">
      <c r="C925" s="632" t="s">
        <v>767</v>
      </c>
      <c r="D925" s="659" t="s">
        <v>894</v>
      </c>
      <c r="E925" s="165">
        <v>74024</v>
      </c>
      <c r="F925" s="165"/>
      <c r="G925" s="631">
        <v>70</v>
      </c>
      <c r="H925" s="723">
        <f t="shared" ref="H925:H941" si="41">G925-(G925*$H$9)</f>
        <v>44.8</v>
      </c>
    </row>
    <row r="926" spans="3:8">
      <c r="C926" s="632"/>
      <c r="D926" s="659" t="s">
        <v>895</v>
      </c>
      <c r="E926" s="165">
        <v>74028</v>
      </c>
      <c r="F926" s="165"/>
      <c r="G926" s="631">
        <v>70</v>
      </c>
      <c r="H926" s="723">
        <f t="shared" si="41"/>
        <v>44.8</v>
      </c>
    </row>
    <row r="927" spans="3:8">
      <c r="C927" s="632"/>
      <c r="D927" s="659" t="s">
        <v>896</v>
      </c>
      <c r="E927" s="165">
        <v>74032</v>
      </c>
      <c r="F927" s="165"/>
      <c r="G927" s="631">
        <v>70</v>
      </c>
      <c r="H927" s="723">
        <f t="shared" si="41"/>
        <v>44.8</v>
      </c>
    </row>
    <row r="928" spans="3:8">
      <c r="C928" s="628"/>
      <c r="D928" s="659" t="s">
        <v>897</v>
      </c>
      <c r="E928" s="165">
        <v>74026</v>
      </c>
      <c r="F928" s="165"/>
      <c r="G928" s="631">
        <v>70</v>
      </c>
      <c r="H928" s="723">
        <f t="shared" si="41"/>
        <v>44.8</v>
      </c>
    </row>
    <row r="929" spans="3:8">
      <c r="C929" s="628"/>
      <c r="D929" s="659" t="s">
        <v>898</v>
      </c>
      <c r="E929" s="165">
        <v>74030</v>
      </c>
      <c r="F929" s="165"/>
      <c r="G929" s="631">
        <v>70</v>
      </c>
      <c r="H929" s="723">
        <f t="shared" si="41"/>
        <v>44.8</v>
      </c>
    </row>
    <row r="930" spans="3:8">
      <c r="C930" s="628"/>
      <c r="D930" s="659" t="s">
        <v>899</v>
      </c>
      <c r="E930" s="165">
        <v>74034</v>
      </c>
      <c r="F930" s="165"/>
      <c r="G930" s="631">
        <v>70</v>
      </c>
      <c r="H930" s="723">
        <f t="shared" si="41"/>
        <v>44.8</v>
      </c>
    </row>
    <row r="931" spans="3:8">
      <c r="C931" s="628"/>
      <c r="D931" s="659" t="s">
        <v>900</v>
      </c>
      <c r="E931" s="165">
        <v>74036</v>
      </c>
      <c r="F931" s="165"/>
      <c r="G931" s="631">
        <v>70</v>
      </c>
      <c r="H931" s="723">
        <f t="shared" si="41"/>
        <v>44.8</v>
      </c>
    </row>
    <row r="932" spans="3:8">
      <c r="C932" s="628"/>
      <c r="D932" s="659" t="s">
        <v>901</v>
      </c>
      <c r="E932" s="165">
        <v>74038</v>
      </c>
      <c r="F932" s="165"/>
      <c r="G932" s="631">
        <v>70</v>
      </c>
      <c r="H932" s="723">
        <f t="shared" si="41"/>
        <v>44.8</v>
      </c>
    </row>
    <row r="933" spans="3:8">
      <c r="C933" s="628"/>
      <c r="D933" s="659" t="s">
        <v>902</v>
      </c>
      <c r="E933" s="165">
        <v>74040</v>
      </c>
      <c r="F933" s="165"/>
      <c r="G933" s="631">
        <v>70</v>
      </c>
      <c r="H933" s="723">
        <f t="shared" si="41"/>
        <v>44.8</v>
      </c>
    </row>
    <row r="934" spans="3:8" ht="16.5">
      <c r="C934" s="163"/>
      <c r="D934" s="164"/>
      <c r="E934" s="165"/>
      <c r="F934" s="165"/>
      <c r="G934" s="166" t="s">
        <v>805</v>
      </c>
      <c r="H934" s="723"/>
    </row>
    <row r="935" spans="3:8">
      <c r="C935" s="628" t="s">
        <v>768</v>
      </c>
      <c r="D935" s="659" t="s">
        <v>893</v>
      </c>
      <c r="E935" s="165">
        <v>74050</v>
      </c>
      <c r="F935" s="636"/>
      <c r="G935" s="631">
        <v>180</v>
      </c>
      <c r="H935" s="723">
        <f t="shared" si="41"/>
        <v>115.2</v>
      </c>
    </row>
    <row r="936" spans="3:8">
      <c r="C936" s="632" t="s">
        <v>476</v>
      </c>
      <c r="D936" s="659" t="s">
        <v>894</v>
      </c>
      <c r="E936" s="165">
        <v>74054</v>
      </c>
      <c r="F936" s="636"/>
      <c r="G936" s="631">
        <v>180</v>
      </c>
      <c r="H936" s="723">
        <f t="shared" si="41"/>
        <v>115.2</v>
      </c>
    </row>
    <row r="937" spans="3:8">
      <c r="C937" s="628"/>
      <c r="D937" s="659" t="s">
        <v>895</v>
      </c>
      <c r="E937" s="165">
        <v>74057</v>
      </c>
      <c r="F937" s="636"/>
      <c r="G937" s="631">
        <v>180</v>
      </c>
      <c r="H937" s="723">
        <f t="shared" si="41"/>
        <v>115.2</v>
      </c>
    </row>
    <row r="938" spans="3:8">
      <c r="C938" s="628"/>
      <c r="D938" s="659" t="s">
        <v>903</v>
      </c>
      <c r="E938" s="165">
        <v>74060</v>
      </c>
      <c r="F938" s="636"/>
      <c r="G938" s="631">
        <v>180</v>
      </c>
      <c r="H938" s="723">
        <f t="shared" si="41"/>
        <v>115.2</v>
      </c>
    </row>
    <row r="939" spans="3:8">
      <c r="C939" s="628"/>
      <c r="D939" s="659" t="s">
        <v>904</v>
      </c>
      <c r="E939" s="165">
        <v>74052</v>
      </c>
      <c r="F939" s="636"/>
      <c r="G939" s="631">
        <v>180</v>
      </c>
      <c r="H939" s="723">
        <f t="shared" si="41"/>
        <v>115.2</v>
      </c>
    </row>
    <row r="940" spans="3:8">
      <c r="C940" s="660"/>
      <c r="D940" s="659" t="s">
        <v>898</v>
      </c>
      <c r="E940" s="165">
        <v>74058</v>
      </c>
      <c r="F940" s="636"/>
      <c r="G940" s="631">
        <v>180</v>
      </c>
      <c r="H940" s="723">
        <f t="shared" si="41"/>
        <v>115.2</v>
      </c>
    </row>
    <row r="941" spans="3:8">
      <c r="C941" s="660"/>
      <c r="D941" s="659" t="s">
        <v>901</v>
      </c>
      <c r="E941" s="165">
        <v>74062</v>
      </c>
      <c r="F941" s="165"/>
      <c r="G941" s="631">
        <v>180</v>
      </c>
      <c r="H941" s="723">
        <f t="shared" si="41"/>
        <v>115.2</v>
      </c>
    </row>
    <row r="942" spans="3:8" ht="16.5">
      <c r="C942" s="163"/>
      <c r="D942" s="164"/>
      <c r="E942" s="165"/>
      <c r="F942" s="165"/>
      <c r="G942" s="166" t="s">
        <v>805</v>
      </c>
      <c r="H942" s="660"/>
    </row>
    <row r="943" spans="3:8" ht="16.5">
      <c r="C943" s="1761" t="s">
        <v>905</v>
      </c>
      <c r="D943" s="1186"/>
      <c r="E943" s="1186"/>
      <c r="F943" s="1186"/>
      <c r="G943" s="1186"/>
      <c r="H943" s="1749"/>
    </row>
    <row r="944" spans="3:8" ht="16.5">
      <c r="C944" s="163"/>
      <c r="D944" s="164"/>
      <c r="E944" s="165"/>
      <c r="F944" s="165"/>
      <c r="G944" s="166"/>
      <c r="H944" s="660"/>
    </row>
    <row r="945" spans="3:8">
      <c r="C945" s="689" t="s">
        <v>906</v>
      </c>
      <c r="D945" s="690" t="s">
        <v>502</v>
      </c>
      <c r="E945" s="691">
        <v>790311</v>
      </c>
      <c r="F945" s="636"/>
      <c r="G945" s="650">
        <v>4300</v>
      </c>
      <c r="H945" s="719">
        <f>G945-(G945*$H$9)</f>
        <v>2752</v>
      </c>
    </row>
    <row r="946" spans="3:8">
      <c r="C946" s="686" t="s">
        <v>907</v>
      </c>
      <c r="D946" s="690" t="s">
        <v>470</v>
      </c>
      <c r="E946" s="691">
        <v>790312</v>
      </c>
      <c r="F946" s="636"/>
      <c r="G946" s="650">
        <v>4300</v>
      </c>
      <c r="H946" s="719">
        <f t="shared" ref="H946:H996" si="42">G946-(G946*$H$9)</f>
        <v>2752</v>
      </c>
    </row>
    <row r="947" spans="3:8">
      <c r="C947" s="686" t="s">
        <v>908</v>
      </c>
      <c r="D947" s="690" t="s">
        <v>149</v>
      </c>
      <c r="E947" s="691">
        <v>790317</v>
      </c>
      <c r="F947" s="636"/>
      <c r="G947" s="650">
        <v>4300</v>
      </c>
      <c r="H947" s="719">
        <f t="shared" si="42"/>
        <v>2752</v>
      </c>
    </row>
    <row r="948" spans="3:8">
      <c r="C948" s="651" t="s">
        <v>769</v>
      </c>
      <c r="D948" s="690" t="s">
        <v>151</v>
      </c>
      <c r="E948" s="691">
        <v>790318</v>
      </c>
      <c r="F948" s="636"/>
      <c r="G948" s="650">
        <v>4300</v>
      </c>
      <c r="H948" s="719">
        <f t="shared" si="42"/>
        <v>2752</v>
      </c>
    </row>
    <row r="949" spans="3:8">
      <c r="C949" s="711" t="s">
        <v>770</v>
      </c>
      <c r="D949" s="690" t="s">
        <v>909</v>
      </c>
      <c r="E949" s="691">
        <v>790320</v>
      </c>
      <c r="F949" s="636"/>
      <c r="G949" s="650">
        <v>4300</v>
      </c>
      <c r="H949" s="719">
        <f t="shared" si="42"/>
        <v>2752</v>
      </c>
    </row>
    <row r="950" spans="3:8">
      <c r="C950" s="686" t="s">
        <v>771</v>
      </c>
      <c r="D950" s="690" t="s">
        <v>738</v>
      </c>
      <c r="E950" s="691">
        <v>790321</v>
      </c>
      <c r="F950" s="636"/>
      <c r="G950" s="650">
        <v>4300</v>
      </c>
      <c r="H950" s="719">
        <f t="shared" si="42"/>
        <v>2752</v>
      </c>
    </row>
    <row r="951" spans="3:8" ht="16.5">
      <c r="C951" s="163"/>
      <c r="D951" s="164"/>
      <c r="E951" s="165"/>
      <c r="F951" s="165"/>
      <c r="G951" s="650"/>
      <c r="H951" s="719"/>
    </row>
    <row r="952" spans="3:8">
      <c r="C952" s="689" t="s">
        <v>910</v>
      </c>
      <c r="D952" s="690" t="s">
        <v>502</v>
      </c>
      <c r="E952" s="691">
        <v>790361</v>
      </c>
      <c r="F952" s="636"/>
      <c r="G952" s="650">
        <v>5800</v>
      </c>
      <c r="H952" s="719">
        <f t="shared" si="42"/>
        <v>3712</v>
      </c>
    </row>
    <row r="953" spans="3:8">
      <c r="C953" s="686" t="s">
        <v>907</v>
      </c>
      <c r="D953" s="690" t="s">
        <v>470</v>
      </c>
      <c r="E953" s="691">
        <v>790362</v>
      </c>
      <c r="F953" s="636"/>
      <c r="G953" s="650">
        <v>5800</v>
      </c>
      <c r="H953" s="719">
        <f t="shared" si="42"/>
        <v>3712</v>
      </c>
    </row>
    <row r="954" spans="3:8">
      <c r="C954" s="686" t="s">
        <v>772</v>
      </c>
      <c r="D954" s="690" t="s">
        <v>149</v>
      </c>
      <c r="E954" s="691">
        <v>790367</v>
      </c>
      <c r="F954" s="636"/>
      <c r="G954" s="650">
        <v>5800</v>
      </c>
      <c r="H954" s="719">
        <f t="shared" si="42"/>
        <v>3712</v>
      </c>
    </row>
    <row r="955" spans="3:8">
      <c r="C955" s="711" t="s">
        <v>773</v>
      </c>
      <c r="D955" s="690" t="s">
        <v>151</v>
      </c>
      <c r="E955" s="691">
        <v>790368</v>
      </c>
      <c r="F955" s="636"/>
      <c r="G955" s="650">
        <v>5800</v>
      </c>
      <c r="H955" s="719">
        <f t="shared" si="42"/>
        <v>3712</v>
      </c>
    </row>
    <row r="956" spans="3:8">
      <c r="C956" s="637"/>
      <c r="D956" s="690" t="s">
        <v>909</v>
      </c>
      <c r="E956" s="691">
        <v>790370</v>
      </c>
      <c r="F956" s="636"/>
      <c r="G956" s="650">
        <v>5800</v>
      </c>
      <c r="H956" s="719">
        <f t="shared" si="42"/>
        <v>3712</v>
      </c>
    </row>
    <row r="957" spans="3:8">
      <c r="C957" s="637"/>
      <c r="D957" s="690" t="s">
        <v>738</v>
      </c>
      <c r="E957" s="691">
        <v>790371</v>
      </c>
      <c r="F957" s="636"/>
      <c r="G957" s="650">
        <v>5800</v>
      </c>
      <c r="H957" s="719">
        <f t="shared" si="42"/>
        <v>3712</v>
      </c>
    </row>
    <row r="958" spans="3:8" ht="16.5">
      <c r="C958" s="163"/>
      <c r="D958" s="164"/>
      <c r="E958" s="165"/>
      <c r="F958" s="165"/>
      <c r="G958" s="650"/>
      <c r="H958" s="719"/>
    </row>
    <row r="959" spans="3:8">
      <c r="C959" s="656" t="s">
        <v>911</v>
      </c>
      <c r="D959" s="690" t="s">
        <v>502</v>
      </c>
      <c r="E959" s="636">
        <v>790381</v>
      </c>
      <c r="F959" s="637"/>
      <c r="G959" s="650">
        <v>7200</v>
      </c>
      <c r="H959" s="719">
        <f t="shared" si="42"/>
        <v>4608</v>
      </c>
    </row>
    <row r="960" spans="3:8">
      <c r="C960" s="659" t="s">
        <v>907</v>
      </c>
      <c r="D960" s="690" t="s">
        <v>470</v>
      </c>
      <c r="E960" s="636">
        <v>790382</v>
      </c>
      <c r="F960" s="637"/>
      <c r="G960" s="650">
        <v>7200</v>
      </c>
      <c r="H960" s="719">
        <f t="shared" si="42"/>
        <v>4608</v>
      </c>
    </row>
    <row r="961" spans="3:8">
      <c r="C961" s="659" t="s">
        <v>772</v>
      </c>
      <c r="D961" s="690" t="s">
        <v>149</v>
      </c>
      <c r="E961" s="636">
        <v>790387</v>
      </c>
      <c r="F961" s="637"/>
      <c r="G961" s="650">
        <v>7200</v>
      </c>
      <c r="H961" s="719">
        <f t="shared" si="42"/>
        <v>4608</v>
      </c>
    </row>
    <row r="962" spans="3:8">
      <c r="C962" s="659" t="s">
        <v>774</v>
      </c>
      <c r="D962" s="690" t="s">
        <v>151</v>
      </c>
      <c r="E962" s="636">
        <v>790388</v>
      </c>
      <c r="F962" s="637"/>
      <c r="G962" s="650">
        <v>7200</v>
      </c>
      <c r="H962" s="719">
        <f t="shared" si="42"/>
        <v>4608</v>
      </c>
    </row>
    <row r="963" spans="3:8">
      <c r="C963" s="651"/>
      <c r="D963" s="690" t="s">
        <v>761</v>
      </c>
      <c r="E963" s="636">
        <v>790390</v>
      </c>
      <c r="F963" s="637"/>
      <c r="G963" s="650">
        <v>7200</v>
      </c>
      <c r="H963" s="719">
        <f t="shared" si="42"/>
        <v>4608</v>
      </c>
    </row>
    <row r="964" spans="3:8">
      <c r="C964" s="651"/>
      <c r="D964" s="690" t="s">
        <v>738</v>
      </c>
      <c r="E964" s="636">
        <v>790391</v>
      </c>
      <c r="F964" s="637"/>
      <c r="G964" s="650">
        <v>7200</v>
      </c>
      <c r="H964" s="719">
        <f t="shared" si="42"/>
        <v>4608</v>
      </c>
    </row>
    <row r="965" spans="3:8" ht="16.5">
      <c r="C965" s="163"/>
      <c r="D965" s="164"/>
      <c r="E965" s="165"/>
      <c r="F965" s="165"/>
      <c r="G965" s="166" t="s">
        <v>805</v>
      </c>
      <c r="H965" s="719"/>
    </row>
    <row r="966" spans="3:8">
      <c r="C966" s="689" t="s">
        <v>775</v>
      </c>
      <c r="D966" s="690" t="s">
        <v>502</v>
      </c>
      <c r="E966" s="712">
        <v>790411</v>
      </c>
      <c r="F966" s="636"/>
      <c r="G966" s="631">
        <v>1100</v>
      </c>
      <c r="H966" s="719">
        <f t="shared" si="42"/>
        <v>704</v>
      </c>
    </row>
    <row r="967" spans="3:8">
      <c r="C967" s="711" t="s">
        <v>912</v>
      </c>
      <c r="D967" s="690" t="s">
        <v>470</v>
      </c>
      <c r="E967" s="712">
        <v>790412</v>
      </c>
      <c r="F967" s="636"/>
      <c r="G967" s="631">
        <v>1100</v>
      </c>
      <c r="H967" s="719">
        <f t="shared" si="42"/>
        <v>704</v>
      </c>
    </row>
    <row r="968" spans="3:8">
      <c r="C968" s="637" t="s">
        <v>776</v>
      </c>
      <c r="D968" s="690" t="s">
        <v>149</v>
      </c>
      <c r="E968" s="712">
        <v>790417</v>
      </c>
      <c r="F968" s="636"/>
      <c r="G968" s="631">
        <v>1100</v>
      </c>
      <c r="H968" s="719">
        <f t="shared" si="42"/>
        <v>704</v>
      </c>
    </row>
    <row r="969" spans="3:8">
      <c r="C969" s="637"/>
      <c r="D969" s="690" t="s">
        <v>151</v>
      </c>
      <c r="E969" s="712">
        <v>790418</v>
      </c>
      <c r="F969" s="636"/>
      <c r="G969" s="631">
        <v>1100</v>
      </c>
      <c r="H969" s="719">
        <f t="shared" si="42"/>
        <v>704</v>
      </c>
    </row>
    <row r="970" spans="3:8">
      <c r="C970" s="686"/>
      <c r="D970" s="690" t="s">
        <v>909</v>
      </c>
      <c r="E970" s="712">
        <v>790420</v>
      </c>
      <c r="F970" s="636"/>
      <c r="G970" s="631">
        <v>1100</v>
      </c>
      <c r="H970" s="719">
        <f t="shared" si="42"/>
        <v>704</v>
      </c>
    </row>
    <row r="971" spans="3:8">
      <c r="C971" s="711"/>
      <c r="D971" s="690" t="s">
        <v>738</v>
      </c>
      <c r="E971" s="712">
        <v>790421</v>
      </c>
      <c r="F971" s="636"/>
      <c r="G971" s="631">
        <v>1100</v>
      </c>
      <c r="H971" s="719">
        <f t="shared" si="42"/>
        <v>704</v>
      </c>
    </row>
    <row r="972" spans="3:8" ht="16.5">
      <c r="C972" s="163"/>
      <c r="D972" s="164"/>
      <c r="E972" s="165"/>
      <c r="F972" s="165"/>
      <c r="G972" s="166"/>
      <c r="H972" s="719"/>
    </row>
    <row r="973" spans="3:8">
      <c r="C973" s="689" t="s">
        <v>913</v>
      </c>
      <c r="D973" s="690" t="s">
        <v>502</v>
      </c>
      <c r="E973" s="712">
        <v>790461</v>
      </c>
      <c r="F973" s="636"/>
      <c r="G973" s="631">
        <v>1500</v>
      </c>
      <c r="H973" s="719">
        <f t="shared" si="42"/>
        <v>960</v>
      </c>
    </row>
    <row r="974" spans="3:8">
      <c r="C974" s="711" t="s">
        <v>912</v>
      </c>
      <c r="D974" s="690" t="s">
        <v>470</v>
      </c>
      <c r="E974" s="712">
        <v>790462</v>
      </c>
      <c r="F974" s="636"/>
      <c r="G974" s="631">
        <v>1500</v>
      </c>
      <c r="H974" s="719">
        <f t="shared" si="42"/>
        <v>960</v>
      </c>
    </row>
    <row r="975" spans="3:8">
      <c r="C975" s="637" t="s">
        <v>776</v>
      </c>
      <c r="D975" s="690" t="s">
        <v>149</v>
      </c>
      <c r="E975" s="712">
        <v>790467</v>
      </c>
      <c r="F975" s="636"/>
      <c r="G975" s="631">
        <v>1500</v>
      </c>
      <c r="H975" s="719">
        <f t="shared" si="42"/>
        <v>960</v>
      </c>
    </row>
    <row r="976" spans="3:8">
      <c r="C976" s="637"/>
      <c r="D976" s="690" t="s">
        <v>151</v>
      </c>
      <c r="E976" s="712">
        <v>790468</v>
      </c>
      <c r="F976" s="636"/>
      <c r="G976" s="631">
        <v>1500</v>
      </c>
      <c r="H976" s="719">
        <f t="shared" si="42"/>
        <v>960</v>
      </c>
    </row>
    <row r="977" spans="3:8">
      <c r="C977" s="686"/>
      <c r="D977" s="690" t="s">
        <v>909</v>
      </c>
      <c r="E977" s="712">
        <v>790470</v>
      </c>
      <c r="F977" s="636"/>
      <c r="G977" s="631">
        <v>1500</v>
      </c>
      <c r="H977" s="719">
        <f t="shared" si="42"/>
        <v>960</v>
      </c>
    </row>
    <row r="978" spans="3:8">
      <c r="C978" s="686"/>
      <c r="D978" s="690" t="s">
        <v>738</v>
      </c>
      <c r="E978" s="712">
        <v>790471</v>
      </c>
      <c r="F978" s="636"/>
      <c r="G978" s="631">
        <v>1500</v>
      </c>
      <c r="H978" s="719">
        <f t="shared" si="42"/>
        <v>960</v>
      </c>
    </row>
    <row r="979" spans="3:8" ht="16.5">
      <c r="C979" s="163"/>
      <c r="D979" s="164"/>
      <c r="E979" s="165"/>
      <c r="F979" s="165"/>
      <c r="G979" s="166" t="s">
        <v>805</v>
      </c>
      <c r="H979" s="719"/>
    </row>
    <row r="980" spans="3:8">
      <c r="C980" s="697" t="s">
        <v>914</v>
      </c>
      <c r="D980" s="690" t="s">
        <v>502</v>
      </c>
      <c r="E980" s="636">
        <v>790631</v>
      </c>
      <c r="F980" s="636"/>
      <c r="G980" s="631">
        <v>3800</v>
      </c>
      <c r="H980" s="719">
        <f t="shared" si="42"/>
        <v>2432</v>
      </c>
    </row>
    <row r="981" spans="3:8">
      <c r="C981" s="651" t="s">
        <v>777</v>
      </c>
      <c r="D981" s="690" t="s">
        <v>470</v>
      </c>
      <c r="E981" s="636">
        <v>790632</v>
      </c>
      <c r="F981" s="636"/>
      <c r="G981" s="631">
        <v>3800</v>
      </c>
      <c r="H981" s="719">
        <f t="shared" si="42"/>
        <v>2432</v>
      </c>
    </row>
    <row r="982" spans="3:8">
      <c r="C982" s="651" t="s">
        <v>915</v>
      </c>
      <c r="D982" s="690" t="s">
        <v>149</v>
      </c>
      <c r="E982" s="636">
        <v>790637</v>
      </c>
      <c r="F982" s="636"/>
      <c r="G982" s="631">
        <v>3800</v>
      </c>
      <c r="H982" s="719">
        <f t="shared" si="42"/>
        <v>2432</v>
      </c>
    </row>
    <row r="983" spans="3:8">
      <c r="C983" s="158" t="s">
        <v>778</v>
      </c>
      <c r="D983" s="690" t="s">
        <v>151</v>
      </c>
      <c r="E983" s="636">
        <v>790638</v>
      </c>
      <c r="F983" s="636"/>
      <c r="G983" s="631">
        <v>3800</v>
      </c>
      <c r="H983" s="719">
        <f t="shared" si="42"/>
        <v>2432</v>
      </c>
    </row>
    <row r="984" spans="3:8">
      <c r="C984" s="158"/>
      <c r="D984" s="690" t="s">
        <v>909</v>
      </c>
      <c r="E984" s="636">
        <v>790640</v>
      </c>
      <c r="F984" s="636"/>
      <c r="G984" s="631">
        <v>3800</v>
      </c>
      <c r="H984" s="719">
        <f t="shared" si="42"/>
        <v>2432</v>
      </c>
    </row>
    <row r="985" spans="3:8">
      <c r="C985" s="158"/>
      <c r="D985" s="690" t="s">
        <v>738</v>
      </c>
      <c r="E985" s="636">
        <v>790641</v>
      </c>
      <c r="F985" s="636"/>
      <c r="G985" s="631">
        <v>3800</v>
      </c>
      <c r="H985" s="719">
        <f t="shared" si="42"/>
        <v>2432</v>
      </c>
    </row>
    <row r="986" spans="3:8" ht="16.5">
      <c r="C986" s="163"/>
      <c r="D986" s="164"/>
      <c r="E986" s="165"/>
      <c r="F986" s="165"/>
      <c r="G986" s="166"/>
      <c r="H986" s="719"/>
    </row>
    <row r="987" spans="3:8">
      <c r="C987" s="697" t="s">
        <v>916</v>
      </c>
      <c r="D987" s="690" t="s">
        <v>502</v>
      </c>
      <c r="E987" s="636">
        <v>790681</v>
      </c>
      <c r="F987" s="637"/>
      <c r="G987" s="631">
        <v>4800</v>
      </c>
      <c r="H987" s="719">
        <f t="shared" si="42"/>
        <v>3072</v>
      </c>
    </row>
    <row r="988" spans="3:8">
      <c r="C988" s="651" t="s">
        <v>777</v>
      </c>
      <c r="D988" s="690" t="s">
        <v>470</v>
      </c>
      <c r="E988" s="636">
        <v>790682</v>
      </c>
      <c r="F988" s="637"/>
      <c r="G988" s="631">
        <v>4800</v>
      </c>
      <c r="H988" s="719">
        <f t="shared" si="42"/>
        <v>3072</v>
      </c>
    </row>
    <row r="989" spans="3:8">
      <c r="C989" s="651" t="s">
        <v>917</v>
      </c>
      <c r="D989" s="690" t="s">
        <v>149</v>
      </c>
      <c r="E989" s="636">
        <v>790687</v>
      </c>
      <c r="F989" s="637"/>
      <c r="G989" s="631">
        <v>4800</v>
      </c>
      <c r="H989" s="719">
        <f t="shared" si="42"/>
        <v>3072</v>
      </c>
    </row>
    <row r="990" spans="3:8">
      <c r="C990" s="158" t="s">
        <v>779</v>
      </c>
      <c r="D990" s="690" t="s">
        <v>151</v>
      </c>
      <c r="E990" s="636">
        <v>790688</v>
      </c>
      <c r="F990" s="637"/>
      <c r="G990" s="631">
        <v>4800</v>
      </c>
      <c r="H990" s="719">
        <f t="shared" si="42"/>
        <v>3072</v>
      </c>
    </row>
    <row r="991" spans="3:8">
      <c r="C991" s="637"/>
      <c r="D991" s="690" t="s">
        <v>909</v>
      </c>
      <c r="E991" s="636">
        <v>790690</v>
      </c>
      <c r="F991" s="637"/>
      <c r="G991" s="631">
        <v>4800</v>
      </c>
      <c r="H991" s="719">
        <f t="shared" si="42"/>
        <v>3072</v>
      </c>
    </row>
    <row r="992" spans="3:8">
      <c r="C992" s="637"/>
      <c r="D992" s="690" t="s">
        <v>738</v>
      </c>
      <c r="E992" s="636">
        <v>790691</v>
      </c>
      <c r="F992" s="637"/>
      <c r="G992" s="631">
        <v>4800</v>
      </c>
      <c r="H992" s="719">
        <f t="shared" si="42"/>
        <v>3072</v>
      </c>
    </row>
    <row r="993" spans="3:8" ht="16.5">
      <c r="C993" s="163"/>
      <c r="D993" s="164"/>
      <c r="E993" s="165"/>
      <c r="F993" s="165"/>
      <c r="G993" s="166"/>
      <c r="H993" s="719"/>
    </row>
    <row r="994" spans="3:8">
      <c r="C994" s="656" t="s">
        <v>918</v>
      </c>
      <c r="D994" s="690" t="s">
        <v>470</v>
      </c>
      <c r="E994" s="636">
        <v>790780</v>
      </c>
      <c r="F994" s="637"/>
      <c r="G994" s="631">
        <v>550</v>
      </c>
      <c r="H994" s="719">
        <f t="shared" si="42"/>
        <v>352</v>
      </c>
    </row>
    <row r="995" spans="3:8">
      <c r="C995" s="656" t="s">
        <v>919</v>
      </c>
      <c r="D995" s="690" t="s">
        <v>470</v>
      </c>
      <c r="E995" s="636">
        <v>790781</v>
      </c>
      <c r="F995" s="637"/>
      <c r="G995" s="631">
        <v>550</v>
      </c>
      <c r="H995" s="719">
        <f t="shared" si="42"/>
        <v>352</v>
      </c>
    </row>
    <row r="996" spans="3:8">
      <c r="C996" s="656" t="s">
        <v>920</v>
      </c>
      <c r="D996" s="690" t="s">
        <v>470</v>
      </c>
      <c r="E996" s="636">
        <v>790782</v>
      </c>
      <c r="F996" s="637"/>
      <c r="G996" s="631">
        <v>550</v>
      </c>
      <c r="H996" s="719">
        <f t="shared" si="42"/>
        <v>352</v>
      </c>
    </row>
    <row r="997" spans="3:8">
      <c r="C997" s="659" t="s">
        <v>921</v>
      </c>
      <c r="D997" s="690"/>
      <c r="E997" s="636"/>
      <c r="F997" s="637"/>
      <c r="G997" s="631"/>
      <c r="H997" s="719"/>
    </row>
    <row r="998" spans="3:8">
      <c r="E998" s="637"/>
      <c r="F998" s="637"/>
      <c r="G998" s="631"/>
    </row>
    <row r="999" spans="3:8" ht="16.5">
      <c r="C999" s="169"/>
      <c r="D999" s="167"/>
      <c r="E999" s="168"/>
      <c r="F999" s="168"/>
      <c r="G999" s="182"/>
      <c r="H999" s="724"/>
    </row>
  </sheetData>
  <mergeCells count="47">
    <mergeCell ref="C827:H827"/>
    <mergeCell ref="C837:H837"/>
    <mergeCell ref="C447:H447"/>
    <mergeCell ref="C491:H491"/>
    <mergeCell ref="C500:H500"/>
    <mergeCell ref="C532:C533"/>
    <mergeCell ref="C609:H609"/>
    <mergeCell ref="C751:H751"/>
    <mergeCell ref="C807:H807"/>
    <mergeCell ref="C721:H721"/>
    <mergeCell ref="C123:H123"/>
    <mergeCell ref="C233:H233"/>
    <mergeCell ref="C825:H825"/>
    <mergeCell ref="C292:H292"/>
    <mergeCell ref="C322:H322"/>
    <mergeCell ref="C330:H330"/>
    <mergeCell ref="C359:H359"/>
    <mergeCell ref="C407:H407"/>
    <mergeCell ref="C943:H943"/>
    <mergeCell ref="C8:H8"/>
    <mergeCell ref="C910:H910"/>
    <mergeCell ref="C922:H922"/>
    <mergeCell ref="C10:H10"/>
    <mergeCell ref="C181:H181"/>
    <mergeCell ref="C846:H846"/>
    <mergeCell ref="C884:H884"/>
    <mergeCell ref="C636:H636"/>
    <mergeCell ref="C638:C639"/>
    <mergeCell ref="H2:H4"/>
    <mergeCell ref="C132:H132"/>
    <mergeCell ref="D2:G4"/>
    <mergeCell ref="C5:G5"/>
    <mergeCell ref="C6:C7"/>
    <mergeCell ref="D6:D7"/>
    <mergeCell ref="E6:E7"/>
    <mergeCell ref="C76:H76"/>
    <mergeCell ref="C86:H86"/>
    <mergeCell ref="C63:H63"/>
    <mergeCell ref="C264:H264"/>
    <mergeCell ref="C235:H235"/>
    <mergeCell ref="C261:H261"/>
    <mergeCell ref="C890:H890"/>
    <mergeCell ref="H6:H7"/>
    <mergeCell ref="C870:H870"/>
    <mergeCell ref="C283:H283"/>
    <mergeCell ref="C850:H850"/>
    <mergeCell ref="C530:H530"/>
  </mergeCells>
  <pageMargins left="0.7" right="0.7" top="0.75" bottom="0.75" header="0.3" footer="0.3"/>
  <pageSetup paperSize="9" scale="53" fitToHeight="0" orientation="portrait" verticalDpi="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E1:Q81"/>
  <sheetViews>
    <sheetView topLeftCell="E1" workbookViewId="0">
      <selection activeCell="S9" sqref="S9"/>
    </sheetView>
  </sheetViews>
  <sheetFormatPr defaultRowHeight="15"/>
  <cols>
    <col min="1" max="1" width="5.140625" customWidth="1"/>
    <col min="2" max="2" width="44.140625" customWidth="1"/>
    <col min="3" max="3" width="11.5703125" customWidth="1"/>
    <col min="4" max="4" width="14.7109375" customWidth="1"/>
    <col min="5" max="5" width="7.5703125" customWidth="1"/>
    <col min="6" max="6" width="28.85546875" customWidth="1"/>
    <col min="7" max="7" width="12" customWidth="1"/>
    <col min="8" max="8" width="15.28515625" customWidth="1"/>
    <col min="9" max="9" width="39.140625" customWidth="1"/>
    <col min="10" max="10" width="15.85546875" customWidth="1"/>
    <col min="11" max="11" width="5.140625" customWidth="1"/>
    <col min="12" max="12" width="11.7109375" customWidth="1"/>
    <col min="13" max="13" width="28" customWidth="1"/>
    <col min="14" max="14" width="12.85546875" customWidth="1"/>
    <col min="15" max="15" width="16.5703125" customWidth="1"/>
    <col min="16" max="16" width="35.5703125" customWidth="1"/>
  </cols>
  <sheetData>
    <row r="1" spans="5:17" ht="18">
      <c r="E1" s="868"/>
      <c r="F1" s="869"/>
      <c r="G1" s="869"/>
      <c r="H1" s="870" t="s">
        <v>1042</v>
      </c>
      <c r="I1" s="869"/>
      <c r="J1" s="869"/>
      <c r="L1" s="868"/>
      <c r="M1" s="869"/>
      <c r="N1" s="869"/>
      <c r="O1" s="870" t="s">
        <v>1042</v>
      </c>
      <c r="P1" s="869"/>
      <c r="Q1" s="869"/>
    </row>
    <row r="2" spans="5:17" ht="15" customHeight="1">
      <c r="E2" s="1796" t="s">
        <v>1043</v>
      </c>
      <c r="F2" s="1797"/>
      <c r="G2" s="1800" t="s">
        <v>1044</v>
      </c>
      <c r="H2" s="1804" t="s">
        <v>335</v>
      </c>
      <c r="I2" s="1800" t="s">
        <v>179</v>
      </c>
      <c r="J2" s="1016" t="s">
        <v>1045</v>
      </c>
      <c r="L2" s="1796" t="s">
        <v>1043</v>
      </c>
      <c r="M2" s="1797"/>
      <c r="N2" s="1800" t="s">
        <v>1044</v>
      </c>
      <c r="O2" s="1804" t="s">
        <v>335</v>
      </c>
      <c r="P2" s="1800" t="s">
        <v>179</v>
      </c>
      <c r="Q2" s="1016" t="s">
        <v>1045</v>
      </c>
    </row>
    <row r="3" spans="5:17" ht="24">
      <c r="E3" s="1798"/>
      <c r="F3" s="1799"/>
      <c r="G3" s="1801"/>
      <c r="H3" s="1805"/>
      <c r="I3" s="1801"/>
      <c r="J3" s="503" t="s">
        <v>1046</v>
      </c>
      <c r="L3" s="1798"/>
      <c r="M3" s="1799"/>
      <c r="N3" s="1801"/>
      <c r="O3" s="1805"/>
      <c r="P3" s="1801"/>
      <c r="Q3" s="503" t="s">
        <v>1046</v>
      </c>
    </row>
    <row r="4" spans="5:17" ht="35.1" customHeight="1">
      <c r="E4" s="1806" t="s">
        <v>1047</v>
      </c>
      <c r="F4" s="525" t="s">
        <v>1048</v>
      </c>
      <c r="G4" s="365" t="s">
        <v>1049</v>
      </c>
      <c r="H4" s="365" t="s">
        <v>1050</v>
      </c>
      <c r="I4" s="366" t="s">
        <v>1051</v>
      </c>
      <c r="J4" s="539">
        <v>1970</v>
      </c>
      <c r="L4" s="1843" t="s">
        <v>1294</v>
      </c>
      <c r="M4" s="382" t="s">
        <v>1587</v>
      </c>
      <c r="N4" s="506" t="s">
        <v>1067</v>
      </c>
      <c r="O4" s="1791" t="s">
        <v>1099</v>
      </c>
      <c r="P4" s="1824" t="s">
        <v>1296</v>
      </c>
      <c r="Q4" s="504">
        <v>4220</v>
      </c>
    </row>
    <row r="5" spans="5:17" ht="35.1" customHeight="1">
      <c r="E5" s="1806"/>
      <c r="F5" s="364" t="s">
        <v>1052</v>
      </c>
      <c r="G5" s="365" t="s">
        <v>1053</v>
      </c>
      <c r="H5" s="365" t="s">
        <v>1054</v>
      </c>
      <c r="I5" s="366" t="s">
        <v>1055</v>
      </c>
      <c r="J5" s="539">
        <v>6875</v>
      </c>
      <c r="L5" s="1844"/>
      <c r="M5" s="382" t="s">
        <v>1295</v>
      </c>
      <c r="N5" s="383" t="s">
        <v>1072</v>
      </c>
      <c r="O5" s="1792"/>
      <c r="P5" s="1825"/>
      <c r="Q5" s="504">
        <v>4640</v>
      </c>
    </row>
    <row r="6" spans="5:17" ht="35.1" customHeight="1">
      <c r="E6" s="1806"/>
      <c r="F6" s="364" t="s">
        <v>1056</v>
      </c>
      <c r="G6" s="365" t="s">
        <v>1057</v>
      </c>
      <c r="H6" s="365" t="s">
        <v>1058</v>
      </c>
      <c r="I6" s="366" t="s">
        <v>1055</v>
      </c>
      <c r="J6" s="367">
        <v>7580</v>
      </c>
      <c r="L6" s="1844"/>
      <c r="M6" s="1812" t="s">
        <v>1297</v>
      </c>
      <c r="N6" s="506" t="s">
        <v>1067</v>
      </c>
      <c r="O6" s="1846" t="s">
        <v>1099</v>
      </c>
      <c r="P6" s="1848" t="s">
        <v>1298</v>
      </c>
      <c r="Q6" s="505">
        <v>3820</v>
      </c>
    </row>
    <row r="7" spans="5:17" ht="35.1" customHeight="1">
      <c r="E7" s="1806"/>
      <c r="F7" s="364" t="s">
        <v>1061</v>
      </c>
      <c r="G7" s="365" t="s">
        <v>1057</v>
      </c>
      <c r="H7" s="365" t="s">
        <v>1058</v>
      </c>
      <c r="I7" s="366" t="s">
        <v>1062</v>
      </c>
      <c r="J7" s="367">
        <v>1350</v>
      </c>
      <c r="L7" s="1844"/>
      <c r="M7" s="1835"/>
      <c r="N7" s="506" t="s">
        <v>1072</v>
      </c>
      <c r="O7" s="1847"/>
      <c r="P7" s="1848"/>
      <c r="Q7" s="873">
        <v>2880</v>
      </c>
    </row>
    <row r="8" spans="5:17" ht="35.1" customHeight="1">
      <c r="E8" s="1806"/>
      <c r="F8" s="368" t="s">
        <v>1063</v>
      </c>
      <c r="G8" s="369" t="s">
        <v>1057</v>
      </c>
      <c r="H8" s="370" t="s">
        <v>1058</v>
      </c>
      <c r="I8" s="371" t="s">
        <v>1062</v>
      </c>
      <c r="J8" s="367">
        <v>770</v>
      </c>
      <c r="L8" s="1844"/>
      <c r="M8" s="385" t="s">
        <v>1299</v>
      </c>
      <c r="N8" s="506" t="s">
        <v>1067</v>
      </c>
      <c r="O8" s="1821" t="s">
        <v>1073</v>
      </c>
      <c r="P8" s="1812" t="s">
        <v>1300</v>
      </c>
      <c r="Q8" s="507">
        <v>4860</v>
      </c>
    </row>
    <row r="9" spans="5:17" ht="35.1" customHeight="1">
      <c r="E9" s="1806"/>
      <c r="F9" s="364" t="s">
        <v>1059</v>
      </c>
      <c r="G9" s="365" t="s">
        <v>1053</v>
      </c>
      <c r="H9" s="365" t="s">
        <v>1054</v>
      </c>
      <c r="I9" s="366" t="s">
        <v>1567</v>
      </c>
      <c r="J9" s="539">
        <v>1685</v>
      </c>
      <c r="L9" s="1844"/>
      <c r="M9" s="385" t="s">
        <v>1301</v>
      </c>
      <c r="N9" s="506" t="s">
        <v>1067</v>
      </c>
      <c r="O9" s="1834"/>
      <c r="P9" s="1835"/>
      <c r="Q9" s="507">
        <v>5094</v>
      </c>
    </row>
    <row r="10" spans="5:17" ht="35.1" customHeight="1">
      <c r="E10" s="1807"/>
      <c r="F10" s="364" t="s">
        <v>1568</v>
      </c>
      <c r="G10" s="365" t="s">
        <v>1053</v>
      </c>
      <c r="H10" s="365" t="s">
        <v>1054</v>
      </c>
      <c r="I10" s="366" t="s">
        <v>1569</v>
      </c>
      <c r="J10" s="563">
        <v>1100</v>
      </c>
      <c r="L10" s="1844"/>
      <c r="M10" s="385" t="s">
        <v>1588</v>
      </c>
      <c r="N10" s="506" t="s">
        <v>1072</v>
      </c>
      <c r="O10" s="506" t="s">
        <v>1073</v>
      </c>
      <c r="P10" s="509" t="s">
        <v>1302</v>
      </c>
      <c r="Q10" s="510" t="s">
        <v>1589</v>
      </c>
    </row>
    <row r="11" spans="5:17" ht="35.1" customHeight="1" thickBot="1">
      <c r="E11" s="1803"/>
      <c r="F11" s="372" t="s">
        <v>1064</v>
      </c>
      <c r="G11" s="373" t="s">
        <v>1053</v>
      </c>
      <c r="H11" s="374" t="s">
        <v>1058</v>
      </c>
      <c r="I11" s="375" t="s">
        <v>1060</v>
      </c>
      <c r="J11" s="376">
        <v>770</v>
      </c>
      <c r="L11" s="1844"/>
      <c r="M11" s="385" t="s">
        <v>1590</v>
      </c>
      <c r="N11" s="506" t="s">
        <v>1072</v>
      </c>
      <c r="O11" s="506" t="s">
        <v>1073</v>
      </c>
      <c r="P11" s="877" t="s">
        <v>1591</v>
      </c>
      <c r="Q11" s="504">
        <v>4180</v>
      </c>
    </row>
    <row r="12" spans="5:17" ht="35.1" customHeight="1">
      <c r="E12" s="1808" t="s">
        <v>1065</v>
      </c>
      <c r="F12" s="377" t="s">
        <v>1066</v>
      </c>
      <c r="G12" s="1811" t="s">
        <v>1067</v>
      </c>
      <c r="H12" s="1787" t="s">
        <v>1068</v>
      </c>
      <c r="I12" s="1789" t="s">
        <v>1069</v>
      </c>
      <c r="J12" s="871">
        <v>1500</v>
      </c>
      <c r="L12" s="1844"/>
      <c r="M12" s="385" t="s">
        <v>1303</v>
      </c>
      <c r="N12" s="506" t="s">
        <v>1067</v>
      </c>
      <c r="O12" s="386" t="s">
        <v>1073</v>
      </c>
      <c r="P12" s="386" t="s">
        <v>1300</v>
      </c>
      <c r="Q12" s="507">
        <v>3690</v>
      </c>
    </row>
    <row r="13" spans="5:17" ht="35.1" customHeight="1">
      <c r="E13" s="1809"/>
      <c r="F13" s="378" t="s">
        <v>1070</v>
      </c>
      <c r="G13" s="1795"/>
      <c r="H13" s="1788"/>
      <c r="I13" s="1790"/>
      <c r="J13" s="558">
        <v>1700</v>
      </c>
      <c r="L13" s="1844"/>
      <c r="M13" s="385" t="s">
        <v>1592</v>
      </c>
      <c r="N13" s="506" t="s">
        <v>1072</v>
      </c>
      <c r="O13" s="1821" t="s">
        <v>1073</v>
      </c>
      <c r="P13" s="1812" t="s">
        <v>1304</v>
      </c>
      <c r="Q13" s="507">
        <v>3880</v>
      </c>
    </row>
    <row r="14" spans="5:17" ht="35.1" customHeight="1">
      <c r="E14" s="1809"/>
      <c r="F14" s="378" t="s">
        <v>1071</v>
      </c>
      <c r="G14" s="526" t="s">
        <v>1072</v>
      </c>
      <c r="H14" s="1791" t="s">
        <v>1073</v>
      </c>
      <c r="I14" s="1793" t="s">
        <v>1074</v>
      </c>
      <c r="J14" s="552">
        <v>3560</v>
      </c>
      <c r="L14" s="1844"/>
      <c r="M14" s="385" t="s">
        <v>1593</v>
      </c>
      <c r="N14" s="506" t="s">
        <v>1072</v>
      </c>
      <c r="O14" s="1822"/>
      <c r="P14" s="1813"/>
      <c r="Q14" s="873" t="s">
        <v>1594</v>
      </c>
    </row>
    <row r="15" spans="5:17" ht="35.1" customHeight="1">
      <c r="E15" s="1809"/>
      <c r="F15" s="378" t="s">
        <v>1075</v>
      </c>
      <c r="G15" s="526" t="s">
        <v>1067</v>
      </c>
      <c r="H15" s="1792"/>
      <c r="I15" s="1790"/>
      <c r="J15" s="558">
        <v>2150</v>
      </c>
      <c r="L15" s="1844"/>
      <c r="M15" s="385" t="s">
        <v>1303</v>
      </c>
      <c r="N15" s="506" t="s">
        <v>1072</v>
      </c>
      <c r="O15" s="1822"/>
      <c r="P15" s="1813"/>
      <c r="Q15" s="504">
        <v>3820</v>
      </c>
    </row>
    <row r="16" spans="5:17" ht="35.1" customHeight="1">
      <c r="E16" s="1809"/>
      <c r="F16" s="378" t="s">
        <v>1570</v>
      </c>
      <c r="G16" s="1794" t="s">
        <v>1072</v>
      </c>
      <c r="H16" s="1791" t="s">
        <v>1073</v>
      </c>
      <c r="I16" s="1793" t="s">
        <v>1076</v>
      </c>
      <c r="J16" s="558">
        <v>2871</v>
      </c>
      <c r="L16" s="1844"/>
      <c r="M16" s="385" t="s">
        <v>1595</v>
      </c>
      <c r="N16" s="506" t="s">
        <v>1072</v>
      </c>
      <c r="O16" s="1834"/>
      <c r="P16" s="1835"/>
      <c r="Q16" s="504">
        <v>4650</v>
      </c>
    </row>
    <row r="17" spans="5:17" ht="35.1" customHeight="1">
      <c r="E17" s="1809"/>
      <c r="F17" s="378" t="s">
        <v>1077</v>
      </c>
      <c r="G17" s="1795"/>
      <c r="H17" s="1792"/>
      <c r="I17" s="1790"/>
      <c r="J17" s="558">
        <v>2871</v>
      </c>
      <c r="L17" s="1844"/>
      <c r="M17" s="385" t="s">
        <v>1305</v>
      </c>
      <c r="N17" s="506" t="s">
        <v>1072</v>
      </c>
      <c r="O17" s="1821" t="s">
        <v>1073</v>
      </c>
      <c r="P17" s="509" t="s">
        <v>1306</v>
      </c>
      <c r="Q17" s="505">
        <v>2590</v>
      </c>
    </row>
    <row r="18" spans="5:17" ht="35.1" customHeight="1">
      <c r="E18" s="1809"/>
      <c r="F18" s="378" t="s">
        <v>1078</v>
      </c>
      <c r="G18" s="1794" t="s">
        <v>1067</v>
      </c>
      <c r="H18" s="1791" t="s">
        <v>1073</v>
      </c>
      <c r="I18" s="1793" t="s">
        <v>1079</v>
      </c>
      <c r="J18" s="558">
        <v>2052</v>
      </c>
      <c r="L18" s="1844"/>
      <c r="M18" s="385" t="s">
        <v>1596</v>
      </c>
      <c r="N18" s="506" t="s">
        <v>1072</v>
      </c>
      <c r="O18" s="1834"/>
      <c r="P18" s="509" t="s">
        <v>1597</v>
      </c>
      <c r="Q18" s="505">
        <v>4710</v>
      </c>
    </row>
    <row r="19" spans="5:17" ht="35.1" customHeight="1">
      <c r="E19" s="1809"/>
      <c r="F19" s="378" t="s">
        <v>1080</v>
      </c>
      <c r="G19" s="1795"/>
      <c r="H19" s="1792"/>
      <c r="I19" s="1790"/>
      <c r="J19" s="558">
        <v>2052</v>
      </c>
      <c r="L19" s="1844"/>
      <c r="M19" s="385" t="s">
        <v>1598</v>
      </c>
      <c r="N19" s="506" t="s">
        <v>1072</v>
      </c>
      <c r="O19" s="506" t="s">
        <v>1073</v>
      </c>
      <c r="P19" s="509" t="s">
        <v>1308</v>
      </c>
      <c r="Q19" s="505">
        <v>13640</v>
      </c>
    </row>
    <row r="20" spans="5:17" ht="35.1" customHeight="1">
      <c r="E20" s="1809"/>
      <c r="F20" s="378" t="s">
        <v>1081</v>
      </c>
      <c r="G20" s="1794" t="s">
        <v>1082</v>
      </c>
      <c r="H20" s="1791" t="s">
        <v>1073</v>
      </c>
      <c r="I20" s="1793" t="s">
        <v>1083</v>
      </c>
      <c r="J20" s="558">
        <v>2052</v>
      </c>
      <c r="L20" s="1844"/>
      <c r="M20" s="385" t="s">
        <v>1599</v>
      </c>
      <c r="N20" s="506" t="s">
        <v>1067</v>
      </c>
      <c r="O20" s="1821" t="s">
        <v>1073</v>
      </c>
      <c r="P20" s="1812" t="s">
        <v>1600</v>
      </c>
      <c r="Q20" s="873">
        <v>8400</v>
      </c>
    </row>
    <row r="21" spans="5:17" ht="35.1" customHeight="1">
      <c r="E21" s="1809"/>
      <c r="F21" s="378" t="s">
        <v>1084</v>
      </c>
      <c r="G21" s="1795"/>
      <c r="H21" s="1792"/>
      <c r="I21" s="1790"/>
      <c r="J21" s="558">
        <v>2052</v>
      </c>
      <c r="L21" s="1844"/>
      <c r="M21" s="385" t="s">
        <v>1309</v>
      </c>
      <c r="N21" s="506" t="s">
        <v>1072</v>
      </c>
      <c r="O21" s="1834"/>
      <c r="P21" s="1835"/>
      <c r="Q21" s="507">
        <v>10094</v>
      </c>
    </row>
    <row r="22" spans="5:17" ht="35.1" customHeight="1">
      <c r="E22" s="1809"/>
      <c r="F22" s="378" t="s">
        <v>1571</v>
      </c>
      <c r="G22" s="1794" t="s">
        <v>1082</v>
      </c>
      <c r="H22" s="1791" t="s">
        <v>1073</v>
      </c>
      <c r="I22" s="1793" t="s">
        <v>1085</v>
      </c>
      <c r="J22" s="510" t="s">
        <v>1572</v>
      </c>
      <c r="L22" s="1844"/>
      <c r="M22" s="385" t="s">
        <v>1601</v>
      </c>
      <c r="N22" s="506" t="s">
        <v>1072</v>
      </c>
      <c r="O22" s="1821" t="s">
        <v>1073</v>
      </c>
      <c r="P22" s="1812" t="s">
        <v>1307</v>
      </c>
      <c r="Q22" s="504">
        <v>12480</v>
      </c>
    </row>
    <row r="23" spans="5:17" ht="35.1" customHeight="1">
      <c r="E23" s="1809"/>
      <c r="F23" s="378" t="s">
        <v>1573</v>
      </c>
      <c r="G23" s="1795"/>
      <c r="H23" s="1792"/>
      <c r="I23" s="1790"/>
      <c r="J23" s="510" t="s">
        <v>1572</v>
      </c>
      <c r="L23" s="1844"/>
      <c r="M23" s="385" t="s">
        <v>1602</v>
      </c>
      <c r="N23" s="506" t="s">
        <v>1067</v>
      </c>
      <c r="O23" s="1834"/>
      <c r="P23" s="1835"/>
      <c r="Q23" s="510" t="s">
        <v>1603</v>
      </c>
    </row>
    <row r="24" spans="5:17" ht="35.1" customHeight="1">
      <c r="E24" s="1809"/>
      <c r="F24" s="378" t="s">
        <v>1574</v>
      </c>
      <c r="G24" s="1794" t="s">
        <v>1072</v>
      </c>
      <c r="H24" s="1791" t="s">
        <v>1073</v>
      </c>
      <c r="I24" s="1793" t="s">
        <v>1086</v>
      </c>
      <c r="J24" s="552">
        <v>3780</v>
      </c>
      <c r="L24" s="1844"/>
      <c r="M24" s="382" t="s">
        <v>1604</v>
      </c>
      <c r="N24" s="1791" t="s">
        <v>1072</v>
      </c>
      <c r="O24" s="1791" t="s">
        <v>1099</v>
      </c>
      <c r="P24" s="1824" t="s">
        <v>1310</v>
      </c>
      <c r="Q24" s="504">
        <v>6450</v>
      </c>
    </row>
    <row r="25" spans="5:17" ht="35.1" customHeight="1">
      <c r="E25" s="1809"/>
      <c r="F25" s="378" t="s">
        <v>1087</v>
      </c>
      <c r="G25" s="1795"/>
      <c r="H25" s="1792"/>
      <c r="I25" s="1790"/>
      <c r="J25" s="552">
        <v>3780</v>
      </c>
      <c r="L25" s="1844"/>
      <c r="M25" s="382" t="s">
        <v>1311</v>
      </c>
      <c r="N25" s="1792"/>
      <c r="O25" s="1792"/>
      <c r="P25" s="1825"/>
      <c r="Q25" s="505">
        <v>5120</v>
      </c>
    </row>
    <row r="26" spans="5:17" ht="35.1" customHeight="1">
      <c r="E26" s="1809"/>
      <c r="F26" s="378" t="s">
        <v>1088</v>
      </c>
      <c r="G26" s="526" t="s">
        <v>1072</v>
      </c>
      <c r="H26" s="383" t="s">
        <v>1073</v>
      </c>
      <c r="I26" s="557" t="s">
        <v>1089</v>
      </c>
      <c r="J26" s="552">
        <v>2060</v>
      </c>
      <c r="L26" s="1844"/>
      <c r="M26" s="382" t="s">
        <v>1605</v>
      </c>
      <c r="N26" s="855" t="s">
        <v>1072</v>
      </c>
      <c r="O26" s="1791" t="s">
        <v>1099</v>
      </c>
      <c r="P26" s="1824" t="s">
        <v>1312</v>
      </c>
      <c r="Q26" s="510" t="s">
        <v>1572</v>
      </c>
    </row>
    <row r="27" spans="5:17" ht="35.1" customHeight="1">
      <c r="E27" s="1809"/>
      <c r="F27" s="378" t="s">
        <v>1575</v>
      </c>
      <c r="G27" s="526" t="s">
        <v>1067</v>
      </c>
      <c r="H27" s="383" t="s">
        <v>1073</v>
      </c>
      <c r="I27" s="557" t="s">
        <v>1090</v>
      </c>
      <c r="J27" s="872">
        <v>5148</v>
      </c>
      <c r="L27" s="1844"/>
      <c r="M27" s="382" t="s">
        <v>1606</v>
      </c>
      <c r="N27" s="855" t="s">
        <v>1072</v>
      </c>
      <c r="O27" s="1792"/>
      <c r="P27" s="1825"/>
      <c r="Q27" s="504">
        <v>3350</v>
      </c>
    </row>
    <row r="28" spans="5:17" ht="35.1" customHeight="1">
      <c r="E28" s="1809"/>
      <c r="F28" s="378" t="s">
        <v>1091</v>
      </c>
      <c r="G28" s="526" t="s">
        <v>1067</v>
      </c>
      <c r="H28" s="370" t="s">
        <v>1092</v>
      </c>
      <c r="I28" s="557" t="s">
        <v>1093</v>
      </c>
      <c r="J28" s="558">
        <v>2950</v>
      </c>
      <c r="L28" s="1844"/>
      <c r="M28" s="382" t="s">
        <v>1607</v>
      </c>
      <c r="N28" s="860" t="s">
        <v>1072</v>
      </c>
      <c r="O28" s="383" t="s">
        <v>1608</v>
      </c>
      <c r="P28" s="512" t="s">
        <v>1313</v>
      </c>
      <c r="Q28" s="510" t="s">
        <v>1609</v>
      </c>
    </row>
    <row r="29" spans="5:17" ht="35.1" customHeight="1" thickBot="1">
      <c r="E29" s="1810"/>
      <c r="F29" s="379" t="s">
        <v>1094</v>
      </c>
      <c r="G29" s="535" t="s">
        <v>1067</v>
      </c>
      <c r="H29" s="374" t="s">
        <v>1092</v>
      </c>
      <c r="I29" s="559" t="s">
        <v>1095</v>
      </c>
      <c r="J29" s="536">
        <v>594</v>
      </c>
      <c r="L29" s="1845"/>
      <c r="M29" s="387" t="s">
        <v>1314</v>
      </c>
      <c r="N29" s="513" t="s">
        <v>1067</v>
      </c>
      <c r="O29" s="513" t="s">
        <v>1099</v>
      </c>
      <c r="P29" s="514" t="s">
        <v>1296</v>
      </c>
      <c r="Q29" s="515">
        <v>10413</v>
      </c>
    </row>
    <row r="30" spans="5:17" ht="35.1" customHeight="1">
      <c r="E30" s="1802" t="s">
        <v>1096</v>
      </c>
      <c r="F30" s="380" t="s">
        <v>1097</v>
      </c>
      <c r="G30" s="381" t="s">
        <v>1098</v>
      </c>
      <c r="H30" s="1817" t="s">
        <v>1099</v>
      </c>
      <c r="I30" s="1819" t="s">
        <v>1100</v>
      </c>
      <c r="J30" s="560">
        <v>13180</v>
      </c>
      <c r="L30" s="1814" t="s">
        <v>1315</v>
      </c>
      <c r="M30" s="516" t="s">
        <v>341</v>
      </c>
      <c r="N30" s="517" t="s">
        <v>1082</v>
      </c>
      <c r="O30" s="517" t="s">
        <v>339</v>
      </c>
      <c r="P30" s="518" t="s">
        <v>1316</v>
      </c>
      <c r="Q30" s="519">
        <v>2016</v>
      </c>
    </row>
    <row r="31" spans="5:17" ht="35.1" customHeight="1">
      <c r="E31" s="1806"/>
      <c r="F31" s="382" t="s">
        <v>1097</v>
      </c>
      <c r="G31" s="383" t="s">
        <v>1072</v>
      </c>
      <c r="H31" s="1818"/>
      <c r="I31" s="1820"/>
      <c r="J31" s="505">
        <v>12780</v>
      </c>
      <c r="L31" s="1815"/>
      <c r="M31" s="364" t="s">
        <v>1610</v>
      </c>
      <c r="N31" s="365" t="s">
        <v>1082</v>
      </c>
      <c r="O31" s="365" t="s">
        <v>339</v>
      </c>
      <c r="P31" s="366" t="s">
        <v>340</v>
      </c>
      <c r="Q31" s="539">
        <v>3870</v>
      </c>
    </row>
    <row r="32" spans="5:17" ht="35.1" customHeight="1">
      <c r="E32" s="1806"/>
      <c r="F32" s="382" t="s">
        <v>1101</v>
      </c>
      <c r="G32" s="383" t="s">
        <v>1102</v>
      </c>
      <c r="H32" s="383" t="s">
        <v>1099</v>
      </c>
      <c r="I32" s="1820" t="s">
        <v>1103</v>
      </c>
      <c r="J32" s="505">
        <v>14500</v>
      </c>
      <c r="L32" s="1815"/>
      <c r="M32" s="364" t="s">
        <v>1317</v>
      </c>
      <c r="N32" s="365" t="s">
        <v>1067</v>
      </c>
      <c r="O32" s="365" t="s">
        <v>1318</v>
      </c>
      <c r="P32" s="366" t="s">
        <v>1319</v>
      </c>
      <c r="Q32" s="367">
        <v>4680</v>
      </c>
    </row>
    <row r="33" spans="5:17" ht="35.1" customHeight="1">
      <c r="E33" s="1806"/>
      <c r="F33" s="382" t="s">
        <v>1101</v>
      </c>
      <c r="G33" s="383" t="s">
        <v>1072</v>
      </c>
      <c r="H33" s="383" t="s">
        <v>1099</v>
      </c>
      <c r="I33" s="1820"/>
      <c r="J33" s="505">
        <v>13590</v>
      </c>
      <c r="L33" s="1815"/>
      <c r="M33" s="364" t="s">
        <v>1320</v>
      </c>
      <c r="N33" s="365" t="s">
        <v>1067</v>
      </c>
      <c r="O33" s="365" t="s">
        <v>1321</v>
      </c>
      <c r="P33" s="366" t="s">
        <v>1322</v>
      </c>
      <c r="Q33" s="539">
        <v>2500</v>
      </c>
    </row>
    <row r="34" spans="5:17" ht="35.1" customHeight="1" thickBot="1">
      <c r="E34" s="1806"/>
      <c r="F34" s="382" t="s">
        <v>1104</v>
      </c>
      <c r="G34" s="383" t="s">
        <v>1072</v>
      </c>
      <c r="H34" s="383" t="s">
        <v>1073</v>
      </c>
      <c r="I34" s="512" t="s">
        <v>1105</v>
      </c>
      <c r="J34" s="507">
        <v>11583</v>
      </c>
      <c r="L34" s="1816"/>
      <c r="M34" s="520" t="s">
        <v>1611</v>
      </c>
      <c r="N34" s="373" t="s">
        <v>1082</v>
      </c>
      <c r="O34" s="373" t="s">
        <v>1323</v>
      </c>
      <c r="P34" s="521" t="s">
        <v>1324</v>
      </c>
      <c r="Q34" s="515">
        <v>810</v>
      </c>
    </row>
    <row r="35" spans="5:17" ht="35.1" customHeight="1">
      <c r="E35" s="1806"/>
      <c r="F35" s="382" t="s">
        <v>1106</v>
      </c>
      <c r="G35" s="383" t="s">
        <v>1072</v>
      </c>
      <c r="H35" s="383" t="s">
        <v>1073</v>
      </c>
      <c r="I35" s="512" t="s">
        <v>1107</v>
      </c>
      <c r="J35" s="507">
        <v>11457</v>
      </c>
      <c r="L35" s="1826" t="s">
        <v>1612</v>
      </c>
      <c r="M35" s="522" t="s">
        <v>1325</v>
      </c>
      <c r="N35" s="523" t="s">
        <v>1326</v>
      </c>
      <c r="O35" s="1811" t="s">
        <v>1327</v>
      </c>
      <c r="P35" s="524" t="s">
        <v>1613</v>
      </c>
      <c r="Q35" s="511">
        <v>6950</v>
      </c>
    </row>
    <row r="36" spans="5:17" ht="35.1" customHeight="1" thickBot="1">
      <c r="E36" s="1806"/>
      <c r="F36" s="382" t="s">
        <v>1108</v>
      </c>
      <c r="G36" s="383" t="s">
        <v>1067</v>
      </c>
      <c r="H36" s="383" t="s">
        <v>1099</v>
      </c>
      <c r="I36" s="512" t="s">
        <v>1109</v>
      </c>
      <c r="J36" s="507">
        <v>13518</v>
      </c>
      <c r="L36" s="1826"/>
      <c r="M36" s="878" t="s">
        <v>1328</v>
      </c>
      <c r="N36" s="879" t="s">
        <v>1326</v>
      </c>
      <c r="O36" s="1811"/>
      <c r="P36" s="880" t="s">
        <v>1329</v>
      </c>
      <c r="Q36" s="881">
        <v>1260</v>
      </c>
    </row>
    <row r="37" spans="5:17" ht="35.1" customHeight="1">
      <c r="E37" s="1806"/>
      <c r="F37" s="384" t="s">
        <v>1110</v>
      </c>
      <c r="G37" s="561" t="s">
        <v>1082</v>
      </c>
      <c r="H37" s="383" t="s">
        <v>1099</v>
      </c>
      <c r="I37" s="512" t="s">
        <v>1111</v>
      </c>
      <c r="J37" s="507">
        <v>4860</v>
      </c>
      <c r="L37" s="1827" t="s">
        <v>1330</v>
      </c>
      <c r="M37" s="527" t="s">
        <v>1331</v>
      </c>
      <c r="N37" s="528" t="s">
        <v>1067</v>
      </c>
      <c r="O37" s="1830" t="s">
        <v>1332</v>
      </c>
      <c r="P37" s="1832" t="s">
        <v>1333</v>
      </c>
      <c r="Q37" s="508">
        <v>4131</v>
      </c>
    </row>
    <row r="38" spans="5:17" ht="35.1" customHeight="1">
      <c r="E38" s="1806"/>
      <c r="F38" s="382" t="s">
        <v>1576</v>
      </c>
      <c r="G38" s="383" t="s">
        <v>1067</v>
      </c>
      <c r="H38" s="383" t="s">
        <v>1099</v>
      </c>
      <c r="I38" s="512" t="s">
        <v>1112</v>
      </c>
      <c r="J38" s="367">
        <v>12710</v>
      </c>
      <c r="L38" s="1828"/>
      <c r="M38" s="364" t="s">
        <v>1334</v>
      </c>
      <c r="N38" s="369" t="s">
        <v>1067</v>
      </c>
      <c r="O38" s="1831"/>
      <c r="P38" s="1833"/>
      <c r="Q38" s="367">
        <v>2637</v>
      </c>
    </row>
    <row r="39" spans="5:17" ht="35.1" customHeight="1">
      <c r="E39" s="1806"/>
      <c r="F39" s="385" t="s">
        <v>1113</v>
      </c>
      <c r="G39" s="506" t="s">
        <v>1067</v>
      </c>
      <c r="H39" s="1821" t="s">
        <v>1073</v>
      </c>
      <c r="I39" s="1812" t="s">
        <v>1114</v>
      </c>
      <c r="J39" s="507">
        <v>21060</v>
      </c>
      <c r="L39" s="1828"/>
      <c r="M39" s="364" t="s">
        <v>1335</v>
      </c>
      <c r="N39" s="369" t="s">
        <v>1067</v>
      </c>
      <c r="O39" s="1831"/>
      <c r="P39" s="1833"/>
      <c r="Q39" s="367">
        <v>2583</v>
      </c>
    </row>
    <row r="40" spans="5:17" ht="35.1" customHeight="1" thickBot="1">
      <c r="E40" s="1807"/>
      <c r="F40" s="386" t="s">
        <v>1577</v>
      </c>
      <c r="G40" s="857" t="s">
        <v>1067</v>
      </c>
      <c r="H40" s="1822"/>
      <c r="I40" s="1813"/>
      <c r="J40" s="562">
        <v>26500</v>
      </c>
      <c r="L40" s="1829"/>
      <c r="M40" s="529" t="s">
        <v>1336</v>
      </c>
      <c r="N40" s="530" t="s">
        <v>1067</v>
      </c>
      <c r="O40" s="530" t="s">
        <v>1332</v>
      </c>
      <c r="P40" s="521" t="s">
        <v>1337</v>
      </c>
      <c r="Q40" s="882">
        <v>7150</v>
      </c>
    </row>
    <row r="41" spans="5:17" ht="35.1" customHeight="1" thickBot="1">
      <c r="E41" s="1807"/>
      <c r="F41" s="386" t="s">
        <v>1578</v>
      </c>
      <c r="G41" s="857" t="s">
        <v>1067</v>
      </c>
      <c r="H41" s="1823"/>
      <c r="I41" s="1813"/>
      <c r="J41" s="873">
        <v>18837</v>
      </c>
      <c r="L41" s="1802" t="s">
        <v>1338</v>
      </c>
      <c r="M41" s="531" t="s">
        <v>1339</v>
      </c>
      <c r="N41" s="532" t="s">
        <v>1067</v>
      </c>
      <c r="O41" s="1849" t="s">
        <v>1340</v>
      </c>
      <c r="P41" s="1851" t="s">
        <v>1341</v>
      </c>
      <c r="Q41" s="533">
        <v>4275</v>
      </c>
    </row>
    <row r="42" spans="5:17" ht="35.1" customHeight="1" thickBot="1">
      <c r="E42" s="1814" t="s">
        <v>1115</v>
      </c>
      <c r="F42" s="380" t="s">
        <v>1116</v>
      </c>
      <c r="G42" s="859" t="s">
        <v>1067</v>
      </c>
      <c r="H42" s="1817" t="s">
        <v>1099</v>
      </c>
      <c r="I42" s="1819" t="s">
        <v>1117</v>
      </c>
      <c r="J42" s="560">
        <v>2660</v>
      </c>
      <c r="L42" s="1803"/>
      <c r="M42" s="534" t="s">
        <v>1342</v>
      </c>
      <c r="N42" s="535" t="s">
        <v>1067</v>
      </c>
      <c r="O42" s="1850"/>
      <c r="P42" s="1852"/>
      <c r="Q42" s="376">
        <v>4329</v>
      </c>
    </row>
    <row r="43" spans="5:17" ht="35.1" customHeight="1">
      <c r="E43" s="1815"/>
      <c r="F43" s="382" t="s">
        <v>1116</v>
      </c>
      <c r="G43" s="860" t="s">
        <v>1072</v>
      </c>
      <c r="H43" s="1818"/>
      <c r="I43" s="1820"/>
      <c r="J43" s="504">
        <v>1830</v>
      </c>
      <c r="L43" s="1827" t="s">
        <v>1343</v>
      </c>
      <c r="M43" s="516" t="s">
        <v>1344</v>
      </c>
      <c r="N43" s="537" t="s">
        <v>1345</v>
      </c>
      <c r="O43" s="1849" t="s">
        <v>1614</v>
      </c>
      <c r="P43" s="1851" t="s">
        <v>1346</v>
      </c>
      <c r="Q43" s="519">
        <v>3990</v>
      </c>
    </row>
    <row r="44" spans="5:17" ht="35.1" customHeight="1">
      <c r="E44" s="1815"/>
      <c r="F44" s="382" t="s">
        <v>1118</v>
      </c>
      <c r="G44" s="860" t="s">
        <v>1072</v>
      </c>
      <c r="H44" s="860" t="s">
        <v>1073</v>
      </c>
      <c r="I44" s="382" t="s">
        <v>1119</v>
      </c>
      <c r="J44" s="504">
        <v>1890</v>
      </c>
      <c r="L44" s="1828"/>
      <c r="M44" s="522" t="s">
        <v>1615</v>
      </c>
      <c r="N44" s="538" t="s">
        <v>1347</v>
      </c>
      <c r="O44" s="1795"/>
      <c r="P44" s="1842"/>
      <c r="Q44" s="367">
        <v>9910</v>
      </c>
    </row>
    <row r="45" spans="5:17" ht="35.1" customHeight="1">
      <c r="E45" s="1815"/>
      <c r="F45" s="861" t="s">
        <v>1120</v>
      </c>
      <c r="G45" s="860" t="s">
        <v>1067</v>
      </c>
      <c r="H45" s="860" t="s">
        <v>1073</v>
      </c>
      <c r="I45" s="382" t="s">
        <v>1121</v>
      </c>
      <c r="J45" s="505">
        <v>2430</v>
      </c>
      <c r="L45" s="1828"/>
      <c r="M45" s="364" t="s">
        <v>1348</v>
      </c>
      <c r="N45" s="365" t="s">
        <v>1345</v>
      </c>
      <c r="O45" s="540" t="s">
        <v>1349</v>
      </c>
      <c r="P45" s="541" t="s">
        <v>1350</v>
      </c>
      <c r="Q45" s="539">
        <v>4790</v>
      </c>
    </row>
    <row r="46" spans="5:17" ht="35.1" customHeight="1">
      <c r="E46" s="1815"/>
      <c r="F46" s="861" t="s">
        <v>1579</v>
      </c>
      <c r="G46" s="860" t="s">
        <v>1072</v>
      </c>
      <c r="H46" s="860" t="s">
        <v>1073</v>
      </c>
      <c r="I46" s="382" t="s">
        <v>1122</v>
      </c>
      <c r="J46" s="507">
        <v>650</v>
      </c>
      <c r="L46" s="1828"/>
      <c r="M46" s="525" t="s">
        <v>1616</v>
      </c>
      <c r="N46" s="365" t="s">
        <v>1345</v>
      </c>
      <c r="O46" s="883" t="s">
        <v>1614</v>
      </c>
      <c r="P46" s="884" t="s">
        <v>1617</v>
      </c>
      <c r="Q46" s="539">
        <v>25990</v>
      </c>
    </row>
    <row r="47" spans="5:17" ht="35.1" customHeight="1">
      <c r="E47" s="1815"/>
      <c r="F47" s="385" t="s">
        <v>1398</v>
      </c>
      <c r="G47" s="860" t="s">
        <v>1067</v>
      </c>
      <c r="H47" s="860" t="s">
        <v>1073</v>
      </c>
      <c r="I47" s="564" t="s">
        <v>1123</v>
      </c>
      <c r="J47" s="510" t="s">
        <v>1580</v>
      </c>
      <c r="L47" s="1828"/>
      <c r="M47" s="525" t="s">
        <v>1618</v>
      </c>
      <c r="N47" s="365" t="s">
        <v>1345</v>
      </c>
      <c r="O47" s="883" t="s">
        <v>1614</v>
      </c>
      <c r="P47" s="1840" t="s">
        <v>1619</v>
      </c>
      <c r="Q47" s="539">
        <v>7590</v>
      </c>
    </row>
    <row r="48" spans="5:17" ht="35.1" customHeight="1">
      <c r="E48" s="1815"/>
      <c r="F48" s="385" t="s">
        <v>1581</v>
      </c>
      <c r="G48" s="860" t="s">
        <v>1067</v>
      </c>
      <c r="H48" s="860" t="s">
        <v>1073</v>
      </c>
      <c r="I48" s="564" t="s">
        <v>1582</v>
      </c>
      <c r="J48" s="873">
        <v>2350</v>
      </c>
      <c r="L48" s="1828"/>
      <c r="M48" s="525" t="s">
        <v>1620</v>
      </c>
      <c r="N48" s="365" t="s">
        <v>1345</v>
      </c>
      <c r="O48" s="883" t="s">
        <v>1614</v>
      </c>
      <c r="P48" s="1842"/>
      <c r="Q48" s="539">
        <v>9290</v>
      </c>
    </row>
    <row r="49" spans="5:17" ht="35.1" customHeight="1">
      <c r="E49" s="1815"/>
      <c r="F49" s="382" t="s">
        <v>1124</v>
      </c>
      <c r="G49" s="860" t="s">
        <v>1072</v>
      </c>
      <c r="H49" s="860" t="s">
        <v>1073</v>
      </c>
      <c r="I49" s="382" t="s">
        <v>1125</v>
      </c>
      <c r="J49" s="873">
        <v>1521</v>
      </c>
      <c r="L49" s="1828"/>
      <c r="M49" s="525" t="s">
        <v>1621</v>
      </c>
      <c r="N49" s="365" t="s">
        <v>1345</v>
      </c>
      <c r="O49" s="883" t="s">
        <v>1614</v>
      </c>
      <c r="P49" s="884" t="s">
        <v>1622</v>
      </c>
      <c r="Q49" s="539">
        <v>3450</v>
      </c>
    </row>
    <row r="50" spans="5:17" ht="35.1" customHeight="1">
      <c r="E50" s="1815"/>
      <c r="F50" s="382" t="s">
        <v>1583</v>
      </c>
      <c r="G50" s="860" t="s">
        <v>1072</v>
      </c>
      <c r="H50" s="1818" t="s">
        <v>1073</v>
      </c>
      <c r="I50" s="1820" t="s">
        <v>1126</v>
      </c>
      <c r="J50" s="504">
        <v>7710</v>
      </c>
      <c r="L50" s="1828"/>
      <c r="M50" s="525" t="s">
        <v>1623</v>
      </c>
      <c r="N50" s="1837" t="s">
        <v>1345</v>
      </c>
      <c r="O50" s="1837" t="s">
        <v>1614</v>
      </c>
      <c r="P50" s="1840" t="s">
        <v>1624</v>
      </c>
      <c r="Q50" s="539">
        <v>2300</v>
      </c>
    </row>
    <row r="51" spans="5:17" ht="35.1" customHeight="1">
      <c r="E51" s="1815"/>
      <c r="F51" s="382" t="s">
        <v>1127</v>
      </c>
      <c r="G51" s="860" t="s">
        <v>1072</v>
      </c>
      <c r="H51" s="1818"/>
      <c r="I51" s="1820"/>
      <c r="J51" s="504">
        <v>8120</v>
      </c>
      <c r="L51" s="1828"/>
      <c r="M51" s="525" t="s">
        <v>1625</v>
      </c>
      <c r="N51" s="1839"/>
      <c r="O51" s="1839"/>
      <c r="P51" s="1842"/>
      <c r="Q51" s="539">
        <v>2700</v>
      </c>
    </row>
    <row r="52" spans="5:17" ht="35.1" customHeight="1">
      <c r="E52" s="1815"/>
      <c r="F52" s="382" t="s">
        <v>1128</v>
      </c>
      <c r="G52" s="860" t="s">
        <v>1067</v>
      </c>
      <c r="H52" s="1818"/>
      <c r="I52" s="1820"/>
      <c r="J52" s="505">
        <v>8780</v>
      </c>
      <c r="L52" s="1828"/>
      <c r="M52" s="525" t="s">
        <v>1626</v>
      </c>
      <c r="N52" s="1837" t="s">
        <v>1345</v>
      </c>
      <c r="O52" s="1837" t="s">
        <v>1614</v>
      </c>
      <c r="P52" s="1840" t="s">
        <v>1627</v>
      </c>
      <c r="Q52" s="367">
        <v>990</v>
      </c>
    </row>
    <row r="53" spans="5:17" ht="35.1" customHeight="1">
      <c r="E53" s="1815"/>
      <c r="F53" s="382" t="s">
        <v>1584</v>
      </c>
      <c r="G53" s="860" t="s">
        <v>1072</v>
      </c>
      <c r="H53" s="860" t="s">
        <v>1073</v>
      </c>
      <c r="I53" s="382" t="s">
        <v>1129</v>
      </c>
      <c r="J53" s="873">
        <v>8541</v>
      </c>
      <c r="L53" s="1828"/>
      <c r="M53" s="525" t="s">
        <v>1628</v>
      </c>
      <c r="N53" s="1838"/>
      <c r="O53" s="1838"/>
      <c r="P53" s="1841"/>
      <c r="Q53" s="367">
        <v>1290</v>
      </c>
    </row>
    <row r="54" spans="5:17" ht="35.1" customHeight="1">
      <c r="E54" s="1815"/>
      <c r="F54" s="382" t="s">
        <v>1130</v>
      </c>
      <c r="G54" s="860" t="s">
        <v>1072</v>
      </c>
      <c r="H54" s="860" t="s">
        <v>1073</v>
      </c>
      <c r="I54" s="382" t="s">
        <v>1131</v>
      </c>
      <c r="J54" s="504">
        <v>7420</v>
      </c>
      <c r="L54" s="1828"/>
      <c r="M54" s="525" t="s">
        <v>1629</v>
      </c>
      <c r="N54" s="1839"/>
      <c r="O54" s="1839"/>
      <c r="P54" s="1842"/>
      <c r="Q54" s="367">
        <v>1490</v>
      </c>
    </row>
    <row r="55" spans="5:17" ht="35.1" customHeight="1" thickBot="1">
      <c r="E55" s="1816"/>
      <c r="F55" s="387" t="s">
        <v>1585</v>
      </c>
      <c r="G55" s="565" t="s">
        <v>1072</v>
      </c>
      <c r="H55" s="565" t="s">
        <v>1073</v>
      </c>
      <c r="I55" s="387" t="s">
        <v>1132</v>
      </c>
      <c r="J55" s="874">
        <v>3943</v>
      </c>
      <c r="L55" s="1828"/>
      <c r="M55" s="364" t="s">
        <v>1630</v>
      </c>
      <c r="N55" s="365" t="s">
        <v>1072</v>
      </c>
      <c r="O55" s="526" t="s">
        <v>1073</v>
      </c>
      <c r="P55" s="542" t="s">
        <v>1351</v>
      </c>
      <c r="Q55" s="367">
        <v>1740</v>
      </c>
    </row>
    <row r="56" spans="5:17" ht="35.1" customHeight="1" thickBot="1">
      <c r="E56" s="1836" t="s">
        <v>1133</v>
      </c>
      <c r="F56" s="388" t="s">
        <v>1134</v>
      </c>
      <c r="G56" s="389" t="s">
        <v>1072</v>
      </c>
      <c r="H56" s="856" t="s">
        <v>1073</v>
      </c>
      <c r="I56" s="566" t="s">
        <v>1135</v>
      </c>
      <c r="J56" s="875">
        <v>1629</v>
      </c>
      <c r="L56" s="1829"/>
      <c r="M56" s="543" t="s">
        <v>1631</v>
      </c>
      <c r="N56" s="544" t="s">
        <v>1345</v>
      </c>
      <c r="O56" s="545" t="s">
        <v>1352</v>
      </c>
      <c r="P56" s="546" t="s">
        <v>1353</v>
      </c>
      <c r="Q56" s="885">
        <v>2590</v>
      </c>
    </row>
    <row r="57" spans="5:17" ht="35.1" customHeight="1">
      <c r="E57" s="1806"/>
      <c r="F57" s="382" t="s">
        <v>1136</v>
      </c>
      <c r="G57" s="383" t="s">
        <v>1072</v>
      </c>
      <c r="H57" s="860" t="s">
        <v>1073</v>
      </c>
      <c r="I57" s="512" t="s">
        <v>1137</v>
      </c>
      <c r="J57" s="876">
        <v>10413</v>
      </c>
      <c r="L57" s="1853" t="s">
        <v>1354</v>
      </c>
      <c r="M57" s="377" t="s">
        <v>1632</v>
      </c>
      <c r="N57" s="547" t="s">
        <v>1345</v>
      </c>
      <c r="O57" s="547" t="s">
        <v>1349</v>
      </c>
      <c r="P57" s="548" t="s">
        <v>1355</v>
      </c>
      <c r="Q57" s="511">
        <v>13390</v>
      </c>
    </row>
    <row r="58" spans="5:17" ht="35.1" customHeight="1">
      <c r="E58" s="1806"/>
      <c r="F58" s="382" t="s">
        <v>1138</v>
      </c>
      <c r="G58" s="383" t="s">
        <v>1067</v>
      </c>
      <c r="H58" s="860" t="s">
        <v>1073</v>
      </c>
      <c r="I58" s="512" t="s">
        <v>1139</v>
      </c>
      <c r="J58" s="567">
        <v>840</v>
      </c>
      <c r="L58" s="1815"/>
      <c r="M58" s="378" t="s">
        <v>1356</v>
      </c>
      <c r="N58" s="858" t="s">
        <v>1345</v>
      </c>
      <c r="O58" s="858" t="s">
        <v>1349</v>
      </c>
      <c r="P58" s="549" t="s">
        <v>1357</v>
      </c>
      <c r="Q58" s="367">
        <v>13990</v>
      </c>
    </row>
    <row r="59" spans="5:17" ht="35.1" customHeight="1">
      <c r="E59" s="1806"/>
      <c r="F59" s="382" t="s">
        <v>1586</v>
      </c>
      <c r="G59" s="383" t="s">
        <v>1072</v>
      </c>
      <c r="H59" s="860" t="s">
        <v>1073</v>
      </c>
      <c r="I59" s="512" t="s">
        <v>1140</v>
      </c>
      <c r="J59" s="876">
        <v>1240</v>
      </c>
      <c r="L59" s="1815"/>
      <c r="M59" s="378" t="s">
        <v>1358</v>
      </c>
      <c r="N59" s="858" t="s">
        <v>1345</v>
      </c>
      <c r="O59" s="858" t="s">
        <v>1349</v>
      </c>
      <c r="P59" s="1854" t="s">
        <v>1359</v>
      </c>
      <c r="Q59" s="539">
        <v>17390</v>
      </c>
    </row>
    <row r="60" spans="5:17" ht="30" customHeight="1">
      <c r="L60" s="1815"/>
      <c r="M60" s="378" t="s">
        <v>1360</v>
      </c>
      <c r="N60" s="858" t="s">
        <v>1345</v>
      </c>
      <c r="O60" s="858" t="s">
        <v>1349</v>
      </c>
      <c r="P60" s="1855"/>
      <c r="Q60" s="539">
        <v>24690</v>
      </c>
    </row>
    <row r="61" spans="5:17" ht="30" customHeight="1">
      <c r="L61" s="1815"/>
      <c r="M61" s="550" t="s">
        <v>1361</v>
      </c>
      <c r="N61" s="551" t="s">
        <v>1345</v>
      </c>
      <c r="O61" s="858" t="s">
        <v>1349</v>
      </c>
      <c r="P61" s="549" t="s">
        <v>1362</v>
      </c>
      <c r="Q61" s="558">
        <v>790</v>
      </c>
    </row>
    <row r="62" spans="5:17" ht="30" customHeight="1">
      <c r="L62" s="1815"/>
      <c r="M62" s="550" t="s">
        <v>1363</v>
      </c>
      <c r="N62" s="551" t="s">
        <v>1345</v>
      </c>
      <c r="O62" s="858" t="s">
        <v>1349</v>
      </c>
      <c r="P62" s="549" t="s">
        <v>1364</v>
      </c>
      <c r="Q62" s="558">
        <v>990</v>
      </c>
    </row>
    <row r="63" spans="5:17" ht="30" customHeight="1">
      <c r="L63" s="1815"/>
      <c r="M63" s="553" t="s">
        <v>1365</v>
      </c>
      <c r="N63" s="858" t="s">
        <v>1345</v>
      </c>
      <c r="O63" s="858" t="s">
        <v>1349</v>
      </c>
      <c r="P63" s="549" t="s">
        <v>1366</v>
      </c>
      <c r="Q63" s="367">
        <v>2390</v>
      </c>
    </row>
    <row r="64" spans="5:17" ht="30" customHeight="1">
      <c r="L64" s="1815"/>
      <c r="M64" s="553" t="s">
        <v>1367</v>
      </c>
      <c r="N64" s="858" t="s">
        <v>1345</v>
      </c>
      <c r="O64" s="858" t="s">
        <v>1349</v>
      </c>
      <c r="P64" s="549" t="s">
        <v>1368</v>
      </c>
      <c r="Q64" s="539">
        <v>3190</v>
      </c>
    </row>
    <row r="65" spans="12:17" ht="30" customHeight="1">
      <c r="L65" s="1815"/>
      <c r="M65" s="553" t="s">
        <v>1369</v>
      </c>
      <c r="N65" s="858" t="s">
        <v>1345</v>
      </c>
      <c r="O65" s="858" t="s">
        <v>1349</v>
      </c>
      <c r="P65" s="549" t="s">
        <v>1370</v>
      </c>
      <c r="Q65" s="539">
        <v>3190</v>
      </c>
    </row>
    <row r="66" spans="12:17" ht="30" customHeight="1">
      <c r="L66" s="1815"/>
      <c r="M66" s="553" t="s">
        <v>1371</v>
      </c>
      <c r="N66" s="858" t="s">
        <v>1345</v>
      </c>
      <c r="O66" s="858" t="s">
        <v>1349</v>
      </c>
      <c r="P66" s="549" t="s">
        <v>1372</v>
      </c>
      <c r="Q66" s="539">
        <v>3990</v>
      </c>
    </row>
    <row r="67" spans="12:17" ht="30" customHeight="1">
      <c r="L67" s="1815"/>
      <c r="M67" s="553" t="s">
        <v>1373</v>
      </c>
      <c r="N67" s="858" t="s">
        <v>1345</v>
      </c>
      <c r="O67" s="858" t="s">
        <v>1349</v>
      </c>
      <c r="P67" s="1854" t="s">
        <v>1374</v>
      </c>
      <c r="Q67" s="539">
        <v>3590</v>
      </c>
    </row>
    <row r="68" spans="12:17" ht="30" customHeight="1">
      <c r="L68" s="1815"/>
      <c r="M68" s="553" t="s">
        <v>1375</v>
      </c>
      <c r="N68" s="858" t="s">
        <v>1345</v>
      </c>
      <c r="O68" s="858" t="s">
        <v>1349</v>
      </c>
      <c r="P68" s="1855"/>
      <c r="Q68" s="367">
        <v>3990</v>
      </c>
    </row>
    <row r="69" spans="12:17" ht="30" customHeight="1">
      <c r="L69" s="1815"/>
      <c r="M69" s="550" t="s">
        <v>1376</v>
      </c>
      <c r="N69" s="369" t="s">
        <v>1067</v>
      </c>
      <c r="O69" s="369" t="s">
        <v>1349</v>
      </c>
      <c r="P69" s="366" t="s">
        <v>1377</v>
      </c>
      <c r="Q69" s="367">
        <v>1224</v>
      </c>
    </row>
    <row r="70" spans="12:17" ht="30" customHeight="1" thickBot="1">
      <c r="L70" s="1816"/>
      <c r="M70" s="372" t="s">
        <v>1378</v>
      </c>
      <c r="N70" s="530" t="s">
        <v>1379</v>
      </c>
      <c r="O70" s="530" t="s">
        <v>1349</v>
      </c>
      <c r="P70" s="521" t="s">
        <v>1380</v>
      </c>
      <c r="Q70" s="376">
        <v>26000</v>
      </c>
    </row>
    <row r="71" spans="12:17" ht="30" customHeight="1">
      <c r="L71" s="1836" t="s">
        <v>1381</v>
      </c>
      <c r="M71" s="522" t="s">
        <v>1382</v>
      </c>
      <c r="N71" s="523" t="s">
        <v>1383</v>
      </c>
      <c r="O71" s="554" t="s">
        <v>1384</v>
      </c>
      <c r="P71" s="555" t="s">
        <v>1385</v>
      </c>
      <c r="Q71" s="556">
        <v>590</v>
      </c>
    </row>
    <row r="72" spans="12:17" ht="30" customHeight="1">
      <c r="L72" s="1806"/>
      <c r="M72" s="525" t="s">
        <v>1386</v>
      </c>
      <c r="N72" s="365" t="s">
        <v>1383</v>
      </c>
      <c r="O72" s="526" t="s">
        <v>1384</v>
      </c>
      <c r="P72" s="366" t="s">
        <v>1387</v>
      </c>
      <c r="Q72" s="538" t="s">
        <v>1388</v>
      </c>
    </row>
    <row r="73" spans="12:17" ht="30" customHeight="1">
      <c r="L73" s="1806"/>
      <c r="M73" s="368" t="s">
        <v>1633</v>
      </c>
      <c r="N73" s="370" t="s">
        <v>21</v>
      </c>
      <c r="O73" s="370" t="s">
        <v>1389</v>
      </c>
      <c r="P73" s="557" t="s">
        <v>1390</v>
      </c>
      <c r="Q73" s="367">
        <v>80</v>
      </c>
    </row>
    <row r="74" spans="12:17" ht="30" customHeight="1">
      <c r="L74" s="1806"/>
      <c r="M74" s="364" t="s">
        <v>1391</v>
      </c>
      <c r="N74" s="365" t="s">
        <v>1383</v>
      </c>
      <c r="O74" s="526" t="s">
        <v>1392</v>
      </c>
      <c r="P74" s="366" t="s">
        <v>1393</v>
      </c>
      <c r="Q74" s="538">
        <v>850</v>
      </c>
    </row>
    <row r="75" spans="12:17" ht="30" customHeight="1">
      <c r="L75" s="1806"/>
      <c r="M75" s="364" t="s">
        <v>1394</v>
      </c>
      <c r="N75" s="365" t="s">
        <v>1395</v>
      </c>
      <c r="O75" s="1794" t="s">
        <v>1396</v>
      </c>
      <c r="P75" s="1840" t="s">
        <v>1397</v>
      </c>
      <c r="Q75" s="367" t="s">
        <v>1594</v>
      </c>
    </row>
    <row r="76" spans="12:17" ht="30" customHeight="1">
      <c r="L76" s="1806"/>
      <c r="M76" s="364" t="s">
        <v>1634</v>
      </c>
      <c r="N76" s="365" t="s">
        <v>1326</v>
      </c>
      <c r="O76" s="1811"/>
      <c r="P76" s="1841"/>
      <c r="Q76" s="367">
        <v>6230</v>
      </c>
    </row>
    <row r="77" spans="12:17" ht="30" customHeight="1">
      <c r="L77" s="1806"/>
      <c r="M77" s="364" t="s">
        <v>1635</v>
      </c>
      <c r="N77" s="365" t="s">
        <v>1326</v>
      </c>
      <c r="O77" s="1811"/>
      <c r="P77" s="1842"/>
      <c r="Q77" s="367">
        <v>6690</v>
      </c>
    </row>
    <row r="78" spans="12:17" ht="30" customHeight="1">
      <c r="L78" s="1806"/>
      <c r="M78" s="364" t="s">
        <v>1636</v>
      </c>
      <c r="N78" s="365" t="s">
        <v>1326</v>
      </c>
      <c r="O78" s="1811"/>
      <c r="P78" s="1840" t="s">
        <v>1637</v>
      </c>
      <c r="Q78" s="367">
        <v>2490</v>
      </c>
    </row>
    <row r="79" spans="12:17" ht="30" customHeight="1">
      <c r="L79" s="1806"/>
      <c r="M79" s="364" t="s">
        <v>1638</v>
      </c>
      <c r="N79" s="365" t="s">
        <v>1326</v>
      </c>
      <c r="O79" s="1795"/>
      <c r="P79" s="1842"/>
      <c r="Q79" s="367">
        <v>2980</v>
      </c>
    </row>
    <row r="80" spans="12:17" ht="30" customHeight="1">
      <c r="L80" s="1806"/>
      <c r="M80" s="525" t="s">
        <v>1639</v>
      </c>
      <c r="N80" s="365" t="s">
        <v>1640</v>
      </c>
      <c r="O80" s="1794" t="s">
        <v>1641</v>
      </c>
      <c r="P80" s="1840" t="s">
        <v>1642</v>
      </c>
      <c r="Q80" s="538">
        <v>130</v>
      </c>
    </row>
    <row r="81" spans="12:17" ht="30" customHeight="1">
      <c r="L81" s="1806"/>
      <c r="M81" s="525" t="s">
        <v>1643</v>
      </c>
      <c r="N81" s="365" t="s">
        <v>1640</v>
      </c>
      <c r="O81" s="1795"/>
      <c r="P81" s="1842"/>
      <c r="Q81" s="510" t="s">
        <v>1644</v>
      </c>
    </row>
  </sheetData>
  <mergeCells count="90">
    <mergeCell ref="L57:L70"/>
    <mergeCell ref="P59:P60"/>
    <mergeCell ref="P67:P68"/>
    <mergeCell ref="L71:L81"/>
    <mergeCell ref="O75:O79"/>
    <mergeCell ref="P75:P77"/>
    <mergeCell ref="P78:P79"/>
    <mergeCell ref="O80:O81"/>
    <mergeCell ref="P80:P81"/>
    <mergeCell ref="P41:P42"/>
    <mergeCell ref="L43:L56"/>
    <mergeCell ref="O43:O44"/>
    <mergeCell ref="P43:P44"/>
    <mergeCell ref="P47:P48"/>
    <mergeCell ref="N50:N51"/>
    <mergeCell ref="O50:O51"/>
    <mergeCell ref="P50:P51"/>
    <mergeCell ref="N52:N54"/>
    <mergeCell ref="O52:O54"/>
    <mergeCell ref="P52:P54"/>
    <mergeCell ref="L4:L29"/>
    <mergeCell ref="O4:O5"/>
    <mergeCell ref="P4:P5"/>
    <mergeCell ref="M6:M7"/>
    <mergeCell ref="O6:O7"/>
    <mergeCell ref="P6:P7"/>
    <mergeCell ref="O8:O9"/>
    <mergeCell ref="O41:O42"/>
    <mergeCell ref="P8:P9"/>
    <mergeCell ref="O13:O16"/>
    <mergeCell ref="P13:P16"/>
    <mergeCell ref="O17:O18"/>
    <mergeCell ref="O20:O21"/>
    <mergeCell ref="P20:P21"/>
    <mergeCell ref="O22:O23"/>
    <mergeCell ref="P22:P23"/>
    <mergeCell ref="E56:E59"/>
    <mergeCell ref="L2:M3"/>
    <mergeCell ref="N2:N3"/>
    <mergeCell ref="O2:O3"/>
    <mergeCell ref="P2:P3"/>
    <mergeCell ref="N24:N25"/>
    <mergeCell ref="O24:O25"/>
    <mergeCell ref="P24:P25"/>
    <mergeCell ref="I32:I33"/>
    <mergeCell ref="H39:H41"/>
    <mergeCell ref="O26:O27"/>
    <mergeCell ref="P26:P27"/>
    <mergeCell ref="L30:L34"/>
    <mergeCell ref="L35:L36"/>
    <mergeCell ref="O35:O36"/>
    <mergeCell ref="L37:L40"/>
    <mergeCell ref="O37:O39"/>
    <mergeCell ref="P37:P39"/>
    <mergeCell ref="H24:H25"/>
    <mergeCell ref="I24:I25"/>
    <mergeCell ref="E42:E55"/>
    <mergeCell ref="H42:H43"/>
    <mergeCell ref="I42:I43"/>
    <mergeCell ref="H50:H52"/>
    <mergeCell ref="I50:I52"/>
    <mergeCell ref="E30:E41"/>
    <mergeCell ref="H30:H31"/>
    <mergeCell ref="I30:I31"/>
    <mergeCell ref="G18:G19"/>
    <mergeCell ref="H18:H19"/>
    <mergeCell ref="I18:I19"/>
    <mergeCell ref="H20:H21"/>
    <mergeCell ref="I20:I21"/>
    <mergeCell ref="I39:I41"/>
    <mergeCell ref="G22:G23"/>
    <mergeCell ref="H22:H23"/>
    <mergeCell ref="I22:I23"/>
    <mergeCell ref="G24:G25"/>
    <mergeCell ref="E2:F3"/>
    <mergeCell ref="G2:G3"/>
    <mergeCell ref="G20:G21"/>
    <mergeCell ref="L41:L42"/>
    <mergeCell ref="H2:H3"/>
    <mergeCell ref="I2:I3"/>
    <mergeCell ref="E4:E11"/>
    <mergeCell ref="E12:E29"/>
    <mergeCell ref="G12:G13"/>
    <mergeCell ref="I16:I17"/>
    <mergeCell ref="H12:H13"/>
    <mergeCell ref="I12:I13"/>
    <mergeCell ref="H14:H15"/>
    <mergeCell ref="I14:I15"/>
    <mergeCell ref="G16:G17"/>
    <mergeCell ref="H16:H1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2060"/>
  </sheetPr>
  <dimension ref="B5:H21"/>
  <sheetViews>
    <sheetView workbookViewId="0">
      <selection activeCell="H9" sqref="H9"/>
    </sheetView>
  </sheetViews>
  <sheetFormatPr defaultRowHeight="15"/>
  <cols>
    <col min="2" max="2" width="32.28515625" customWidth="1"/>
    <col min="3" max="3" width="12.85546875" customWidth="1"/>
    <col min="4" max="4" width="21.5703125" customWidth="1"/>
    <col min="5" max="5" width="19.7109375" customWidth="1"/>
    <col min="6" max="6" width="20.140625" customWidth="1"/>
    <col min="7" max="7" width="11.28515625" customWidth="1"/>
    <col min="8" max="8" width="10.140625" bestFit="1" customWidth="1"/>
  </cols>
  <sheetData>
    <row r="5" spans="2:8">
      <c r="B5" s="731"/>
      <c r="C5" s="731"/>
      <c r="D5" s="731"/>
      <c r="E5" s="731"/>
      <c r="F5" s="731"/>
      <c r="G5" s="732" t="s">
        <v>1453</v>
      </c>
      <c r="H5" s="733">
        <v>42160</v>
      </c>
    </row>
    <row r="6" spans="2:8" ht="18">
      <c r="B6" s="1861" t="s">
        <v>1454</v>
      </c>
      <c r="C6" s="1861"/>
      <c r="D6" s="1861"/>
      <c r="E6" s="1861"/>
      <c r="F6" s="1861"/>
      <c r="G6" s="1861"/>
      <c r="H6" s="1861"/>
    </row>
    <row r="7" spans="2:8">
      <c r="B7" s="734" t="s">
        <v>464</v>
      </c>
      <c r="C7" s="734" t="s">
        <v>1455</v>
      </c>
      <c r="D7" s="1862" t="s">
        <v>1143</v>
      </c>
      <c r="E7" s="1863"/>
      <c r="F7" s="734" t="s">
        <v>1456</v>
      </c>
      <c r="G7" s="734" t="s">
        <v>233</v>
      </c>
      <c r="H7" s="734" t="s">
        <v>1457</v>
      </c>
    </row>
    <row r="8" spans="2:8">
      <c r="B8" s="1864" t="s">
        <v>1458</v>
      </c>
      <c r="C8" s="1856" t="s">
        <v>1459</v>
      </c>
      <c r="D8" s="1868"/>
      <c r="E8" s="1869"/>
      <c r="F8" s="1856" t="s">
        <v>1460</v>
      </c>
      <c r="G8" s="735" t="s">
        <v>223</v>
      </c>
      <c r="H8" s="735">
        <f>ROUND(290*(1-C46),2)</f>
        <v>290</v>
      </c>
    </row>
    <row r="9" spans="2:8" ht="25.5">
      <c r="B9" s="1865"/>
      <c r="C9" s="1867"/>
      <c r="D9" s="1870"/>
      <c r="E9" s="1871"/>
      <c r="F9" s="1867"/>
      <c r="G9" s="735" t="s">
        <v>1461</v>
      </c>
      <c r="H9" s="735">
        <f>H8*3</f>
        <v>870</v>
      </c>
    </row>
    <row r="10" spans="2:8" ht="70.5" customHeight="1">
      <c r="B10" s="1866"/>
      <c r="C10" s="1857"/>
      <c r="D10" s="1872"/>
      <c r="E10" s="1873"/>
      <c r="F10" s="1857"/>
      <c r="G10" s="735" t="s">
        <v>1462</v>
      </c>
      <c r="H10" s="735">
        <f>H9*5</f>
        <v>4350</v>
      </c>
    </row>
    <row r="11" spans="2:8" ht="156.75" customHeight="1">
      <c r="B11" s="736" t="s">
        <v>1463</v>
      </c>
      <c r="C11" s="735" t="s">
        <v>1459</v>
      </c>
      <c r="D11" s="1858"/>
      <c r="E11" s="1859"/>
      <c r="F11" s="737" t="s">
        <v>1464</v>
      </c>
      <c r="G11" s="735" t="s">
        <v>223</v>
      </c>
      <c r="H11" s="735">
        <f>ROUND(326*(1-C46),2)</f>
        <v>326</v>
      </c>
    </row>
    <row r="12" spans="2:8" ht="100.5" customHeight="1">
      <c r="B12" s="736" t="s">
        <v>1465</v>
      </c>
      <c r="C12" s="735" t="s">
        <v>1459</v>
      </c>
      <c r="D12" s="1858"/>
      <c r="E12" s="1859"/>
      <c r="F12" s="737" t="s">
        <v>1464</v>
      </c>
      <c r="G12" s="735" t="s">
        <v>223</v>
      </c>
      <c r="H12" s="735">
        <f>ROUND(260*(1-C46),2)</f>
        <v>260</v>
      </c>
    </row>
    <row r="13" spans="2:8">
      <c r="B13" s="1860" t="s">
        <v>1466</v>
      </c>
      <c r="C13" s="1860"/>
      <c r="D13" s="1860"/>
      <c r="E13" s="1860"/>
      <c r="F13" s="1860"/>
      <c r="G13" s="1860"/>
      <c r="H13" s="1860"/>
    </row>
    <row r="14" spans="2:8" ht="25.5">
      <c r="B14" s="734" t="s">
        <v>0</v>
      </c>
      <c r="C14" s="734" t="s">
        <v>1467</v>
      </c>
      <c r="D14" s="734" t="s">
        <v>1143</v>
      </c>
      <c r="E14" s="738" t="s">
        <v>1468</v>
      </c>
      <c r="F14" s="734" t="s">
        <v>1456</v>
      </c>
      <c r="G14" s="734" t="s">
        <v>233</v>
      </c>
      <c r="H14" s="734" t="s">
        <v>1457</v>
      </c>
    </row>
    <row r="15" spans="2:8">
      <c r="B15" s="739" t="s">
        <v>1469</v>
      </c>
      <c r="C15" s="735" t="s">
        <v>1470</v>
      </c>
      <c r="D15" s="1856"/>
      <c r="E15" s="1856" t="s">
        <v>1471</v>
      </c>
      <c r="F15" s="735" t="s">
        <v>1472</v>
      </c>
      <c r="G15" s="735" t="s">
        <v>223</v>
      </c>
      <c r="H15" s="735">
        <f>ROUND(565*(1-C46),2)</f>
        <v>565</v>
      </c>
    </row>
    <row r="16" spans="2:8">
      <c r="B16" s="739" t="s">
        <v>1473</v>
      </c>
      <c r="C16" s="735" t="s">
        <v>1470</v>
      </c>
      <c r="D16" s="1857"/>
      <c r="E16" s="1857"/>
      <c r="F16" s="735" t="s">
        <v>1472</v>
      </c>
      <c r="G16" s="735" t="s">
        <v>223</v>
      </c>
      <c r="H16" s="735">
        <f>ROUND(495*(1-C46),2)</f>
        <v>495</v>
      </c>
    </row>
    <row r="17" spans="2:8" ht="25.5">
      <c r="B17" s="739" t="s">
        <v>1474</v>
      </c>
      <c r="C17" s="735" t="s">
        <v>1475</v>
      </c>
      <c r="D17" s="735"/>
      <c r="E17" s="735" t="s">
        <v>1471</v>
      </c>
      <c r="F17" s="735" t="s">
        <v>1476</v>
      </c>
      <c r="G17" s="735" t="s">
        <v>223</v>
      </c>
      <c r="H17" s="735">
        <f>ROUND(191*(1-C46),2)</f>
        <v>191</v>
      </c>
    </row>
    <row r="18" spans="2:8">
      <c r="B18" s="739" t="s">
        <v>1477</v>
      </c>
      <c r="C18" s="735" t="s">
        <v>1470</v>
      </c>
      <c r="D18" s="1856"/>
      <c r="E18" s="1856" t="s">
        <v>1478</v>
      </c>
      <c r="F18" s="735" t="s">
        <v>1479</v>
      </c>
      <c r="G18" s="735" t="s">
        <v>223</v>
      </c>
      <c r="H18" s="735">
        <f>ROUND(255*(1-C46),2)</f>
        <v>255</v>
      </c>
    </row>
    <row r="19" spans="2:8">
      <c r="B19" s="739" t="s">
        <v>1480</v>
      </c>
      <c r="C19" s="735" t="s">
        <v>1470</v>
      </c>
      <c r="D19" s="1857"/>
      <c r="E19" s="1857"/>
      <c r="F19" s="735" t="s">
        <v>1479</v>
      </c>
      <c r="G19" s="735" t="s">
        <v>223</v>
      </c>
      <c r="H19" s="735">
        <f>ROUND(172*(1-C46),2)</f>
        <v>172</v>
      </c>
    </row>
    <row r="20" spans="2:8" ht="25.5">
      <c r="B20" s="739" t="s">
        <v>1481</v>
      </c>
      <c r="C20" s="735" t="s">
        <v>1482</v>
      </c>
      <c r="D20" s="1856"/>
      <c r="E20" s="1856" t="s">
        <v>1483</v>
      </c>
      <c r="F20" s="735" t="s">
        <v>21</v>
      </c>
      <c r="G20" s="735" t="s">
        <v>160</v>
      </c>
      <c r="H20" s="735">
        <f>ROUND(18.5*(1-C46),2)</f>
        <v>18.5</v>
      </c>
    </row>
    <row r="21" spans="2:8" ht="25.5">
      <c r="B21" s="739" t="s">
        <v>1484</v>
      </c>
      <c r="C21" s="735" t="s">
        <v>1482</v>
      </c>
      <c r="D21" s="1857"/>
      <c r="E21" s="1857"/>
      <c r="F21" s="735" t="s">
        <v>21</v>
      </c>
      <c r="G21" s="735" t="s">
        <v>160</v>
      </c>
      <c r="H21" s="735">
        <f>ROUND(13.5*(1-C46),2)</f>
        <v>13.5</v>
      </c>
    </row>
  </sheetData>
  <mergeCells count="15">
    <mergeCell ref="B6:H6"/>
    <mergeCell ref="D7:E7"/>
    <mergeCell ref="B8:B10"/>
    <mergeCell ref="C8:C10"/>
    <mergeCell ref="D8:E10"/>
    <mergeCell ref="F8:F10"/>
    <mergeCell ref="D20:D21"/>
    <mergeCell ref="E20:E21"/>
    <mergeCell ref="D11:E11"/>
    <mergeCell ref="D12:E12"/>
    <mergeCell ref="B13:H13"/>
    <mergeCell ref="D15:D16"/>
    <mergeCell ref="E15:E16"/>
    <mergeCell ref="D18:D19"/>
    <mergeCell ref="E18:E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B1:I19"/>
  <sheetViews>
    <sheetView workbookViewId="0">
      <selection activeCell="B39" sqref="B39"/>
    </sheetView>
  </sheetViews>
  <sheetFormatPr defaultRowHeight="15"/>
  <cols>
    <col min="2" max="2" width="36.42578125" customWidth="1"/>
    <col min="3" max="3" width="9.85546875" customWidth="1"/>
    <col min="7" max="7" width="8.5703125" customWidth="1"/>
    <col min="8" max="8" width="8.85546875" customWidth="1"/>
  </cols>
  <sheetData>
    <row r="1" spans="2:9" ht="15.75" thickBot="1"/>
    <row r="2" spans="2:9" ht="45.75" thickBot="1">
      <c r="B2" s="1044" t="s">
        <v>0</v>
      </c>
      <c r="C2" s="1031" t="s">
        <v>3</v>
      </c>
      <c r="D2" s="1033"/>
      <c r="E2" s="1031" t="s">
        <v>1</v>
      </c>
      <c r="F2" s="1033"/>
      <c r="G2" s="1031" t="s">
        <v>2</v>
      </c>
      <c r="H2" s="1033"/>
      <c r="I2" s="6" t="s">
        <v>4</v>
      </c>
    </row>
    <row r="3" spans="2:9" ht="16.5" customHeight="1" thickBot="1">
      <c r="B3" s="1045"/>
      <c r="C3" s="39" t="s">
        <v>107</v>
      </c>
      <c r="D3" s="39" t="s">
        <v>106</v>
      </c>
      <c r="E3" s="1034">
        <v>0.09</v>
      </c>
      <c r="F3" s="1065"/>
      <c r="G3" s="1056">
        <v>0.1</v>
      </c>
      <c r="H3" s="1065"/>
      <c r="I3" s="40"/>
    </row>
    <row r="4" spans="2:9" ht="14.25" customHeight="1">
      <c r="B4" s="23" t="s">
        <v>103</v>
      </c>
      <c r="C4" s="54">
        <v>370</v>
      </c>
      <c r="D4" s="55">
        <f>C4+C9/100*20</f>
        <v>392</v>
      </c>
      <c r="E4" s="55">
        <f>C4-(C4*E3)</f>
        <v>336.7</v>
      </c>
      <c r="F4" s="55">
        <f>E4+E9/100*20+10</f>
        <v>365.18</v>
      </c>
      <c r="G4" s="55">
        <f>C4-(C4*G3)</f>
        <v>333</v>
      </c>
      <c r="H4" s="55">
        <f>G4+10+G9/100*20</f>
        <v>359.72</v>
      </c>
      <c r="I4" s="51">
        <f>F4-H4</f>
        <v>5.4599999999999795</v>
      </c>
    </row>
    <row r="5" spans="2:9" ht="15" customHeight="1">
      <c r="B5" s="24" t="s">
        <v>104</v>
      </c>
      <c r="C5" s="56">
        <v>386</v>
      </c>
      <c r="D5" s="57">
        <f>C5+C9/100*20</f>
        <v>408</v>
      </c>
      <c r="E5" s="57">
        <f>C5-(C5*E3)</f>
        <v>351.26</v>
      </c>
      <c r="F5" s="57">
        <f>E5+E9/100*20+10</f>
        <v>379.74</v>
      </c>
      <c r="G5" s="57">
        <f>C5-(C5*G3)</f>
        <v>347.4</v>
      </c>
      <c r="H5" s="57">
        <f>G5+10+G9/100*20</f>
        <v>374.12</v>
      </c>
      <c r="I5" s="52">
        <f>F5-H5</f>
        <v>5.6200000000000045</v>
      </c>
    </row>
    <row r="6" spans="2:9" ht="14.25" customHeight="1" thickBot="1">
      <c r="B6" s="25" t="s">
        <v>105</v>
      </c>
      <c r="C6" s="58">
        <v>401</v>
      </c>
      <c r="D6" s="59">
        <f>C6+C9/100*20</f>
        <v>423</v>
      </c>
      <c r="E6" s="59">
        <f>C6-(C6*E3)</f>
        <v>364.91</v>
      </c>
      <c r="F6" s="59">
        <f>E6+E9/100*20+10</f>
        <v>393.39000000000004</v>
      </c>
      <c r="G6" s="59">
        <f>C6-(C6*G3)</f>
        <v>360.9</v>
      </c>
      <c r="H6" s="59">
        <f>G6+10+G9/100*20</f>
        <v>387.62</v>
      </c>
      <c r="I6" s="53">
        <f>F6-H6</f>
        <v>5.7700000000000387</v>
      </c>
    </row>
    <row r="7" spans="2:9" ht="15.75" customHeight="1" thickBot="1">
      <c r="B7" s="1062" t="s">
        <v>101</v>
      </c>
      <c r="C7" s="1063"/>
      <c r="D7" s="1063"/>
      <c r="E7" s="1063"/>
      <c r="F7" s="1063"/>
      <c r="G7" s="1063"/>
      <c r="H7" s="1063"/>
      <c r="I7" s="1064"/>
    </row>
    <row r="8" spans="2:9" ht="14.25" customHeight="1" thickBot="1">
      <c r="B8" s="43"/>
      <c r="C8" s="1071"/>
      <c r="D8" s="1072"/>
      <c r="E8" s="1056">
        <v>0.16</v>
      </c>
      <c r="F8" s="1057"/>
      <c r="G8" s="1066">
        <v>0.24</v>
      </c>
      <c r="H8" s="1066"/>
      <c r="I8" s="47"/>
    </row>
    <row r="9" spans="2:9">
      <c r="B9" s="48" t="s">
        <v>102</v>
      </c>
      <c r="C9" s="1073">
        <v>110</v>
      </c>
      <c r="D9" s="1059"/>
      <c r="E9" s="1058">
        <f>C9-(C9*E8)</f>
        <v>92.4</v>
      </c>
      <c r="F9" s="1059"/>
      <c r="G9" s="1058">
        <f>C9-(C9*G8)</f>
        <v>83.6</v>
      </c>
      <c r="H9" s="1059"/>
      <c r="I9" s="51">
        <f t="shared" ref="I9:I16" si="0">E9-G9</f>
        <v>8.8000000000000114</v>
      </c>
    </row>
    <row r="10" spans="2:9" ht="13.5" customHeight="1">
      <c r="B10" s="49" t="s">
        <v>108</v>
      </c>
      <c r="C10" s="1060">
        <v>248</v>
      </c>
      <c r="D10" s="1061"/>
      <c r="E10" s="1067">
        <f>C10-(C10*E8)</f>
        <v>208.32</v>
      </c>
      <c r="F10" s="1061"/>
      <c r="G10" s="1067">
        <f>C10-(C10*G8)</f>
        <v>188.48000000000002</v>
      </c>
      <c r="H10" s="1061"/>
      <c r="I10" s="52">
        <f t="shared" si="0"/>
        <v>19.839999999999975</v>
      </c>
    </row>
    <row r="11" spans="2:9" ht="15" customHeight="1">
      <c r="B11" s="49" t="s">
        <v>109</v>
      </c>
      <c r="C11" s="1060">
        <v>258</v>
      </c>
      <c r="D11" s="1061"/>
      <c r="E11" s="1067">
        <f>C11-(C11*E8)</f>
        <v>216.72</v>
      </c>
      <c r="F11" s="1061"/>
      <c r="G11" s="1067">
        <f>C11-(C11*G8)</f>
        <v>196.08</v>
      </c>
      <c r="H11" s="1061"/>
      <c r="I11" s="52">
        <f t="shared" si="0"/>
        <v>20.639999999999986</v>
      </c>
    </row>
    <row r="12" spans="2:9" ht="15" customHeight="1">
      <c r="B12" s="49" t="s">
        <v>110</v>
      </c>
      <c r="C12" s="1060">
        <v>248</v>
      </c>
      <c r="D12" s="1061"/>
      <c r="E12" s="1067">
        <f>C12-(C12*E8)</f>
        <v>208.32</v>
      </c>
      <c r="F12" s="1061"/>
      <c r="G12" s="1067">
        <f>C12-(C12*G8)</f>
        <v>188.48000000000002</v>
      </c>
      <c r="H12" s="1061"/>
      <c r="I12" s="52">
        <f t="shared" si="0"/>
        <v>19.839999999999975</v>
      </c>
    </row>
    <row r="13" spans="2:9" ht="15.75" customHeight="1">
      <c r="B13" s="49" t="s">
        <v>111</v>
      </c>
      <c r="C13" s="1060">
        <v>258</v>
      </c>
      <c r="D13" s="1061"/>
      <c r="E13" s="1067">
        <f>C13-(C13*E8)</f>
        <v>216.72</v>
      </c>
      <c r="F13" s="1061"/>
      <c r="G13" s="1067">
        <f>C13-(C13*G8)</f>
        <v>196.08</v>
      </c>
      <c r="H13" s="1061"/>
      <c r="I13" s="52">
        <f t="shared" si="0"/>
        <v>20.639999999999986</v>
      </c>
    </row>
    <row r="14" spans="2:9" ht="13.5" customHeight="1">
      <c r="B14" s="49" t="s">
        <v>112</v>
      </c>
      <c r="C14" s="1060">
        <v>35</v>
      </c>
      <c r="D14" s="1061"/>
      <c r="E14" s="1067">
        <f>C14-(C14*E8)</f>
        <v>29.4</v>
      </c>
      <c r="F14" s="1061"/>
      <c r="G14" s="1067">
        <f>C14-(C14*G8)</f>
        <v>26.6</v>
      </c>
      <c r="H14" s="1061"/>
      <c r="I14" s="52">
        <f t="shared" si="0"/>
        <v>2.7999999999999972</v>
      </c>
    </row>
    <row r="15" spans="2:9" ht="15" customHeight="1">
      <c r="B15" s="49" t="s">
        <v>113</v>
      </c>
      <c r="C15" s="1060">
        <v>320</v>
      </c>
      <c r="D15" s="1061"/>
      <c r="E15" s="1067">
        <f>C15-(C15*E8)</f>
        <v>268.8</v>
      </c>
      <c r="F15" s="1061"/>
      <c r="G15" s="1067">
        <f>C15-(C15*G8)</f>
        <v>243.2</v>
      </c>
      <c r="H15" s="1061"/>
      <c r="I15" s="52">
        <f t="shared" si="0"/>
        <v>25.600000000000023</v>
      </c>
    </row>
    <row r="16" spans="2:9" ht="15.75" customHeight="1" thickBot="1">
      <c r="B16" s="50" t="s">
        <v>114</v>
      </c>
      <c r="C16" s="1068">
        <v>2000</v>
      </c>
      <c r="D16" s="1069"/>
      <c r="E16" s="1070">
        <f>C16-(C16*E8)</f>
        <v>1680</v>
      </c>
      <c r="F16" s="1069"/>
      <c r="G16" s="1070">
        <f>C16-(C16*G8)</f>
        <v>1520</v>
      </c>
      <c r="H16" s="1069"/>
      <c r="I16" s="53">
        <f t="shared" si="0"/>
        <v>160</v>
      </c>
    </row>
    <row r="17" ht="15.75" customHeight="1"/>
    <row r="18" ht="13.5" customHeight="1"/>
    <row r="19" ht="15" customHeight="1"/>
  </sheetData>
  <sheetProtection formatCells="0" formatColumns="0" formatRows="0" insertColumns="0" insertRows="0" insertHyperlinks="0" deleteColumns="0" deleteRows="0" sort="0" autoFilter="0" pivotTables="0"/>
  <mergeCells count="34">
    <mergeCell ref="E12:F12"/>
    <mergeCell ref="E13:F13"/>
    <mergeCell ref="C15:D15"/>
    <mergeCell ref="C9:D9"/>
    <mergeCell ref="C10:D10"/>
    <mergeCell ref="C11:D11"/>
    <mergeCell ref="E9:F9"/>
    <mergeCell ref="E10:F10"/>
    <mergeCell ref="E11:F11"/>
    <mergeCell ref="G14:H14"/>
    <mergeCell ref="G15:H15"/>
    <mergeCell ref="C16:D16"/>
    <mergeCell ref="E14:F14"/>
    <mergeCell ref="E15:F15"/>
    <mergeCell ref="E16:F16"/>
    <mergeCell ref="G16:H16"/>
    <mergeCell ref="B2:B3"/>
    <mergeCell ref="B7:I7"/>
    <mergeCell ref="G3:H3"/>
    <mergeCell ref="G2:H2"/>
    <mergeCell ref="G8:H8"/>
    <mergeCell ref="E3:F3"/>
    <mergeCell ref="C2:D2"/>
    <mergeCell ref="C8:D8"/>
    <mergeCell ref="E2:F2"/>
    <mergeCell ref="E8:F8"/>
    <mergeCell ref="G9:H9"/>
    <mergeCell ref="C12:D12"/>
    <mergeCell ref="C13:D13"/>
    <mergeCell ref="C14:D14"/>
    <mergeCell ref="G10:H10"/>
    <mergeCell ref="G11:H11"/>
    <mergeCell ref="G12:H12"/>
    <mergeCell ref="G13:H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B1:D23"/>
  <sheetViews>
    <sheetView topLeftCell="A2" workbookViewId="0">
      <selection activeCell="M17" sqref="L17:M18"/>
    </sheetView>
  </sheetViews>
  <sheetFormatPr defaultRowHeight="15"/>
  <cols>
    <col min="2" max="2" width="46.42578125" customWidth="1"/>
    <col min="3" max="3" width="9.140625" customWidth="1"/>
  </cols>
  <sheetData>
    <row r="1" spans="2:4" ht="8.25" customHeight="1"/>
    <row r="2" spans="2:4" ht="5.25" customHeight="1" thickBot="1"/>
    <row r="3" spans="2:4" ht="44.25" customHeight="1" thickBot="1">
      <c r="B3" s="1023" t="s">
        <v>115</v>
      </c>
      <c r="C3" s="5" t="s">
        <v>3</v>
      </c>
      <c r="D3" s="5" t="s">
        <v>1</v>
      </c>
    </row>
    <row r="4" spans="2:4" ht="15.75" thickBot="1">
      <c r="B4" s="1024"/>
      <c r="C4" s="39"/>
      <c r="D4" s="78"/>
    </row>
    <row r="5" spans="2:4" ht="22.5" customHeight="1" thickBot="1">
      <c r="B5" s="64" t="s">
        <v>133</v>
      </c>
      <c r="C5" s="80">
        <v>550</v>
      </c>
      <c r="D5" s="8">
        <v>440</v>
      </c>
    </row>
    <row r="6" spans="2:4" ht="22.5" customHeight="1" thickBot="1">
      <c r="B6" s="64" t="s">
        <v>134</v>
      </c>
      <c r="C6" s="80">
        <v>790</v>
      </c>
      <c r="D6" s="8">
        <v>593</v>
      </c>
    </row>
    <row r="7" spans="2:4" ht="22.5" customHeight="1" thickBot="1">
      <c r="B7" s="64" t="s">
        <v>135</v>
      </c>
      <c r="C7" s="80">
        <v>1240</v>
      </c>
      <c r="D7" s="8">
        <v>992</v>
      </c>
    </row>
    <row r="8" spans="2:4" ht="22.5" customHeight="1" thickBot="1">
      <c r="B8" s="64" t="s">
        <v>136</v>
      </c>
      <c r="C8" s="80">
        <v>2100</v>
      </c>
      <c r="D8" s="8">
        <v>1680</v>
      </c>
    </row>
    <row r="9" spans="2:4" ht="22.5" customHeight="1" thickBot="1">
      <c r="B9" s="64" t="s">
        <v>368</v>
      </c>
      <c r="C9" s="80">
        <v>1200</v>
      </c>
      <c r="D9" s="8">
        <v>960</v>
      </c>
    </row>
    <row r="10" spans="2:4" ht="22.5" customHeight="1" thickBot="1">
      <c r="B10" s="64" t="s">
        <v>137</v>
      </c>
      <c r="C10" s="80">
        <v>2650</v>
      </c>
      <c r="D10" s="8">
        <v>2120</v>
      </c>
    </row>
    <row r="11" spans="2:4" ht="22.5" customHeight="1" thickBot="1">
      <c r="B11" s="64" t="s">
        <v>138</v>
      </c>
      <c r="C11" s="80">
        <v>1730</v>
      </c>
      <c r="D11" s="8">
        <v>1384</v>
      </c>
    </row>
    <row r="12" spans="2:4" ht="22.5" customHeight="1" thickBot="1">
      <c r="B12" s="64" t="s">
        <v>139</v>
      </c>
      <c r="C12" s="80">
        <v>3395</v>
      </c>
      <c r="D12" s="8">
        <v>2716</v>
      </c>
    </row>
    <row r="13" spans="2:4" ht="22.5" customHeight="1" thickBot="1">
      <c r="B13" s="77" t="s">
        <v>140</v>
      </c>
      <c r="C13" s="81">
        <v>3150</v>
      </c>
      <c r="D13" s="11">
        <v>2520</v>
      </c>
    </row>
    <row r="14" spans="2:4" ht="15.75" thickBot="1">
      <c r="B14" s="1074" t="s">
        <v>117</v>
      </c>
      <c r="C14" s="1075"/>
      <c r="D14" s="1075"/>
    </row>
    <row r="15" spans="2:4" ht="15.75" thickBot="1">
      <c r="B15" s="65"/>
      <c r="C15" s="66"/>
      <c r="D15" s="67"/>
    </row>
    <row r="16" spans="2:4" ht="44.25" customHeight="1" thickBot="1">
      <c r="B16" s="68" t="s">
        <v>141</v>
      </c>
      <c r="C16" s="69">
        <v>3960</v>
      </c>
      <c r="D16" s="70">
        <v>3168</v>
      </c>
    </row>
    <row r="17" spans="2:4" ht="45" customHeight="1" thickBot="1">
      <c r="B17" s="68" t="s">
        <v>142</v>
      </c>
      <c r="C17" s="75">
        <v>5900</v>
      </c>
      <c r="D17" s="72">
        <v>4720</v>
      </c>
    </row>
    <row r="18" spans="2:4" ht="45" customHeight="1" thickBot="1">
      <c r="B18" s="82" t="s">
        <v>143</v>
      </c>
      <c r="C18" s="75">
        <v>6770</v>
      </c>
      <c r="D18" s="72">
        <v>5416</v>
      </c>
    </row>
    <row r="19" spans="2:4" ht="22.5" customHeight="1" thickBot="1">
      <c r="B19" s="83" t="s">
        <v>144</v>
      </c>
      <c r="C19" s="75">
        <v>3840</v>
      </c>
      <c r="D19" s="72">
        <v>3072</v>
      </c>
    </row>
    <row r="20" spans="2:4" ht="44.25" customHeight="1" thickBot="1">
      <c r="B20" s="83" t="s">
        <v>145</v>
      </c>
      <c r="C20" s="75">
        <v>1800</v>
      </c>
      <c r="D20" s="72">
        <v>1440</v>
      </c>
    </row>
    <row r="21" spans="2:4" ht="22.5" customHeight="1" thickBot="1">
      <c r="B21" s="84" t="s">
        <v>146</v>
      </c>
      <c r="C21" s="85">
        <v>5540</v>
      </c>
      <c r="D21" s="86">
        <v>4432</v>
      </c>
    </row>
    <row r="22" spans="2:4" ht="30" customHeight="1" thickBot="1">
      <c r="B22" s="87" t="s">
        <v>147</v>
      </c>
      <c r="C22" s="88">
        <v>7560</v>
      </c>
      <c r="D22" s="89">
        <v>6048</v>
      </c>
    </row>
    <row r="23" spans="2:4" ht="22.5" customHeight="1"/>
  </sheetData>
  <mergeCells count="2">
    <mergeCell ref="B14:D14"/>
    <mergeCell ref="B3:B4"/>
  </mergeCells>
  <pageMargins left="0.7" right="0.7" top="0.75" bottom="0.75" header="0.3" footer="0.3"/>
  <pageSetup paperSize="9" scale="91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B1:F27"/>
  <sheetViews>
    <sheetView workbookViewId="0">
      <selection activeCell="P16" sqref="P16"/>
    </sheetView>
  </sheetViews>
  <sheetFormatPr defaultRowHeight="15"/>
  <cols>
    <col min="2" max="2" width="66.140625" customWidth="1"/>
    <col min="3" max="3" width="9.85546875" bestFit="1" customWidth="1"/>
    <col min="4" max="4" width="8.85546875" customWidth="1"/>
  </cols>
  <sheetData>
    <row r="1" spans="2:6" ht="15.75" thickBot="1">
      <c r="B1" s="352">
        <v>42163</v>
      </c>
    </row>
    <row r="2" spans="2:6" ht="30.75" thickBot="1">
      <c r="B2" s="1023" t="s">
        <v>115</v>
      </c>
      <c r="C2" s="5" t="s">
        <v>3</v>
      </c>
      <c r="D2" s="5" t="s">
        <v>1</v>
      </c>
    </row>
    <row r="3" spans="2:6" ht="15.75" thickBot="1">
      <c r="B3" s="1024"/>
      <c r="C3" s="39"/>
      <c r="D3" s="713">
        <v>0.30199999999999999</v>
      </c>
    </row>
    <row r="4" spans="2:6" ht="24" customHeight="1" thickBot="1">
      <c r="B4" s="307" t="s">
        <v>116</v>
      </c>
      <c r="C4" s="716">
        <v>625</v>
      </c>
      <c r="D4" s="717">
        <f>C4-(C4*$D$3)</f>
        <v>436.25</v>
      </c>
    </row>
    <row r="5" spans="2:6" ht="24" customHeight="1" thickBot="1">
      <c r="B5" s="307" t="s">
        <v>132</v>
      </c>
      <c r="C5" s="714">
        <v>582</v>
      </c>
      <c r="D5" s="715">
        <v>410</v>
      </c>
    </row>
    <row r="6" spans="2:6" ht="24" customHeight="1" thickBot="1">
      <c r="B6" s="307" t="s">
        <v>1435</v>
      </c>
      <c r="C6" s="714">
        <v>559</v>
      </c>
      <c r="D6" s="715">
        <f t="shared" ref="D6:D12" si="0">C6-(C6*$D$3)</f>
        <v>390.18200000000002</v>
      </c>
    </row>
    <row r="7" spans="2:6" ht="27" customHeight="1" thickBot="1">
      <c r="B7" s="307" t="s">
        <v>194</v>
      </c>
      <c r="C7" s="714">
        <v>582</v>
      </c>
      <c r="D7" s="715">
        <f t="shared" si="0"/>
        <v>406.23599999999999</v>
      </c>
    </row>
    <row r="8" spans="2:6" ht="33" customHeight="1" thickBot="1">
      <c r="B8" s="307" t="s">
        <v>193</v>
      </c>
      <c r="C8" s="714">
        <v>605</v>
      </c>
      <c r="D8" s="715">
        <f t="shared" si="0"/>
        <v>422.28999999999996</v>
      </c>
    </row>
    <row r="9" spans="2:6" ht="24" customHeight="1" thickBot="1">
      <c r="B9" s="307" t="s">
        <v>191</v>
      </c>
      <c r="C9" s="714">
        <v>647</v>
      </c>
      <c r="D9" s="715">
        <f t="shared" si="0"/>
        <v>451.60599999999999</v>
      </c>
    </row>
    <row r="10" spans="2:6" ht="24" customHeight="1" thickBot="1">
      <c r="B10" s="345" t="s">
        <v>195</v>
      </c>
      <c r="C10" s="714">
        <v>647</v>
      </c>
      <c r="D10" s="715">
        <f t="shared" si="0"/>
        <v>451.60599999999999</v>
      </c>
    </row>
    <row r="11" spans="2:6" ht="24" customHeight="1" thickBot="1">
      <c r="B11" s="345" t="s">
        <v>1434</v>
      </c>
      <c r="C11" s="588">
        <v>845</v>
      </c>
      <c r="D11" s="589">
        <f t="shared" si="0"/>
        <v>589.80999999999995</v>
      </c>
    </row>
    <row r="12" spans="2:6" ht="24" customHeight="1" thickBot="1">
      <c r="B12" s="345" t="s">
        <v>1007</v>
      </c>
      <c r="C12" s="590">
        <v>808</v>
      </c>
      <c r="D12" s="591">
        <f t="shared" si="0"/>
        <v>563.98400000000004</v>
      </c>
    </row>
    <row r="13" spans="2:6" ht="35.25" customHeight="1" thickBot="1">
      <c r="B13" s="1074" t="s">
        <v>117</v>
      </c>
      <c r="C13" s="1076"/>
      <c r="D13" s="1076"/>
    </row>
    <row r="14" spans="2:6" ht="24" customHeight="1" thickBot="1">
      <c r="B14" s="65"/>
      <c r="C14" s="66"/>
      <c r="D14" s="67"/>
    </row>
    <row r="15" spans="2:6" ht="18" customHeight="1">
      <c r="B15" s="68" t="s">
        <v>1292</v>
      </c>
      <c r="C15" s="69">
        <v>3770</v>
      </c>
      <c r="D15" s="70">
        <v>2641</v>
      </c>
      <c r="F15" s="112"/>
    </row>
    <row r="16" spans="2:6" ht="19.5" customHeight="1">
      <c r="B16" s="71" t="s">
        <v>1293</v>
      </c>
      <c r="C16" s="75">
        <v>3770</v>
      </c>
      <c r="D16" s="72">
        <v>2641</v>
      </c>
      <c r="F16" s="112"/>
    </row>
    <row r="17" spans="2:4" ht="17.100000000000001" customHeight="1">
      <c r="B17" s="71" t="s">
        <v>1036</v>
      </c>
      <c r="C17" s="75">
        <v>2817</v>
      </c>
      <c r="D17" s="72">
        <v>1955</v>
      </c>
    </row>
    <row r="18" spans="2:4" ht="17.100000000000001" customHeight="1">
      <c r="B18" s="71" t="s">
        <v>1035</v>
      </c>
      <c r="C18" s="75">
        <v>3040</v>
      </c>
      <c r="D18" s="72">
        <v>2099</v>
      </c>
    </row>
    <row r="19" spans="2:4" ht="17.100000000000001" customHeight="1">
      <c r="B19" s="71" t="s">
        <v>1037</v>
      </c>
      <c r="C19" s="75">
        <v>3040</v>
      </c>
      <c r="D19" s="72">
        <v>2099</v>
      </c>
    </row>
    <row r="20" spans="2:4" ht="17.100000000000001" customHeight="1">
      <c r="B20" s="71" t="s">
        <v>1038</v>
      </c>
      <c r="C20" s="75">
        <v>3800</v>
      </c>
      <c r="D20" s="72">
        <v>2658</v>
      </c>
    </row>
    <row r="21" spans="2:4" ht="17.100000000000001" customHeight="1">
      <c r="B21" s="71" t="s">
        <v>118</v>
      </c>
      <c r="C21" s="75">
        <v>4570</v>
      </c>
      <c r="D21" s="72">
        <v>3265</v>
      </c>
    </row>
    <row r="22" spans="2:4" ht="17.100000000000001" customHeight="1">
      <c r="B22" s="71" t="s">
        <v>119</v>
      </c>
      <c r="C22" s="75">
        <v>1700</v>
      </c>
      <c r="D22" s="72">
        <v>1234</v>
      </c>
    </row>
    <row r="23" spans="2:4" ht="17.100000000000001" customHeight="1">
      <c r="B23" s="71" t="s">
        <v>1008</v>
      </c>
      <c r="C23" s="75">
        <v>980</v>
      </c>
      <c r="D23" s="72">
        <v>733</v>
      </c>
    </row>
    <row r="24" spans="2:4" ht="17.100000000000001" customHeight="1" thickBot="1">
      <c r="B24" s="73" t="s">
        <v>120</v>
      </c>
      <c r="C24" s="76">
        <v>370</v>
      </c>
      <c r="D24" s="74">
        <v>259</v>
      </c>
    </row>
    <row r="25" spans="2:4" ht="17.100000000000001" customHeight="1"/>
    <row r="26" spans="2:4" ht="17.100000000000001" customHeight="1"/>
    <row r="27" spans="2:4" ht="16.5" customHeight="1"/>
  </sheetData>
  <sheetProtection formatCells="0" formatColumns="0" formatRows="0" insertColumns="0" insertRows="0" insertHyperlinks="0" deleteColumns="0" deleteRows="0" sort="0" autoFilter="0" pivotTables="0"/>
  <mergeCells count="2">
    <mergeCell ref="B2:B3"/>
    <mergeCell ref="B13:D13"/>
  </mergeCells>
  <pageMargins left="0.7" right="0.7" top="0.75" bottom="0.75" header="0.3" footer="0.3"/>
  <pageSetup paperSize="9" scale="6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B1:D31"/>
  <sheetViews>
    <sheetView workbookViewId="0">
      <selection activeCell="M10" sqref="M10"/>
    </sheetView>
  </sheetViews>
  <sheetFormatPr defaultRowHeight="15"/>
  <cols>
    <col min="2" max="2" width="51" customWidth="1"/>
    <col min="3" max="3" width="15.85546875" customWidth="1"/>
    <col min="4" max="4" width="14.7109375" customWidth="1"/>
  </cols>
  <sheetData>
    <row r="1" spans="2:4" ht="15.75" thickBot="1">
      <c r="D1" s="352">
        <v>42186</v>
      </c>
    </row>
    <row r="2" spans="2:4" ht="30.75" thickBot="1">
      <c r="B2" s="1023" t="s">
        <v>115</v>
      </c>
      <c r="C2" s="5" t="s">
        <v>3</v>
      </c>
      <c r="D2" s="5" t="s">
        <v>1</v>
      </c>
    </row>
    <row r="3" spans="2:4" ht="15.75" thickBot="1">
      <c r="B3" s="1039"/>
      <c r="C3" s="39"/>
      <c r="D3" s="78"/>
    </row>
    <row r="4" spans="2:4" ht="37.5" customHeight="1" thickBot="1">
      <c r="B4" s="307" t="s">
        <v>121</v>
      </c>
      <c r="C4" s="301">
        <v>450</v>
      </c>
      <c r="D4" s="347">
        <v>380</v>
      </c>
    </row>
    <row r="5" spans="2:4" ht="38.25" customHeight="1" thickBot="1">
      <c r="B5" s="307" t="s">
        <v>122</v>
      </c>
      <c r="C5" s="348">
        <v>390</v>
      </c>
      <c r="D5" s="304">
        <v>351</v>
      </c>
    </row>
    <row r="6" spans="2:4" ht="38.25" customHeight="1" thickBot="1">
      <c r="B6" s="307" t="s">
        <v>203</v>
      </c>
      <c r="C6" s="348">
        <v>475</v>
      </c>
      <c r="D6" s="304">
        <v>418</v>
      </c>
    </row>
    <row r="7" spans="2:4" ht="37.5" customHeight="1" thickBot="1">
      <c r="B7" s="307" t="s">
        <v>202</v>
      </c>
      <c r="C7" s="348">
        <v>415</v>
      </c>
      <c r="D7" s="304">
        <v>369</v>
      </c>
    </row>
    <row r="8" spans="2:4" ht="37.5" customHeight="1" thickBot="1">
      <c r="B8" s="307" t="s">
        <v>123</v>
      </c>
      <c r="C8" s="348">
        <v>440</v>
      </c>
      <c r="D8" s="304">
        <v>385</v>
      </c>
    </row>
    <row r="9" spans="2:4" ht="37.5" customHeight="1" thickBot="1">
      <c r="B9" s="307" t="s">
        <v>204</v>
      </c>
      <c r="C9" s="348">
        <v>305</v>
      </c>
      <c r="D9" s="304">
        <v>290</v>
      </c>
    </row>
    <row r="10" spans="2:4" ht="37.5" customHeight="1" thickBot="1">
      <c r="B10" s="307" t="s">
        <v>124</v>
      </c>
      <c r="C10" s="348">
        <v>305</v>
      </c>
      <c r="D10" s="304">
        <v>290</v>
      </c>
    </row>
    <row r="11" spans="2:4" ht="37.5" customHeight="1" thickBot="1">
      <c r="B11" s="345" t="s">
        <v>125</v>
      </c>
      <c r="C11" s="348">
        <v>355</v>
      </c>
      <c r="D11" s="304">
        <v>319</v>
      </c>
    </row>
    <row r="12" spans="2:4" ht="37.5" customHeight="1" thickBot="1">
      <c r="B12" s="345" t="s">
        <v>126</v>
      </c>
      <c r="C12" s="303">
        <v>355</v>
      </c>
      <c r="D12" s="304">
        <v>319</v>
      </c>
    </row>
    <row r="13" spans="2:4" ht="37.5" customHeight="1" thickBot="1">
      <c r="B13" s="345" t="s">
        <v>127</v>
      </c>
      <c r="C13" s="303">
        <v>215</v>
      </c>
      <c r="D13" s="304">
        <v>194</v>
      </c>
    </row>
    <row r="14" spans="2:4" ht="37.5" customHeight="1" thickBot="1">
      <c r="B14" s="349" t="s">
        <v>1014</v>
      </c>
      <c r="C14" s="303">
        <v>235</v>
      </c>
      <c r="D14" s="304">
        <v>204</v>
      </c>
    </row>
    <row r="15" spans="2:4" ht="37.5" customHeight="1" thickBot="1">
      <c r="B15" s="349" t="s">
        <v>1015</v>
      </c>
      <c r="C15" s="303">
        <v>780</v>
      </c>
      <c r="D15" s="304">
        <v>612</v>
      </c>
    </row>
    <row r="16" spans="2:4" ht="37.5" customHeight="1" thickBot="1">
      <c r="B16" s="349" t="s">
        <v>1016</v>
      </c>
      <c r="C16" s="303">
        <v>1250</v>
      </c>
      <c r="D16" s="304">
        <v>865</v>
      </c>
    </row>
    <row r="17" spans="2:4" ht="37.5" customHeight="1" thickBot="1">
      <c r="B17" s="345" t="s">
        <v>205</v>
      </c>
      <c r="C17" s="305">
        <v>325</v>
      </c>
      <c r="D17" s="306">
        <v>289</v>
      </c>
    </row>
    <row r="18" spans="2:4" ht="37.5" customHeight="1" thickBot="1">
      <c r="B18" s="1077" t="s">
        <v>117</v>
      </c>
      <c r="C18" s="1078"/>
      <c r="D18" s="1078"/>
    </row>
    <row r="19" spans="2:4" ht="18" customHeight="1" thickBot="1">
      <c r="B19" s="83" t="s">
        <v>1017</v>
      </c>
      <c r="C19" s="69">
        <v>2155</v>
      </c>
      <c r="D19" s="70">
        <v>1450</v>
      </c>
    </row>
    <row r="20" spans="2:4" ht="18" customHeight="1" thickBot="1">
      <c r="B20" s="83" t="s">
        <v>1019</v>
      </c>
      <c r="C20" s="350">
        <v>2500</v>
      </c>
      <c r="D20" s="351">
        <v>1740</v>
      </c>
    </row>
    <row r="21" spans="2:4" ht="18" customHeight="1" thickBot="1">
      <c r="B21" s="83" t="s">
        <v>1018</v>
      </c>
      <c r="C21" s="75">
        <v>1293</v>
      </c>
      <c r="D21" s="72">
        <v>870</v>
      </c>
    </row>
    <row r="22" spans="2:4" ht="18" customHeight="1" thickBot="1">
      <c r="B22" s="83" t="s">
        <v>128</v>
      </c>
      <c r="C22" s="75">
        <v>3500</v>
      </c>
      <c r="D22" s="72">
        <v>2400</v>
      </c>
    </row>
    <row r="23" spans="2:4" ht="18" customHeight="1" thickBot="1">
      <c r="B23" s="353" t="s">
        <v>1020</v>
      </c>
      <c r="C23" s="75">
        <v>4660</v>
      </c>
      <c r="D23" s="72">
        <v>3330</v>
      </c>
    </row>
    <row r="24" spans="2:4" ht="18" customHeight="1" thickBot="1">
      <c r="B24" s="83" t="s">
        <v>1021</v>
      </c>
      <c r="C24" s="75">
        <v>2798</v>
      </c>
      <c r="D24" s="72">
        <v>2020</v>
      </c>
    </row>
    <row r="25" spans="2:4" ht="18" customHeight="1" thickBot="1">
      <c r="B25" s="83" t="s">
        <v>1445</v>
      </c>
      <c r="C25" s="75">
        <v>4280</v>
      </c>
      <c r="D25" s="72">
        <v>3000</v>
      </c>
    </row>
    <row r="26" spans="2:4" ht="18" customHeight="1" thickBot="1">
      <c r="B26" s="83" t="s">
        <v>1022</v>
      </c>
      <c r="C26" s="75">
        <v>1060</v>
      </c>
      <c r="D26" s="72">
        <v>930</v>
      </c>
    </row>
    <row r="27" spans="2:4" ht="18" customHeight="1" thickBot="1">
      <c r="B27" s="353" t="s">
        <v>1025</v>
      </c>
      <c r="C27" s="75">
        <v>1430</v>
      </c>
      <c r="D27" s="72">
        <v>914</v>
      </c>
    </row>
    <row r="28" spans="2:4" ht="18" customHeight="1" thickBot="1">
      <c r="B28" s="83" t="s">
        <v>1023</v>
      </c>
      <c r="C28" s="75">
        <v>1896</v>
      </c>
      <c r="D28" s="72">
        <v>1400</v>
      </c>
    </row>
    <row r="29" spans="2:4" ht="18" customHeight="1" thickBot="1">
      <c r="B29" s="353" t="s">
        <v>206</v>
      </c>
      <c r="C29" s="75">
        <v>625</v>
      </c>
      <c r="D29" s="72">
        <v>460</v>
      </c>
    </row>
    <row r="30" spans="2:4" ht="18" customHeight="1" thickBot="1">
      <c r="B30" s="83" t="s">
        <v>1024</v>
      </c>
      <c r="C30" s="75">
        <v>120</v>
      </c>
      <c r="D30" s="72">
        <v>92</v>
      </c>
    </row>
    <row r="31" spans="2:4" ht="18" customHeight="1" thickBot="1">
      <c r="B31" s="83" t="s">
        <v>1026</v>
      </c>
      <c r="C31" s="76">
        <v>700</v>
      </c>
      <c r="D31" s="74">
        <v>575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B2:B3"/>
    <mergeCell ref="B18:D18"/>
  </mergeCells>
  <pageMargins left="0.7" right="0.7" top="0.75" bottom="0.75" header="0.3" footer="0.3"/>
  <pageSetup paperSize="9" scale="7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B1:D16"/>
  <sheetViews>
    <sheetView workbookViewId="0">
      <selection activeCell="E1" sqref="E1:F65536"/>
    </sheetView>
  </sheetViews>
  <sheetFormatPr defaultRowHeight="15"/>
  <cols>
    <col min="2" max="2" width="37.42578125" customWidth="1"/>
    <col min="3" max="3" width="13.28515625" customWidth="1"/>
    <col min="4" max="4" width="12.7109375" customWidth="1"/>
  </cols>
  <sheetData>
    <row r="1" spans="2:4" ht="32.25" thickBot="1">
      <c r="B1" s="358" t="s">
        <v>1028</v>
      </c>
    </row>
    <row r="2" spans="2:4" ht="30.75" thickBot="1">
      <c r="B2" s="1023" t="s">
        <v>115</v>
      </c>
      <c r="C2" s="5" t="s">
        <v>3</v>
      </c>
      <c r="D2" s="5" t="s">
        <v>1</v>
      </c>
    </row>
    <row r="3" spans="2:4" ht="15.75" thickBot="1">
      <c r="B3" s="1039"/>
      <c r="C3" s="298"/>
      <c r="D3" s="300">
        <v>0.18</v>
      </c>
    </row>
    <row r="4" spans="2:4" ht="39.950000000000003" customHeight="1" thickBot="1">
      <c r="B4" s="307" t="s">
        <v>1034</v>
      </c>
      <c r="C4" s="301">
        <v>347</v>
      </c>
      <c r="D4" s="302">
        <f t="shared" ref="D4:D9" si="0">C4-(C4*$D$3)</f>
        <v>284.54000000000002</v>
      </c>
    </row>
    <row r="5" spans="2:4" ht="39.950000000000003" customHeight="1" thickBot="1">
      <c r="B5" s="307" t="s">
        <v>1033</v>
      </c>
      <c r="C5" s="303">
        <v>377</v>
      </c>
      <c r="D5" s="304">
        <f t="shared" si="0"/>
        <v>309.14</v>
      </c>
    </row>
    <row r="6" spans="2:4" ht="39.950000000000003" customHeight="1" thickBot="1">
      <c r="B6" s="307" t="s">
        <v>1032</v>
      </c>
      <c r="C6" s="303">
        <v>362</v>
      </c>
      <c r="D6" s="304">
        <f t="shared" si="0"/>
        <v>296.84000000000003</v>
      </c>
    </row>
    <row r="7" spans="2:4" ht="39.950000000000003" customHeight="1" thickBot="1">
      <c r="B7" s="307" t="s">
        <v>1029</v>
      </c>
      <c r="C7" s="303">
        <v>389</v>
      </c>
      <c r="D7" s="304">
        <f t="shared" si="0"/>
        <v>318.98</v>
      </c>
    </row>
    <row r="8" spans="2:4" ht="39.950000000000003" customHeight="1" thickBot="1">
      <c r="B8" s="307" t="s">
        <v>1030</v>
      </c>
      <c r="C8" s="303">
        <v>362</v>
      </c>
      <c r="D8" s="304">
        <f t="shared" si="0"/>
        <v>296.84000000000003</v>
      </c>
    </row>
    <row r="9" spans="2:4" ht="39.950000000000003" customHeight="1" thickBot="1">
      <c r="B9" s="307" t="s">
        <v>1031</v>
      </c>
      <c r="C9" s="305">
        <v>372</v>
      </c>
      <c r="D9" s="306">
        <f t="shared" si="0"/>
        <v>305.04000000000002</v>
      </c>
    </row>
    <row r="10" spans="2:4" ht="15.75" thickBot="1">
      <c r="B10" s="1074" t="s">
        <v>117</v>
      </c>
      <c r="C10" s="1078"/>
      <c r="D10" s="1078"/>
    </row>
    <row r="11" spans="2:4" ht="24.95" customHeight="1">
      <c r="B11" s="68" t="s">
        <v>992</v>
      </c>
      <c r="C11" s="310">
        <v>2460</v>
      </c>
      <c r="D11" s="311">
        <v>1940</v>
      </c>
    </row>
    <row r="12" spans="2:4" ht="24.95" customHeight="1">
      <c r="B12" s="71" t="s">
        <v>993</v>
      </c>
      <c r="C12" s="313">
        <v>2280</v>
      </c>
      <c r="D12" s="312">
        <v>1890</v>
      </c>
    </row>
    <row r="13" spans="2:4" ht="24.95" customHeight="1">
      <c r="B13" s="71" t="s">
        <v>994</v>
      </c>
      <c r="C13" s="313">
        <v>1100</v>
      </c>
      <c r="D13" s="312">
        <v>924</v>
      </c>
    </row>
    <row r="14" spans="2:4" ht="24.95" customHeight="1">
      <c r="B14" s="71" t="s">
        <v>995</v>
      </c>
      <c r="C14" s="313">
        <v>4550</v>
      </c>
      <c r="D14" s="312">
        <v>3773</v>
      </c>
    </row>
    <row r="15" spans="2:4" ht="24.95" customHeight="1">
      <c r="B15" s="71" t="s">
        <v>996</v>
      </c>
      <c r="C15" s="313">
        <v>680</v>
      </c>
      <c r="D15" s="312">
        <v>562</v>
      </c>
    </row>
    <row r="16" spans="2:4" ht="24.95" customHeight="1">
      <c r="B16" s="71" t="s">
        <v>997</v>
      </c>
      <c r="C16" s="313">
        <v>1300</v>
      </c>
      <c r="D16" s="312">
        <v>1100</v>
      </c>
    </row>
  </sheetData>
  <mergeCells count="2">
    <mergeCell ref="B2:B3"/>
    <mergeCell ref="B10:D10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34"/>
  <sheetViews>
    <sheetView workbookViewId="0">
      <selection activeCell="E2" sqref="E2:F2"/>
    </sheetView>
  </sheetViews>
  <sheetFormatPr defaultRowHeight="15"/>
  <cols>
    <col min="2" max="2" width="18.140625" customWidth="1"/>
    <col min="3" max="3" width="18.28515625" customWidth="1"/>
    <col min="4" max="4" width="11.7109375" customWidth="1"/>
    <col min="5" max="5" width="13.28515625" customWidth="1"/>
    <col min="7" max="7" width="12.140625" customWidth="1"/>
    <col min="8" max="8" width="12" customWidth="1"/>
    <col min="9" max="9" width="18" customWidth="1"/>
    <col min="10" max="10" width="18.140625" customWidth="1"/>
  </cols>
  <sheetData>
    <row r="1" spans="2:10" ht="15.75" thickBot="1"/>
    <row r="2" spans="2:10" ht="15.75" thickBot="1">
      <c r="B2" s="1089"/>
      <c r="C2" s="1090"/>
      <c r="D2" s="267" t="s">
        <v>131</v>
      </c>
      <c r="E2" s="293"/>
      <c r="F2" s="267"/>
    </row>
    <row r="3" spans="2:10" ht="11.25" customHeight="1">
      <c r="B3" s="1091" t="s">
        <v>1256</v>
      </c>
      <c r="C3" s="1092"/>
      <c r="D3" s="1095">
        <v>0.13</v>
      </c>
      <c r="E3" s="1097"/>
      <c r="F3" s="1095"/>
    </row>
    <row r="4" spans="2:10" ht="15.75" customHeight="1">
      <c r="B4" s="1093"/>
      <c r="C4" s="1094"/>
      <c r="D4" s="1096"/>
      <c r="E4" s="1098"/>
      <c r="F4" s="1096"/>
      <c r="J4" s="352">
        <v>42212</v>
      </c>
    </row>
    <row r="6" spans="2:10">
      <c r="B6" s="1137" t="s">
        <v>1217</v>
      </c>
      <c r="C6" s="1137"/>
      <c r="D6" s="1137"/>
      <c r="E6" s="1137"/>
      <c r="F6" s="1137"/>
      <c r="G6" s="1137"/>
      <c r="H6" s="1137"/>
      <c r="I6" s="1138"/>
      <c r="J6" s="432"/>
    </row>
    <row r="7" spans="2:10">
      <c r="B7" s="1137"/>
      <c r="C7" s="1137"/>
      <c r="D7" s="1137"/>
      <c r="E7" s="1137"/>
      <c r="F7" s="1137"/>
      <c r="G7" s="1137"/>
      <c r="H7" s="1137"/>
      <c r="I7" s="1138"/>
      <c r="J7" s="432"/>
    </row>
    <row r="8" spans="2:10" ht="18.75" thickBot="1">
      <c r="B8" s="432"/>
      <c r="C8" s="432"/>
      <c r="D8" s="432"/>
      <c r="E8" s="432"/>
      <c r="F8" s="432"/>
      <c r="G8" s="432"/>
      <c r="H8" s="433"/>
      <c r="I8" s="434"/>
      <c r="J8" s="432"/>
    </row>
    <row r="9" spans="2:10" ht="45.75" thickBot="1">
      <c r="B9" s="1139" t="s">
        <v>1218</v>
      </c>
      <c r="C9" s="1140"/>
      <c r="D9" s="790" t="s">
        <v>1219</v>
      </c>
      <c r="E9" s="790" t="s">
        <v>1220</v>
      </c>
      <c r="F9" s="791" t="s">
        <v>943</v>
      </c>
      <c r="G9" s="792" t="s">
        <v>1221</v>
      </c>
      <c r="H9" s="793" t="s">
        <v>233</v>
      </c>
      <c r="I9" s="794" t="s">
        <v>1556</v>
      </c>
      <c r="J9" s="795" t="s">
        <v>1557</v>
      </c>
    </row>
    <row r="10" spans="2:10" ht="25.5">
      <c r="B10" s="740" t="s">
        <v>1222</v>
      </c>
      <c r="C10" s="796" t="s">
        <v>1223</v>
      </c>
      <c r="D10" s="797" t="s">
        <v>1224</v>
      </c>
      <c r="E10" s="797" t="s">
        <v>1558</v>
      </c>
      <c r="F10" s="798" t="s">
        <v>1225</v>
      </c>
      <c r="G10" s="797">
        <v>0.5</v>
      </c>
      <c r="H10" s="799" t="s">
        <v>160</v>
      </c>
      <c r="I10" s="1141" t="s">
        <v>1226</v>
      </c>
      <c r="J10" s="1142"/>
    </row>
    <row r="11" spans="2:10" ht="15.75" thickBot="1">
      <c r="B11" s="1112" t="s">
        <v>1227</v>
      </c>
      <c r="C11" s="1143"/>
      <c r="D11" s="800" t="s">
        <v>1228</v>
      </c>
      <c r="E11" s="800" t="s">
        <v>1229</v>
      </c>
      <c r="F11" s="801" t="s">
        <v>1225</v>
      </c>
      <c r="G11" s="802">
        <v>0.5</v>
      </c>
      <c r="H11" s="803" t="s">
        <v>984</v>
      </c>
      <c r="I11" s="804">
        <v>687</v>
      </c>
      <c r="J11" s="805">
        <v>717</v>
      </c>
    </row>
    <row r="12" spans="2:10" ht="15" customHeight="1" thickBot="1">
      <c r="B12" s="1144" t="s">
        <v>1559</v>
      </c>
      <c r="C12" s="1145"/>
      <c r="D12" s="806" t="s">
        <v>1560</v>
      </c>
      <c r="E12" s="806" t="s">
        <v>1561</v>
      </c>
      <c r="F12" s="807" t="s">
        <v>1233</v>
      </c>
      <c r="G12" s="808">
        <v>0.45</v>
      </c>
      <c r="H12" s="809" t="s">
        <v>984</v>
      </c>
      <c r="I12" s="810">
        <v>432</v>
      </c>
      <c r="J12" s="811">
        <v>452</v>
      </c>
    </row>
    <row r="13" spans="2:10" ht="15" customHeight="1">
      <c r="B13" s="1123" t="s">
        <v>1230</v>
      </c>
      <c r="C13" s="1124"/>
      <c r="D13" s="1127" t="s">
        <v>1231</v>
      </c>
      <c r="E13" s="1127" t="s">
        <v>1232</v>
      </c>
      <c r="F13" s="812" t="s">
        <v>1233</v>
      </c>
      <c r="G13" s="1079">
        <v>0.5</v>
      </c>
      <c r="H13" s="1082" t="s">
        <v>984</v>
      </c>
      <c r="I13" s="813">
        <v>419</v>
      </c>
      <c r="J13" s="814">
        <v>449</v>
      </c>
    </row>
    <row r="14" spans="2:10" ht="15" customHeight="1">
      <c r="B14" s="1125" t="s">
        <v>1234</v>
      </c>
      <c r="C14" s="1126"/>
      <c r="D14" s="1128"/>
      <c r="E14" s="1128"/>
      <c r="F14" s="815" t="s">
        <v>1225</v>
      </c>
      <c r="G14" s="1080"/>
      <c r="H14" s="1083"/>
      <c r="I14" s="816">
        <v>458</v>
      </c>
      <c r="J14" s="817">
        <v>493</v>
      </c>
    </row>
    <row r="15" spans="2:10" ht="15.75" customHeight="1">
      <c r="B15" s="1125" t="s">
        <v>1235</v>
      </c>
      <c r="C15" s="1126"/>
      <c r="D15" s="1128"/>
      <c r="E15" s="1128"/>
      <c r="F15" s="815" t="s">
        <v>1236</v>
      </c>
      <c r="G15" s="1080"/>
      <c r="H15" s="1083"/>
      <c r="I15" s="816">
        <v>560</v>
      </c>
      <c r="J15" s="818">
        <v>603</v>
      </c>
    </row>
    <row r="16" spans="2:10" ht="15.75" customHeight="1" thickBot="1">
      <c r="B16" s="1130" t="s">
        <v>1235</v>
      </c>
      <c r="C16" s="1131"/>
      <c r="D16" s="1129"/>
      <c r="E16" s="1129"/>
      <c r="F16" s="819" t="s">
        <v>1237</v>
      </c>
      <c r="G16" s="1081"/>
      <c r="H16" s="1084"/>
      <c r="I16" s="820">
        <v>560</v>
      </c>
      <c r="J16" s="821">
        <v>603</v>
      </c>
    </row>
    <row r="17" spans="2:10" ht="33.75" customHeight="1" thickBot="1">
      <c r="B17" s="1112" t="s">
        <v>1238</v>
      </c>
      <c r="C17" s="1107"/>
      <c r="D17" s="802" t="s">
        <v>1239</v>
      </c>
      <c r="E17" s="802" t="s">
        <v>1240</v>
      </c>
      <c r="F17" s="822" t="s">
        <v>1237</v>
      </c>
      <c r="G17" s="823">
        <v>0.5</v>
      </c>
      <c r="H17" s="824" t="s">
        <v>984</v>
      </c>
      <c r="I17" s="825">
        <v>721</v>
      </c>
      <c r="J17" s="817">
        <v>785</v>
      </c>
    </row>
    <row r="18" spans="2:10" ht="30" customHeight="1">
      <c r="B18" s="1114" t="s">
        <v>1244</v>
      </c>
      <c r="C18" s="1115"/>
      <c r="D18" s="1115" t="s">
        <v>1242</v>
      </c>
      <c r="E18" s="1115" t="s">
        <v>1243</v>
      </c>
      <c r="F18" s="812" t="s">
        <v>1225</v>
      </c>
      <c r="G18" s="1106">
        <v>0.5</v>
      </c>
      <c r="H18" s="1122" t="s">
        <v>984</v>
      </c>
      <c r="I18" s="826">
        <v>722</v>
      </c>
      <c r="J18" s="827">
        <v>740</v>
      </c>
    </row>
    <row r="19" spans="2:10" ht="15" customHeight="1">
      <c r="B19" s="1108" t="s">
        <v>1241</v>
      </c>
      <c r="C19" s="1109"/>
      <c r="D19" s="1088"/>
      <c r="E19" s="1088"/>
      <c r="F19" s="1110" t="s">
        <v>1237</v>
      </c>
      <c r="G19" s="1088"/>
      <c r="H19" s="1088"/>
      <c r="I19" s="828">
        <v>762</v>
      </c>
      <c r="J19" s="829">
        <v>781</v>
      </c>
    </row>
    <row r="20" spans="2:10" ht="15.75" customHeight="1" thickBot="1">
      <c r="B20" s="1112" t="s">
        <v>1244</v>
      </c>
      <c r="C20" s="1113"/>
      <c r="D20" s="1107"/>
      <c r="E20" s="1107"/>
      <c r="F20" s="1111"/>
      <c r="G20" s="1107"/>
      <c r="H20" s="1107"/>
      <c r="I20" s="830">
        <v>822</v>
      </c>
      <c r="J20" s="831">
        <v>842</v>
      </c>
    </row>
    <row r="21" spans="2:10" ht="15.75" thickBot="1">
      <c r="B21" s="1099" t="s">
        <v>1562</v>
      </c>
      <c r="C21" s="1100"/>
      <c r="D21" s="832" t="s">
        <v>1563</v>
      </c>
      <c r="E21" s="832" t="s">
        <v>1564</v>
      </c>
      <c r="F21" s="833" t="s">
        <v>1237</v>
      </c>
      <c r="G21" s="834">
        <v>0.5</v>
      </c>
      <c r="H21" s="834" t="s">
        <v>984</v>
      </c>
      <c r="I21" s="835">
        <v>856</v>
      </c>
      <c r="J21" s="836">
        <v>900</v>
      </c>
    </row>
    <row r="22" spans="2:10" ht="15" customHeight="1">
      <c r="B22" s="1101" t="s">
        <v>1245</v>
      </c>
      <c r="C22" s="837" t="s">
        <v>1246</v>
      </c>
      <c r="D22" s="1104" t="s">
        <v>1247</v>
      </c>
      <c r="E22" s="1118" t="s">
        <v>1248</v>
      </c>
      <c r="F22" s="838" t="s">
        <v>1233</v>
      </c>
      <c r="G22" s="1121">
        <v>0.5</v>
      </c>
      <c r="H22" s="1116" t="s">
        <v>984</v>
      </c>
      <c r="I22" s="839">
        <v>700</v>
      </c>
      <c r="J22" s="840">
        <v>744</v>
      </c>
    </row>
    <row r="23" spans="2:10" ht="15" customHeight="1">
      <c r="B23" s="1102"/>
      <c r="C23" s="841" t="s">
        <v>1249</v>
      </c>
      <c r="D23" s="1105"/>
      <c r="E23" s="1119"/>
      <c r="F23" s="815" t="s">
        <v>1237</v>
      </c>
      <c r="G23" s="1088"/>
      <c r="H23" s="1117"/>
      <c r="I23" s="816">
        <v>825</v>
      </c>
      <c r="J23" s="818">
        <v>877</v>
      </c>
    </row>
    <row r="24" spans="2:10" ht="43.5" customHeight="1">
      <c r="B24" s="1102"/>
      <c r="C24" s="841" t="s">
        <v>1250</v>
      </c>
      <c r="D24" s="1105"/>
      <c r="E24" s="1119"/>
      <c r="F24" s="842" t="s">
        <v>1237</v>
      </c>
      <c r="G24" s="1087">
        <v>0.6</v>
      </c>
      <c r="H24" s="1117"/>
      <c r="I24" s="843">
        <v>895</v>
      </c>
      <c r="J24" s="817">
        <v>952</v>
      </c>
    </row>
    <row r="25" spans="2:10">
      <c r="B25" s="1102"/>
      <c r="C25" s="841" t="s">
        <v>1250</v>
      </c>
      <c r="D25" s="1105"/>
      <c r="E25" s="1120"/>
      <c r="F25" s="842" t="s">
        <v>1251</v>
      </c>
      <c r="G25" s="1088"/>
      <c r="H25" s="1117"/>
      <c r="I25" s="844">
        <v>950</v>
      </c>
      <c r="J25" s="817">
        <v>1010</v>
      </c>
    </row>
    <row r="26" spans="2:10" ht="15" customHeight="1">
      <c r="B26" s="1102"/>
      <c r="C26" s="1113" t="s">
        <v>1252</v>
      </c>
      <c r="D26" s="1132" t="s">
        <v>1253</v>
      </c>
      <c r="E26" s="1132" t="s">
        <v>1254</v>
      </c>
      <c r="F26" s="842" t="s">
        <v>1233</v>
      </c>
      <c r="G26" s="1133">
        <v>0.5</v>
      </c>
      <c r="H26" s="1117"/>
      <c r="I26" s="845">
        <v>711</v>
      </c>
      <c r="J26" s="829">
        <v>744</v>
      </c>
    </row>
    <row r="27" spans="2:10" ht="15.75" thickBot="1">
      <c r="B27" s="1103"/>
      <c r="C27" s="1117"/>
      <c r="D27" s="1117"/>
      <c r="E27" s="1117"/>
      <c r="F27" s="846" t="s">
        <v>1237</v>
      </c>
      <c r="G27" s="1134"/>
      <c r="H27" s="1117"/>
      <c r="I27" s="847">
        <v>839</v>
      </c>
      <c r="J27" s="831">
        <v>877</v>
      </c>
    </row>
    <row r="28" spans="2:10" ht="43.5" customHeight="1" thickBot="1">
      <c r="B28" s="1135" t="s">
        <v>1565</v>
      </c>
      <c r="C28" s="1136"/>
      <c r="D28" s="848" t="s">
        <v>1231</v>
      </c>
      <c r="E28" s="848" t="s">
        <v>1566</v>
      </c>
      <c r="F28" s="849" t="s">
        <v>1233</v>
      </c>
      <c r="G28" s="850">
        <v>0.5</v>
      </c>
      <c r="H28" s="848" t="s">
        <v>984</v>
      </c>
      <c r="I28" s="851">
        <v>496.58823529411768</v>
      </c>
      <c r="J28" s="852">
        <v>518.82352941176475</v>
      </c>
    </row>
    <row r="29" spans="2:10" ht="15" customHeight="1">
      <c r="B29" s="1114" t="s">
        <v>372</v>
      </c>
      <c r="C29" s="1146"/>
      <c r="D29" s="1149" t="s">
        <v>1255</v>
      </c>
      <c r="E29" s="1149"/>
      <c r="F29" s="812" t="s">
        <v>1233</v>
      </c>
      <c r="G29" s="1149">
        <v>0.5</v>
      </c>
      <c r="H29" s="1151" t="s">
        <v>984</v>
      </c>
      <c r="I29" s="1158">
        <v>419</v>
      </c>
      <c r="J29" s="1159"/>
    </row>
    <row r="30" spans="2:10">
      <c r="B30" s="1108"/>
      <c r="C30" s="1109"/>
      <c r="D30" s="1087"/>
      <c r="E30" s="1087"/>
      <c r="F30" s="853" t="s">
        <v>1225</v>
      </c>
      <c r="G30" s="1088"/>
      <c r="H30" s="1152"/>
      <c r="I30" s="1085">
        <v>458</v>
      </c>
      <c r="J30" s="1086"/>
    </row>
    <row r="31" spans="2:10">
      <c r="B31" s="1108"/>
      <c r="C31" s="1109"/>
      <c r="D31" s="1087"/>
      <c r="E31" s="1087"/>
      <c r="F31" s="815" t="s">
        <v>1236</v>
      </c>
      <c r="G31" s="1088"/>
      <c r="H31" s="1152"/>
      <c r="I31" s="1085">
        <v>560</v>
      </c>
      <c r="J31" s="1086"/>
    </row>
    <row r="32" spans="2:10">
      <c r="B32" s="1108"/>
      <c r="C32" s="1109"/>
      <c r="D32" s="1087"/>
      <c r="E32" s="1087"/>
      <c r="F32" s="815" t="s">
        <v>1237</v>
      </c>
      <c r="G32" s="1088"/>
      <c r="H32" s="1152"/>
      <c r="I32" s="1085">
        <v>560</v>
      </c>
      <c r="J32" s="1086"/>
    </row>
    <row r="33" spans="2:10">
      <c r="B33" s="1108"/>
      <c r="C33" s="1109"/>
      <c r="D33" s="1087"/>
      <c r="E33" s="1087"/>
      <c r="F33" s="815" t="s">
        <v>1237</v>
      </c>
      <c r="G33" s="1154">
        <v>0.6</v>
      </c>
      <c r="H33" s="1152"/>
      <c r="I33" s="1085">
        <v>710</v>
      </c>
      <c r="J33" s="1086"/>
    </row>
    <row r="34" spans="2:10" ht="15.75" thickBot="1">
      <c r="B34" s="1147"/>
      <c r="C34" s="1148"/>
      <c r="D34" s="1150"/>
      <c r="E34" s="1150"/>
      <c r="F34" s="854" t="s">
        <v>1251</v>
      </c>
      <c r="G34" s="1155"/>
      <c r="H34" s="1153"/>
      <c r="I34" s="1156">
        <v>770</v>
      </c>
      <c r="J34" s="1157"/>
    </row>
  </sheetData>
  <mergeCells count="50">
    <mergeCell ref="B29:C34"/>
    <mergeCell ref="D29:E34"/>
    <mergeCell ref="G29:G32"/>
    <mergeCell ref="H29:H34"/>
    <mergeCell ref="I31:J31"/>
    <mergeCell ref="I32:J32"/>
    <mergeCell ref="G33:G34"/>
    <mergeCell ref="I33:J33"/>
    <mergeCell ref="I34:J34"/>
    <mergeCell ref="I29:J29"/>
    <mergeCell ref="B28:C28"/>
    <mergeCell ref="B6:I7"/>
    <mergeCell ref="B9:C9"/>
    <mergeCell ref="I10:J10"/>
    <mergeCell ref="B11:C11"/>
    <mergeCell ref="B12:C12"/>
    <mergeCell ref="B17:C17"/>
    <mergeCell ref="D18:D20"/>
    <mergeCell ref="E18:E20"/>
    <mergeCell ref="C26:C27"/>
    <mergeCell ref="D26:D27"/>
    <mergeCell ref="E26:E27"/>
    <mergeCell ref="H22:H27"/>
    <mergeCell ref="E22:E25"/>
    <mergeCell ref="G22:G23"/>
    <mergeCell ref="H18:H20"/>
    <mergeCell ref="B13:C13"/>
    <mergeCell ref="B14:C14"/>
    <mergeCell ref="B15:C15"/>
    <mergeCell ref="D13:D16"/>
    <mergeCell ref="E13:E16"/>
    <mergeCell ref="B16:C16"/>
    <mergeCell ref="B22:B27"/>
    <mergeCell ref="D22:D25"/>
    <mergeCell ref="G18:G20"/>
    <mergeCell ref="B19:C19"/>
    <mergeCell ref="F19:F20"/>
    <mergeCell ref="B20:C20"/>
    <mergeCell ref="B18:C18"/>
    <mergeCell ref="G26:G27"/>
    <mergeCell ref="G13:G16"/>
    <mergeCell ref="H13:H16"/>
    <mergeCell ref="I30:J30"/>
    <mergeCell ref="G24:G25"/>
    <mergeCell ref="B2:C2"/>
    <mergeCell ref="B3:C4"/>
    <mergeCell ref="D3:D4"/>
    <mergeCell ref="E3:E4"/>
    <mergeCell ref="F3:F4"/>
    <mergeCell ref="B21:C21"/>
  </mergeCells>
  <pageMargins left="0.7" right="0.7" top="0.75" bottom="0.75" header="0.3" footer="0.3"/>
  <pageSetup paperSize="9" scale="62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M62"/>
  <sheetViews>
    <sheetView zoomScale="110" zoomScaleNormal="110" workbookViewId="0">
      <selection activeCell="D15" sqref="D15"/>
    </sheetView>
  </sheetViews>
  <sheetFormatPr defaultRowHeight="15"/>
  <cols>
    <col min="1" max="1" width="1.28515625" customWidth="1"/>
    <col min="2" max="2" width="24.7109375" customWidth="1"/>
    <col min="3" max="3" width="16.28515625" customWidth="1"/>
    <col min="4" max="4" width="7.42578125" customWidth="1"/>
    <col min="5" max="5" width="6.7109375" customWidth="1"/>
    <col min="6" max="6" width="8" customWidth="1"/>
    <col min="7" max="7" width="7.42578125" customWidth="1"/>
    <col min="8" max="8" width="7.5703125" customWidth="1"/>
    <col min="9" max="9" width="7.140625" customWidth="1"/>
    <col min="10" max="10" width="8.5703125" customWidth="1"/>
    <col min="11" max="11" width="7.140625" bestFit="1" customWidth="1"/>
    <col min="12" max="13" width="7.42578125" customWidth="1"/>
    <col min="14" max="14" width="9.28515625" customWidth="1"/>
    <col min="15" max="15" width="10.140625" customWidth="1"/>
    <col min="16" max="16" width="5.140625" customWidth="1"/>
    <col min="17" max="17" width="17.28515625" customWidth="1"/>
    <col min="18" max="18" width="8.5703125" customWidth="1"/>
    <col min="19" max="19" width="7.5703125" customWidth="1"/>
    <col min="20" max="20" width="3.28515625" customWidth="1"/>
    <col min="21" max="27" width="6.7109375" customWidth="1"/>
    <col min="28" max="28" width="11.7109375" customWidth="1"/>
    <col min="29" max="29" width="7.7109375" customWidth="1"/>
    <col min="30" max="38" width="6.7109375" customWidth="1"/>
  </cols>
  <sheetData>
    <row r="1" spans="1:28" ht="26.25" customHeight="1" thickBot="1">
      <c r="A1" s="79" t="s">
        <v>130</v>
      </c>
    </row>
    <row r="2" spans="1:28" ht="15.75" customHeight="1" thickBot="1">
      <c r="B2" s="1089"/>
      <c r="C2" s="1090"/>
      <c r="D2" s="267" t="s">
        <v>131</v>
      </c>
      <c r="E2" s="293"/>
      <c r="F2" s="267"/>
      <c r="G2" s="137"/>
      <c r="H2" s="1174" t="s">
        <v>378</v>
      </c>
      <c r="I2" s="1174"/>
      <c r="J2" s="1174"/>
      <c r="K2" s="1174"/>
      <c r="L2" s="1174"/>
      <c r="M2" s="1174"/>
      <c r="N2" s="1174"/>
      <c r="O2" s="1174"/>
      <c r="P2" s="1174"/>
      <c r="T2" s="1196" t="s">
        <v>207</v>
      </c>
      <c r="U2" s="1197"/>
      <c r="V2" s="1197"/>
      <c r="W2" s="1198"/>
      <c r="X2" s="1177" t="s">
        <v>781</v>
      </c>
      <c r="Y2" s="1194"/>
      <c r="Z2" s="1178"/>
      <c r="AA2" s="1177" t="s">
        <v>313</v>
      </c>
      <c r="AB2" s="1178"/>
    </row>
    <row r="3" spans="1:28" ht="15.75" customHeight="1">
      <c r="B3" s="1187" t="s">
        <v>1439</v>
      </c>
      <c r="C3" s="1188"/>
      <c r="D3" s="1095">
        <v>0.2</v>
      </c>
      <c r="E3" s="1097"/>
      <c r="F3" s="1095"/>
      <c r="G3" s="137"/>
      <c r="H3" s="1173" t="s">
        <v>169</v>
      </c>
      <c r="I3" s="1173"/>
      <c r="J3" s="1173"/>
      <c r="K3" s="1173"/>
      <c r="L3" s="1173"/>
      <c r="M3" s="1173"/>
      <c r="N3" s="1175" t="s">
        <v>170</v>
      </c>
      <c r="O3" s="1175"/>
      <c r="P3" s="1175"/>
      <c r="T3" s="1199"/>
      <c r="U3" s="1200"/>
      <c r="V3" s="1200"/>
      <c r="W3" s="1201"/>
      <c r="X3" s="1179" t="s">
        <v>350</v>
      </c>
      <c r="Y3" s="1180"/>
      <c r="Z3" s="146" t="s">
        <v>349</v>
      </c>
      <c r="AA3" s="144" t="s">
        <v>782</v>
      </c>
      <c r="AB3" s="144" t="s">
        <v>783</v>
      </c>
    </row>
    <row r="4" spans="1:28" ht="15" customHeight="1">
      <c r="B4" s="1189"/>
      <c r="C4" s="1190"/>
      <c r="D4" s="1096"/>
      <c r="E4" s="1098"/>
      <c r="F4" s="1096"/>
      <c r="G4" s="138"/>
      <c r="H4" s="1173" t="s">
        <v>171</v>
      </c>
      <c r="I4" s="1173"/>
      <c r="J4" s="1173"/>
      <c r="K4" s="1173"/>
      <c r="L4" s="1173"/>
      <c r="M4" s="1173"/>
      <c r="N4" s="1175" t="s">
        <v>172</v>
      </c>
      <c r="O4" s="1175"/>
      <c r="P4" s="1175"/>
      <c r="T4" s="1162" t="s">
        <v>211</v>
      </c>
      <c r="U4" s="1163"/>
      <c r="V4" s="1163"/>
      <c r="W4" s="1164"/>
      <c r="X4" s="1165">
        <v>1180</v>
      </c>
      <c r="Y4" s="1166"/>
      <c r="Z4" s="147">
        <v>1100</v>
      </c>
      <c r="AA4" s="148">
        <v>0.5</v>
      </c>
      <c r="AB4" s="148">
        <v>6.5</v>
      </c>
    </row>
    <row r="5" spans="1:28" ht="15" customHeight="1">
      <c r="B5" s="1185" t="s">
        <v>1440</v>
      </c>
      <c r="C5" s="1186"/>
      <c r="D5" s="291">
        <v>0.13</v>
      </c>
      <c r="E5" s="294"/>
      <c r="F5" s="291"/>
      <c r="G5" s="138"/>
      <c r="H5" s="1173" t="s">
        <v>173</v>
      </c>
      <c r="I5" s="1173"/>
      <c r="J5" s="1173"/>
      <c r="K5" s="1173"/>
      <c r="L5" s="1173"/>
      <c r="M5" s="1173"/>
      <c r="N5" s="1175" t="s">
        <v>174</v>
      </c>
      <c r="O5" s="1175"/>
      <c r="P5" s="1175"/>
      <c r="T5" s="1162" t="s">
        <v>230</v>
      </c>
      <c r="U5" s="1163"/>
      <c r="V5" s="1163"/>
      <c r="W5" s="1164"/>
      <c r="X5" s="1165">
        <v>1188</v>
      </c>
      <c r="Y5" s="1166"/>
      <c r="Z5" s="147">
        <v>1120</v>
      </c>
      <c r="AA5" s="148">
        <v>0.5</v>
      </c>
      <c r="AB5" s="148">
        <v>6.5</v>
      </c>
    </row>
    <row r="6" spans="1:28" ht="15" customHeight="1">
      <c r="B6" s="1185" t="s">
        <v>1441</v>
      </c>
      <c r="C6" s="1186"/>
      <c r="D6" s="291">
        <v>0.13</v>
      </c>
      <c r="E6" s="294"/>
      <c r="F6" s="291"/>
      <c r="G6" s="138"/>
      <c r="H6" s="1173" t="s">
        <v>175</v>
      </c>
      <c r="I6" s="1173"/>
      <c r="J6" s="1173"/>
      <c r="K6" s="1173"/>
      <c r="L6" s="1173"/>
      <c r="M6" s="1173"/>
      <c r="N6" s="1175" t="s">
        <v>176</v>
      </c>
      <c r="O6" s="1175"/>
      <c r="P6" s="1175"/>
      <c r="T6" s="1191" t="s">
        <v>212</v>
      </c>
      <c r="U6" s="1192"/>
      <c r="V6" s="1192"/>
      <c r="W6" s="1193"/>
      <c r="X6" s="1165">
        <v>625</v>
      </c>
      <c r="Y6" s="1166"/>
      <c r="Z6" s="147">
        <v>550</v>
      </c>
      <c r="AA6" s="148">
        <v>0.8</v>
      </c>
      <c r="AB6" s="148">
        <v>9</v>
      </c>
    </row>
    <row r="7" spans="1:28">
      <c r="B7" s="1185" t="s">
        <v>1442</v>
      </c>
      <c r="C7" s="1186"/>
      <c r="D7" s="291">
        <v>0.13</v>
      </c>
      <c r="E7" s="294"/>
      <c r="F7" s="291"/>
      <c r="G7" s="138"/>
      <c r="H7" s="132"/>
      <c r="I7" s="132"/>
      <c r="J7" s="132"/>
      <c r="K7" s="132"/>
      <c r="L7" s="132"/>
      <c r="M7" s="132"/>
      <c r="N7" s="132"/>
      <c r="O7" s="132"/>
      <c r="P7" s="132"/>
      <c r="T7" s="1191" t="s">
        <v>369</v>
      </c>
      <c r="U7" s="1192"/>
      <c r="V7" s="1192"/>
      <c r="W7" s="1193"/>
      <c r="X7" s="1165">
        <v>625</v>
      </c>
      <c r="Y7" s="1166"/>
      <c r="Z7" s="147">
        <v>510</v>
      </c>
      <c r="AA7" s="148">
        <v>0.8</v>
      </c>
      <c r="AB7" s="148">
        <v>9</v>
      </c>
    </row>
    <row r="8" spans="1:28">
      <c r="B8" s="1181" t="s">
        <v>462</v>
      </c>
      <c r="C8" s="1182"/>
      <c r="D8" s="291">
        <v>0.13</v>
      </c>
      <c r="E8" s="294"/>
      <c r="F8" s="291"/>
      <c r="G8" s="138"/>
      <c r="H8" s="133"/>
      <c r="I8" s="133"/>
      <c r="J8" s="133"/>
      <c r="K8" s="133"/>
      <c r="L8" s="133"/>
      <c r="M8" s="133"/>
      <c r="N8" s="134"/>
      <c r="O8" s="134"/>
      <c r="P8" s="134"/>
      <c r="T8" s="1162" t="s">
        <v>213</v>
      </c>
      <c r="U8" s="1163"/>
      <c r="V8" s="1163"/>
      <c r="W8" s="1164"/>
      <c r="X8" s="1165">
        <v>1200</v>
      </c>
      <c r="Y8" s="1166"/>
      <c r="Z8" s="147">
        <v>1160</v>
      </c>
      <c r="AA8" s="148">
        <v>0.5</v>
      </c>
      <c r="AB8" s="148">
        <v>8</v>
      </c>
    </row>
    <row r="9" spans="1:28">
      <c r="B9" s="1181" t="s">
        <v>1443</v>
      </c>
      <c r="C9" s="1182"/>
      <c r="D9" s="291">
        <v>0.13</v>
      </c>
      <c r="E9" s="294"/>
      <c r="F9" s="291"/>
      <c r="G9" s="1"/>
      <c r="H9" s="129"/>
      <c r="I9" s="130"/>
      <c r="J9" s="130"/>
      <c r="K9" s="130"/>
      <c r="L9" s="130"/>
      <c r="M9" s="130"/>
      <c r="N9" s="130"/>
      <c r="O9" s="135"/>
      <c r="P9" s="135"/>
      <c r="T9" s="1162" t="s">
        <v>214</v>
      </c>
      <c r="U9" s="1163"/>
      <c r="V9" s="1163"/>
      <c r="W9" s="1164"/>
      <c r="X9" s="1165">
        <v>1180</v>
      </c>
      <c r="Y9" s="1166"/>
      <c r="Z9" s="147">
        <v>1150</v>
      </c>
      <c r="AA9" s="148">
        <v>0.5</v>
      </c>
      <c r="AB9" s="148">
        <v>8</v>
      </c>
    </row>
    <row r="10" spans="1:28" ht="15" customHeight="1" thickBot="1">
      <c r="B10" s="1183" t="s">
        <v>1444</v>
      </c>
      <c r="C10" s="1184"/>
      <c r="D10" s="292">
        <v>0.06</v>
      </c>
      <c r="E10" s="295"/>
      <c r="F10" s="292"/>
      <c r="G10" s="1"/>
      <c r="H10" s="128" t="s">
        <v>379</v>
      </c>
      <c r="I10" s="136"/>
      <c r="J10" s="136"/>
      <c r="K10" s="136"/>
      <c r="L10" s="136"/>
      <c r="M10" s="130"/>
      <c r="N10" s="135"/>
      <c r="O10" s="135"/>
      <c r="P10" s="129"/>
      <c r="T10" s="1162" t="s">
        <v>784</v>
      </c>
      <c r="U10" s="1163"/>
      <c r="V10" s="1163"/>
      <c r="W10" s="1164"/>
      <c r="X10" s="1165">
        <v>1180</v>
      </c>
      <c r="Y10" s="1166"/>
      <c r="Z10" s="147">
        <v>1150</v>
      </c>
      <c r="AA10" s="1165" t="s">
        <v>785</v>
      </c>
      <c r="AB10" s="1166"/>
    </row>
    <row r="11" spans="1:28" ht="18" customHeight="1">
      <c r="H11" s="1176" t="s">
        <v>380</v>
      </c>
      <c r="I11" s="1176"/>
      <c r="J11" s="1176"/>
      <c r="K11" s="1174" t="s">
        <v>381</v>
      </c>
      <c r="L11" s="1174"/>
      <c r="M11" s="1174"/>
      <c r="N11" s="1174" t="s">
        <v>382</v>
      </c>
      <c r="O11" s="1174"/>
      <c r="P11" s="1174"/>
      <c r="T11" s="1162" t="s">
        <v>216</v>
      </c>
      <c r="U11" s="1163"/>
      <c r="V11" s="1163"/>
      <c r="W11" s="1164"/>
      <c r="X11" s="1165">
        <v>1150</v>
      </c>
      <c r="Y11" s="1166"/>
      <c r="Z11" s="147">
        <v>1110</v>
      </c>
      <c r="AA11" s="148">
        <v>0.5</v>
      </c>
      <c r="AB11" s="148">
        <v>8</v>
      </c>
    </row>
    <row r="12" spans="1:28" ht="15.75" customHeight="1">
      <c r="B12" s="346"/>
      <c r="H12" s="1170" t="s">
        <v>383</v>
      </c>
      <c r="I12" s="1170"/>
      <c r="J12" s="1170"/>
      <c r="K12" s="1171">
        <v>0.7</v>
      </c>
      <c r="L12" s="1171"/>
      <c r="M12" s="1171"/>
      <c r="N12" s="1172" t="s">
        <v>384</v>
      </c>
      <c r="O12" s="1172"/>
      <c r="P12" s="1172"/>
      <c r="T12" s="1162" t="s">
        <v>217</v>
      </c>
      <c r="U12" s="1163"/>
      <c r="V12" s="1163"/>
      <c r="W12" s="1164"/>
      <c r="X12" s="1165">
        <v>1051</v>
      </c>
      <c r="Y12" s="1166"/>
      <c r="Z12" s="147">
        <v>1000</v>
      </c>
      <c r="AA12" s="148">
        <v>0.5</v>
      </c>
      <c r="AB12" s="148">
        <v>12</v>
      </c>
    </row>
    <row r="13" spans="1:28" ht="12.75" customHeight="1">
      <c r="B13" s="346"/>
      <c r="H13" s="1170" t="s">
        <v>385</v>
      </c>
      <c r="I13" s="1170"/>
      <c r="J13" s="1170"/>
      <c r="K13" s="1171">
        <v>0.3</v>
      </c>
      <c r="L13" s="1171"/>
      <c r="M13" s="1171"/>
      <c r="N13" s="1172"/>
      <c r="O13" s="1172"/>
      <c r="P13" s="1172"/>
      <c r="T13" s="1162" t="s">
        <v>218</v>
      </c>
      <c r="U13" s="1163"/>
      <c r="V13" s="1163"/>
      <c r="W13" s="1164"/>
      <c r="X13" s="1165">
        <v>1060</v>
      </c>
      <c r="Y13" s="1166"/>
      <c r="Z13" s="147">
        <v>1000</v>
      </c>
      <c r="AA13" s="148">
        <v>0.5</v>
      </c>
      <c r="AB13" s="148">
        <v>12</v>
      </c>
    </row>
    <row r="14" spans="1:28" ht="14.25" customHeight="1">
      <c r="B14" s="346"/>
      <c r="H14" s="1170" t="s">
        <v>386</v>
      </c>
      <c r="I14" s="1170"/>
      <c r="J14" s="1170"/>
      <c r="K14" s="1171">
        <v>0.15</v>
      </c>
      <c r="L14" s="1171"/>
      <c r="M14" s="1171"/>
      <c r="N14" s="1172"/>
      <c r="O14" s="1172"/>
      <c r="P14" s="1172"/>
      <c r="T14" s="1162" t="s">
        <v>220</v>
      </c>
      <c r="U14" s="1163"/>
      <c r="V14" s="1163"/>
      <c r="W14" s="1164"/>
      <c r="X14" s="1165">
        <v>902</v>
      </c>
      <c r="Y14" s="1166"/>
      <c r="Z14" s="147">
        <v>845</v>
      </c>
      <c r="AA14" s="148">
        <v>0.5</v>
      </c>
      <c r="AB14" s="148">
        <v>12</v>
      </c>
    </row>
    <row r="15" spans="1:28" ht="18.75" customHeight="1">
      <c r="H15" s="1170" t="s">
        <v>387</v>
      </c>
      <c r="I15" s="1170"/>
      <c r="J15" s="1170"/>
      <c r="K15" s="1195" t="s">
        <v>388</v>
      </c>
      <c r="L15" s="1195"/>
      <c r="M15" s="1195"/>
      <c r="N15" s="1172" t="s">
        <v>389</v>
      </c>
      <c r="O15" s="1172"/>
      <c r="P15" s="1172"/>
      <c r="T15" s="1162" t="s">
        <v>221</v>
      </c>
      <c r="U15" s="1163"/>
      <c r="V15" s="1163"/>
      <c r="W15" s="1164"/>
      <c r="X15" s="1165">
        <v>800</v>
      </c>
      <c r="Y15" s="1166"/>
      <c r="Z15" s="147">
        <v>750</v>
      </c>
      <c r="AA15" s="148">
        <v>0.5</v>
      </c>
      <c r="AB15" s="148">
        <v>12</v>
      </c>
    </row>
    <row r="16" spans="1:28">
      <c r="H16" s="129"/>
      <c r="I16" s="129"/>
      <c r="J16" s="129"/>
      <c r="K16" s="129"/>
      <c r="L16" s="129"/>
      <c r="M16" s="129"/>
      <c r="N16" s="129"/>
      <c r="O16" s="129"/>
      <c r="P16" s="129"/>
      <c r="T16" s="1167" t="s">
        <v>786</v>
      </c>
      <c r="U16" s="1168"/>
      <c r="V16" s="1168"/>
      <c r="W16" s="1169"/>
      <c r="X16" s="1165" t="s">
        <v>787</v>
      </c>
      <c r="Y16" s="1166"/>
      <c r="Z16" s="147" t="s">
        <v>219</v>
      </c>
      <c r="AA16" s="148" t="s">
        <v>788</v>
      </c>
      <c r="AB16" s="148">
        <v>400</v>
      </c>
    </row>
    <row r="17" spans="2:39">
      <c r="B17" s="361"/>
      <c r="C17" s="343"/>
      <c r="D17" s="343"/>
      <c r="E17" s="343"/>
      <c r="F17" s="343"/>
      <c r="G17" s="343"/>
      <c r="H17" s="261"/>
      <c r="I17" s="261"/>
      <c r="J17" s="131"/>
      <c r="K17" s="741"/>
      <c r="L17" s="128"/>
      <c r="M17" s="128"/>
      <c r="N17" s="742"/>
    </row>
    <row r="18" spans="2:39">
      <c r="B18" s="361"/>
      <c r="C18" s="343"/>
      <c r="D18" s="343"/>
      <c r="E18" s="343"/>
      <c r="F18" s="343"/>
      <c r="G18" s="343"/>
      <c r="H18" s="343"/>
      <c r="I18" s="261"/>
      <c r="J18" s="261"/>
      <c r="K18" s="131"/>
      <c r="L18" s="128"/>
      <c r="M18" s="741" t="s">
        <v>310</v>
      </c>
      <c r="N18" s="128"/>
      <c r="O18" s="1017">
        <v>42235</v>
      </c>
      <c r="Q18" s="898"/>
      <c r="R18" s="898"/>
      <c r="S18" s="898"/>
      <c r="T18" s="898"/>
      <c r="U18" s="145"/>
      <c r="V18" s="343"/>
      <c r="W18" s="344"/>
      <c r="X18" s="344"/>
      <c r="Y18" s="261"/>
      <c r="Z18" s="261"/>
      <c r="AA18" s="261"/>
      <c r="AB18" s="261"/>
      <c r="AC18" s="261"/>
      <c r="AD18" s="128"/>
      <c r="AE18" s="128"/>
      <c r="AF18" s="1229" t="s">
        <v>377</v>
      </c>
      <c r="AG18" s="1229"/>
      <c r="AH18" s="1229"/>
      <c r="AI18" s="1229"/>
      <c r="AJ18" s="1229"/>
      <c r="AK18" s="1230">
        <v>42235</v>
      </c>
      <c r="AL18" s="1230"/>
      <c r="AM18" s="128"/>
    </row>
    <row r="19" spans="2:39" ht="27" customHeight="1">
      <c r="B19" s="1179" t="s">
        <v>207</v>
      </c>
      <c r="C19" s="1212" t="s">
        <v>1485</v>
      </c>
      <c r="D19" s="1212"/>
      <c r="E19" s="1213" t="s">
        <v>1486</v>
      </c>
      <c r="F19" s="1213" t="s">
        <v>1487</v>
      </c>
      <c r="G19" s="1197"/>
      <c r="H19" s="1197"/>
      <c r="I19" s="1197"/>
      <c r="J19" s="1197"/>
      <c r="K19" s="1197"/>
      <c r="L19" s="1197"/>
      <c r="M19" s="1197"/>
      <c r="N19" s="1197"/>
      <c r="O19" s="1198"/>
      <c r="Q19" s="1231" t="s">
        <v>207</v>
      </c>
      <c r="R19" s="1174" t="s">
        <v>1531</v>
      </c>
      <c r="S19" s="1174"/>
      <c r="T19" s="1213" t="s">
        <v>1486</v>
      </c>
      <c r="U19" s="1174"/>
      <c r="V19" s="1179" t="s">
        <v>370</v>
      </c>
      <c r="W19" s="1216"/>
      <c r="X19" s="1216"/>
      <c r="Y19" s="1216"/>
      <c r="Z19" s="1216"/>
      <c r="AA19" s="1216"/>
      <c r="AB19" s="1216"/>
      <c r="AC19" s="1216"/>
      <c r="AD19" s="1216"/>
      <c r="AE19" s="1216"/>
      <c r="AF19" s="1216"/>
      <c r="AG19" s="1216"/>
      <c r="AH19" s="1216"/>
      <c r="AI19" s="1216"/>
      <c r="AJ19" s="1216"/>
      <c r="AK19" s="1216"/>
      <c r="AL19" s="1216"/>
      <c r="AM19" s="1180"/>
    </row>
    <row r="20" spans="2:39" ht="27.75" customHeight="1">
      <c r="B20" s="1179"/>
      <c r="C20" s="1212"/>
      <c r="D20" s="1212"/>
      <c r="E20" s="1214"/>
      <c r="F20" s="1214"/>
      <c r="G20" s="1179" t="s">
        <v>1488</v>
      </c>
      <c r="H20" s="1216"/>
      <c r="I20" s="1216"/>
      <c r="J20" s="1216"/>
      <c r="K20" s="1216"/>
      <c r="L20" s="1216"/>
      <c r="M20" s="1202" t="s">
        <v>1489</v>
      </c>
      <c r="N20" s="1203"/>
      <c r="O20" s="1203"/>
      <c r="Q20" s="1221"/>
      <c r="R20" s="1174"/>
      <c r="S20" s="1174"/>
      <c r="T20" s="1214"/>
      <c r="U20" s="1174"/>
      <c r="V20" s="1174" t="s">
        <v>390</v>
      </c>
      <c r="W20" s="1174"/>
      <c r="X20" s="1174"/>
      <c r="Y20" s="1174"/>
      <c r="Z20" s="1174"/>
      <c r="AA20" s="1174"/>
      <c r="AB20" s="1227" t="s">
        <v>1647</v>
      </c>
      <c r="AC20" s="1213" t="s">
        <v>1648</v>
      </c>
      <c r="AD20" s="1213" t="s">
        <v>1649</v>
      </c>
      <c r="AE20" s="1174" t="s">
        <v>208</v>
      </c>
      <c r="AF20" s="1174"/>
      <c r="AG20" s="1174"/>
      <c r="AH20" s="1174"/>
      <c r="AI20" s="1174"/>
      <c r="AJ20" s="1174"/>
      <c r="AK20" s="1174"/>
      <c r="AL20" s="1174"/>
      <c r="AM20" s="1174"/>
    </row>
    <row r="21" spans="2:39" ht="36" customHeight="1">
      <c r="B21" s="1196"/>
      <c r="C21" s="862" t="s">
        <v>350</v>
      </c>
      <c r="D21" s="862" t="s">
        <v>349</v>
      </c>
      <c r="E21" s="1215"/>
      <c r="F21" s="1215"/>
      <c r="G21" s="896" t="s">
        <v>1525</v>
      </c>
      <c r="H21" s="144" t="s">
        <v>1664</v>
      </c>
      <c r="I21" s="144" t="s">
        <v>1526</v>
      </c>
      <c r="J21" s="144" t="s">
        <v>1527</v>
      </c>
      <c r="K21" s="144" t="s">
        <v>1528</v>
      </c>
      <c r="L21" s="144" t="s">
        <v>1529</v>
      </c>
      <c r="M21" s="743" t="s">
        <v>1530</v>
      </c>
      <c r="N21" s="743" t="s">
        <v>1665</v>
      </c>
      <c r="O21" s="1018" t="s">
        <v>1666</v>
      </c>
      <c r="Q21" s="1221"/>
      <c r="R21" s="1221" t="s">
        <v>350</v>
      </c>
      <c r="S21" s="1221" t="s">
        <v>349</v>
      </c>
      <c r="T21" s="1214"/>
      <c r="U21" s="1174"/>
      <c r="V21" s="1223">
        <v>0.35</v>
      </c>
      <c r="W21" s="1176">
        <v>0.4</v>
      </c>
      <c r="X21" s="1176">
        <v>0.45</v>
      </c>
      <c r="Y21" s="1176" t="s">
        <v>1452</v>
      </c>
      <c r="Z21" s="1176">
        <v>0.7</v>
      </c>
      <c r="AA21" s="1176">
        <v>0.8</v>
      </c>
      <c r="AB21" s="1228"/>
      <c r="AC21" s="1215"/>
      <c r="AD21" s="1215"/>
      <c r="AE21" s="1226" t="s">
        <v>209</v>
      </c>
      <c r="AF21" s="1226"/>
      <c r="AG21" s="1226"/>
      <c r="AH21" s="1226"/>
      <c r="AI21" s="1226"/>
      <c r="AJ21" s="1226" t="s">
        <v>210</v>
      </c>
      <c r="AK21" s="1226"/>
      <c r="AL21" s="1226"/>
      <c r="AM21" s="745" t="s">
        <v>1532</v>
      </c>
    </row>
    <row r="22" spans="2:39">
      <c r="B22" s="1179" t="s">
        <v>1490</v>
      </c>
      <c r="C22" s="1216"/>
      <c r="D22" s="1216"/>
      <c r="E22" s="1216"/>
      <c r="F22" s="1180"/>
      <c r="G22" s="897" t="s">
        <v>1491</v>
      </c>
      <c r="H22" s="897" t="s">
        <v>1491</v>
      </c>
      <c r="I22" s="897" t="s">
        <v>1492</v>
      </c>
      <c r="J22" s="897" t="s">
        <v>1491</v>
      </c>
      <c r="K22" s="897" t="s">
        <v>1493</v>
      </c>
      <c r="L22" s="897" t="s">
        <v>1494</v>
      </c>
      <c r="M22" s="899" t="s">
        <v>1495</v>
      </c>
      <c r="N22" s="899" t="s">
        <v>1495</v>
      </c>
      <c r="O22" s="1019" t="s">
        <v>1496</v>
      </c>
      <c r="Q22" s="1222"/>
      <c r="R22" s="1222"/>
      <c r="S22" s="1222"/>
      <c r="T22" s="1215"/>
      <c r="U22" s="1174"/>
      <c r="V22" s="1223"/>
      <c r="W22" s="1176"/>
      <c r="X22" s="1176"/>
      <c r="Y22" s="1176"/>
      <c r="Z22" s="1176"/>
      <c r="AA22" s="1176"/>
      <c r="AB22" s="888">
        <v>0.5</v>
      </c>
      <c r="AC22" s="144">
        <v>0.45</v>
      </c>
      <c r="AD22" s="144">
        <v>0.45</v>
      </c>
      <c r="AE22" s="888">
        <v>0.35</v>
      </c>
      <c r="AF22" s="888">
        <v>0.4</v>
      </c>
      <c r="AG22" s="888">
        <v>0.45</v>
      </c>
      <c r="AH22" s="888">
        <v>0.5</v>
      </c>
      <c r="AI22" s="888">
        <v>0.55000000000000004</v>
      </c>
      <c r="AJ22" s="888">
        <v>0.7</v>
      </c>
      <c r="AK22" s="888">
        <v>0.8</v>
      </c>
      <c r="AL22" s="888">
        <v>0.9</v>
      </c>
      <c r="AM22" s="888">
        <v>0.5</v>
      </c>
    </row>
    <row r="23" spans="2:39" ht="26.25" customHeight="1">
      <c r="B23" s="1217" t="s">
        <v>1497</v>
      </c>
      <c r="C23" s="1218"/>
      <c r="D23" s="1218"/>
      <c r="E23" s="1218"/>
      <c r="F23" s="1219"/>
      <c r="G23" s="890" t="s">
        <v>231</v>
      </c>
      <c r="H23" s="890" t="s">
        <v>231</v>
      </c>
      <c r="I23" s="890" t="s">
        <v>231</v>
      </c>
      <c r="J23" s="890" t="s">
        <v>1498</v>
      </c>
      <c r="K23" s="890" t="s">
        <v>1499</v>
      </c>
      <c r="L23" s="890" t="s">
        <v>1499</v>
      </c>
      <c r="M23" s="744" t="s">
        <v>231</v>
      </c>
      <c r="N23" s="744" t="s">
        <v>231</v>
      </c>
      <c r="O23" s="744" t="s">
        <v>231</v>
      </c>
      <c r="Q23" s="893"/>
      <c r="R23" s="893"/>
      <c r="S23" s="893"/>
      <c r="T23" s="886"/>
      <c r="U23" s="144"/>
      <c r="V23" s="887"/>
      <c r="W23" s="888"/>
      <c r="X23" s="888"/>
      <c r="Y23" s="888"/>
      <c r="Z23" s="888"/>
      <c r="AA23" s="888"/>
      <c r="AB23" s="144" t="s">
        <v>1645</v>
      </c>
      <c r="AC23" s="144" t="s">
        <v>1646</v>
      </c>
      <c r="AD23" s="144"/>
      <c r="AE23" s="888"/>
      <c r="AF23" s="888"/>
      <c r="AG23" s="888"/>
      <c r="AH23" s="888"/>
      <c r="AI23" s="888"/>
      <c r="AJ23" s="888"/>
      <c r="AK23" s="888"/>
      <c r="AL23" s="888"/>
      <c r="AM23" s="888"/>
    </row>
    <row r="24" spans="2:39">
      <c r="B24" s="1204" t="s">
        <v>1662</v>
      </c>
      <c r="C24" s="1205"/>
      <c r="D24" s="1205"/>
      <c r="E24" s="1205"/>
      <c r="F24" s="1205"/>
      <c r="G24" s="1205"/>
      <c r="H24" s="1205"/>
      <c r="I24" s="1205"/>
      <c r="J24" s="1205"/>
      <c r="K24" s="1205"/>
      <c r="L24" s="1205"/>
      <c r="M24" s="1205"/>
      <c r="N24" s="1205"/>
      <c r="O24" s="1205"/>
      <c r="Q24" s="1212" t="s">
        <v>226</v>
      </c>
      <c r="R24" s="1212"/>
      <c r="S24" s="1212"/>
      <c r="T24" s="1212"/>
      <c r="U24" s="1212"/>
      <c r="V24" s="1224" t="s">
        <v>227</v>
      </c>
      <c r="W24" s="1224"/>
      <c r="X24" s="1224" t="s">
        <v>228</v>
      </c>
      <c r="Y24" s="1224"/>
      <c r="Z24" s="1224"/>
      <c r="AA24" s="1224"/>
      <c r="AB24" s="889" t="s">
        <v>228</v>
      </c>
      <c r="AC24" s="889" t="s">
        <v>228</v>
      </c>
      <c r="AD24" s="889" t="s">
        <v>228</v>
      </c>
      <c r="AE24" s="1225" t="s">
        <v>229</v>
      </c>
      <c r="AF24" s="1225"/>
      <c r="AG24" s="1225"/>
      <c r="AH24" s="1225"/>
      <c r="AI24" s="1225"/>
      <c r="AJ24" s="1225"/>
      <c r="AK24" s="1225"/>
      <c r="AL24" s="1225"/>
      <c r="AM24" s="894" t="s">
        <v>1533</v>
      </c>
    </row>
    <row r="25" spans="2:39">
      <c r="B25" s="727" t="s">
        <v>1667</v>
      </c>
      <c r="C25" s="892">
        <v>1180</v>
      </c>
      <c r="D25" s="892">
        <v>1085</v>
      </c>
      <c r="E25" s="892" t="s">
        <v>1500</v>
      </c>
      <c r="F25" s="726" t="s">
        <v>21</v>
      </c>
      <c r="G25" s="892">
        <f>ROUND(355*(1-C81),2)</f>
        <v>355</v>
      </c>
      <c r="H25" s="900">
        <f>ROUND(426*(1-C81),2)</f>
        <v>426</v>
      </c>
      <c r="I25" s="900">
        <f>ROUND(441*(1-C81),2)</f>
        <v>441</v>
      </c>
      <c r="J25" s="900">
        <f>ROUND(472*(1-C81),2)</f>
        <v>472</v>
      </c>
      <c r="K25" s="892">
        <f>ROUND(499*(1-C81),2)</f>
        <v>499</v>
      </c>
      <c r="L25" s="892">
        <f t="shared" ref="L25:L30" si="0">K25</f>
        <v>499</v>
      </c>
      <c r="M25" s="900">
        <f t="shared" ref="M25:M30" si="1">I25</f>
        <v>441</v>
      </c>
      <c r="N25" s="900">
        <f>ROUND(548*(1-C81),2)</f>
        <v>548</v>
      </c>
      <c r="O25" s="729" t="s">
        <v>21</v>
      </c>
      <c r="Q25" s="1204" t="s">
        <v>1446</v>
      </c>
      <c r="R25" s="1205"/>
      <c r="S25" s="1205"/>
      <c r="T25" s="1205"/>
      <c r="U25" s="1205"/>
      <c r="V25" s="1205"/>
      <c r="W25" s="1205"/>
      <c r="X25" s="1205"/>
      <c r="Y25" s="1205"/>
      <c r="Z25" s="1205"/>
      <c r="AA25" s="1205"/>
      <c r="AB25" s="1205"/>
      <c r="AC25" s="1205"/>
      <c r="AD25" s="1205"/>
      <c r="AE25" s="1205"/>
      <c r="AF25" s="1205"/>
      <c r="AG25" s="1205"/>
      <c r="AH25" s="1205"/>
      <c r="AI25" s="1205"/>
      <c r="AJ25" s="1205"/>
      <c r="AK25" s="1205"/>
      <c r="AL25" s="1205"/>
      <c r="AM25" s="1220"/>
    </row>
    <row r="26" spans="2:39">
      <c r="B26" s="189" t="s">
        <v>1447</v>
      </c>
      <c r="C26" s="892">
        <v>1210</v>
      </c>
      <c r="D26" s="892">
        <v>1150</v>
      </c>
      <c r="E26" s="892" t="s">
        <v>1500</v>
      </c>
      <c r="F26" s="726" t="s">
        <v>21</v>
      </c>
      <c r="G26" s="592">
        <f>ROUND(355*(1-C81),2)</f>
        <v>355</v>
      </c>
      <c r="H26" s="901">
        <f>ROUND(426*(1-C81),2)</f>
        <v>426</v>
      </c>
      <c r="I26" s="901">
        <f>ROUND(441*(1-C81),2)</f>
        <v>441</v>
      </c>
      <c r="J26" s="901">
        <f>ROUND(472*(1-C81),2)</f>
        <v>472</v>
      </c>
      <c r="K26" s="592">
        <f>ROUND(499*(1-C81),2)</f>
        <v>499</v>
      </c>
      <c r="L26" s="592">
        <f t="shared" si="0"/>
        <v>499</v>
      </c>
      <c r="M26" s="901">
        <f t="shared" si="1"/>
        <v>441</v>
      </c>
      <c r="N26" s="901">
        <f>ROUND(548*(1-C81),2)</f>
        <v>548</v>
      </c>
      <c r="O26" s="592" t="s">
        <v>21</v>
      </c>
      <c r="Q26" s="727" t="s">
        <v>211</v>
      </c>
      <c r="R26" s="892">
        <v>1180</v>
      </c>
      <c r="S26" s="892">
        <v>1100</v>
      </c>
      <c r="T26" s="892" t="s">
        <v>1500</v>
      </c>
      <c r="U26" s="725" t="s">
        <v>21</v>
      </c>
      <c r="V26" s="892" t="s">
        <v>21</v>
      </c>
      <c r="W26" s="892">
        <f>ROUND(247*(1-V85),2)</f>
        <v>247</v>
      </c>
      <c r="X26" s="892">
        <f>ROUND(275*(1-W85),2)</f>
        <v>275</v>
      </c>
      <c r="Y26" s="892" t="s">
        <v>21</v>
      </c>
      <c r="Z26" s="892" t="s">
        <v>21</v>
      </c>
      <c r="AA26" s="892" t="s">
        <v>21</v>
      </c>
      <c r="AB26" s="892">
        <f>ROUND(310*(1-X85),2)</f>
        <v>310</v>
      </c>
      <c r="AC26" s="900">
        <f>ROUND(320*(1-AD85),2)</f>
        <v>320</v>
      </c>
      <c r="AD26" s="892" t="s">
        <v>21</v>
      </c>
      <c r="AE26" s="892" t="s">
        <v>21</v>
      </c>
      <c r="AF26" s="728" t="s">
        <v>21</v>
      </c>
      <c r="AG26" s="728" t="s">
        <v>21</v>
      </c>
      <c r="AH26" s="728" t="s">
        <v>21</v>
      </c>
      <c r="AI26" s="728" t="s">
        <v>21</v>
      </c>
      <c r="AJ26" s="728"/>
      <c r="AK26" s="728" t="s">
        <v>21</v>
      </c>
      <c r="AL26" s="728" t="s">
        <v>21</v>
      </c>
      <c r="AM26" s="728" t="s">
        <v>21</v>
      </c>
    </row>
    <row r="27" spans="2:39">
      <c r="B27" s="189" t="s">
        <v>1501</v>
      </c>
      <c r="C27" s="892">
        <v>1180</v>
      </c>
      <c r="D27" s="892">
        <v>1100</v>
      </c>
      <c r="E27" s="892" t="s">
        <v>1500</v>
      </c>
      <c r="F27" s="726" t="s">
        <v>21</v>
      </c>
      <c r="G27" s="592">
        <f>ROUND(355*(1-C81),2)</f>
        <v>355</v>
      </c>
      <c r="H27" s="901">
        <f>ROUND(426*(1-C81),2)</f>
        <v>426</v>
      </c>
      <c r="I27" s="901">
        <f>ROUND(441*(1-C81),2)</f>
        <v>441</v>
      </c>
      <c r="J27" s="901">
        <f>ROUND(472*(1-C81),2)</f>
        <v>472</v>
      </c>
      <c r="K27" s="592">
        <f>ROUND(499*(1-C81),2)</f>
        <v>499</v>
      </c>
      <c r="L27" s="592">
        <f t="shared" si="0"/>
        <v>499</v>
      </c>
      <c r="M27" s="901">
        <f t="shared" si="1"/>
        <v>441</v>
      </c>
      <c r="N27" s="901">
        <f>ROUND(548*(1-C81),2)</f>
        <v>548</v>
      </c>
      <c r="O27" s="592" t="s">
        <v>21</v>
      </c>
      <c r="Q27" s="189" t="s">
        <v>212</v>
      </c>
      <c r="R27" s="892">
        <v>625</v>
      </c>
      <c r="S27" s="892">
        <v>550</v>
      </c>
      <c r="T27" s="892" t="s">
        <v>1503</v>
      </c>
      <c r="U27" s="726" t="s">
        <v>21</v>
      </c>
      <c r="V27" s="592" t="s">
        <v>21</v>
      </c>
      <c r="W27" s="592" t="s">
        <v>21</v>
      </c>
      <c r="X27" s="592" t="s">
        <v>21</v>
      </c>
      <c r="Y27" s="592">
        <f>ROUND(370*(1-Y85),2)</f>
        <v>370</v>
      </c>
      <c r="Z27" s="592">
        <f>ROUND(429*(1-Y85),2)</f>
        <v>429</v>
      </c>
      <c r="AA27" s="592" t="s">
        <v>21</v>
      </c>
      <c r="AB27" s="592">
        <f>ROUND(314*(1-X85),2)</f>
        <v>314</v>
      </c>
      <c r="AC27" s="906" t="s">
        <v>21</v>
      </c>
      <c r="AD27" s="592" t="s">
        <v>21</v>
      </c>
      <c r="AE27" s="864" t="s">
        <v>21</v>
      </c>
      <c r="AF27" s="892" t="s">
        <v>21</v>
      </c>
      <c r="AG27" s="892" t="s">
        <v>21</v>
      </c>
      <c r="AH27" s="892">
        <f>ROUND(239*(1-AG85),2)</f>
        <v>239</v>
      </c>
      <c r="AI27" s="892">
        <f>ROUND(259*(1-AI85),2)</f>
        <v>259</v>
      </c>
      <c r="AJ27" s="892">
        <f>ROUND(296*(1-AI85),2)</f>
        <v>296</v>
      </c>
      <c r="AK27" s="892" t="s">
        <v>21</v>
      </c>
      <c r="AL27" s="892" t="s">
        <v>21</v>
      </c>
      <c r="AM27" s="892">
        <f>ROUND(256*(1-AK85),2)</f>
        <v>256</v>
      </c>
    </row>
    <row r="28" spans="2:39">
      <c r="B28" s="189" t="s">
        <v>230</v>
      </c>
      <c r="C28" s="892">
        <v>1200</v>
      </c>
      <c r="D28" s="892">
        <v>1120</v>
      </c>
      <c r="E28" s="892" t="s">
        <v>1500</v>
      </c>
      <c r="F28" s="726" t="s">
        <v>21</v>
      </c>
      <c r="G28" s="592">
        <f>ROUND(365*(1-C81),2)</f>
        <v>365</v>
      </c>
      <c r="H28" s="901">
        <f>ROUND(436*(1-C81),2)</f>
        <v>436</v>
      </c>
      <c r="I28" s="901">
        <f>ROUND(451*(1-C81),2)</f>
        <v>451</v>
      </c>
      <c r="J28" s="901">
        <f>ROUND(482*(1-C81),2)</f>
        <v>482</v>
      </c>
      <c r="K28" s="592">
        <f>ROUND(499*(1-C81),2)</f>
        <v>499</v>
      </c>
      <c r="L28" s="592">
        <f t="shared" si="0"/>
        <v>499</v>
      </c>
      <c r="M28" s="901">
        <f t="shared" si="1"/>
        <v>451</v>
      </c>
      <c r="N28" s="901">
        <f>ROUND(558*(1-C81),2)</f>
        <v>558</v>
      </c>
      <c r="O28" s="592" t="s">
        <v>21</v>
      </c>
      <c r="Q28" s="727" t="s">
        <v>369</v>
      </c>
      <c r="R28" s="892">
        <v>542</v>
      </c>
      <c r="S28" s="892">
        <v>510</v>
      </c>
      <c r="T28" s="892" t="s">
        <v>1503</v>
      </c>
      <c r="U28" s="726" t="s">
        <v>21</v>
      </c>
      <c r="V28" s="892" t="s">
        <v>21</v>
      </c>
      <c r="W28" s="892" t="s">
        <v>21</v>
      </c>
      <c r="X28" s="892" t="s">
        <v>21</v>
      </c>
      <c r="Y28" s="892">
        <f>ROUND(427*(1-Y85),2)</f>
        <v>427</v>
      </c>
      <c r="Z28" s="892">
        <f>ROUND(495*(1-Y85),2)</f>
        <v>495</v>
      </c>
      <c r="AA28" s="892" t="s">
        <v>21</v>
      </c>
      <c r="AB28" s="892">
        <f>ROUND(362*(1-X85),2)</f>
        <v>362</v>
      </c>
      <c r="AC28" s="907" t="s">
        <v>21</v>
      </c>
      <c r="AD28" s="892" t="s">
        <v>21</v>
      </c>
      <c r="AE28" s="892" t="s">
        <v>21</v>
      </c>
      <c r="AF28" s="892" t="s">
        <v>21</v>
      </c>
      <c r="AG28" s="892" t="s">
        <v>21</v>
      </c>
      <c r="AH28" s="892" t="s">
        <v>21</v>
      </c>
      <c r="AI28" s="892" t="s">
        <v>21</v>
      </c>
      <c r="AJ28" s="892" t="s">
        <v>21</v>
      </c>
      <c r="AK28" s="892" t="s">
        <v>21</v>
      </c>
      <c r="AL28" s="892" t="s">
        <v>21</v>
      </c>
      <c r="AM28" s="892" t="s">
        <v>21</v>
      </c>
    </row>
    <row r="29" spans="2:39">
      <c r="B29" s="189" t="s">
        <v>1502</v>
      </c>
      <c r="C29" s="892">
        <v>625</v>
      </c>
      <c r="D29" s="892">
        <v>550</v>
      </c>
      <c r="E29" s="892" t="s">
        <v>1503</v>
      </c>
      <c r="F29" s="726" t="s">
        <v>21</v>
      </c>
      <c r="G29" s="592">
        <f>ROUND(353*(1-C81),2)</f>
        <v>353</v>
      </c>
      <c r="H29" s="901">
        <f>ROUND(420*(1-C81),2)</f>
        <v>420</v>
      </c>
      <c r="I29" s="901">
        <f>ROUND(434*(1-C81),2)</f>
        <v>434</v>
      </c>
      <c r="J29" s="901">
        <f>ROUND(462*(1-C81),2)</f>
        <v>462</v>
      </c>
      <c r="K29" s="592">
        <f>ROUND(493*(1-C81),2)</f>
        <v>493</v>
      </c>
      <c r="L29" s="592">
        <f t="shared" si="0"/>
        <v>493</v>
      </c>
      <c r="M29" s="901">
        <f t="shared" si="1"/>
        <v>434</v>
      </c>
      <c r="N29" s="901">
        <f>ROUND(530*(1-C81),2)</f>
        <v>530</v>
      </c>
      <c r="O29" s="592" t="s">
        <v>21</v>
      </c>
      <c r="Q29" s="1204" t="s">
        <v>1448</v>
      </c>
      <c r="R29" s="1205"/>
      <c r="S29" s="1205"/>
      <c r="T29" s="1205"/>
      <c r="U29" s="1205"/>
      <c r="V29" s="1205"/>
      <c r="W29" s="1205"/>
      <c r="X29" s="1205"/>
      <c r="Y29" s="1205"/>
      <c r="Z29" s="1205"/>
      <c r="AA29" s="1205"/>
      <c r="AB29" s="1205"/>
      <c r="AC29" s="1205"/>
      <c r="AD29" s="1205"/>
      <c r="AE29" s="1205"/>
      <c r="AF29" s="1205"/>
      <c r="AG29" s="1205"/>
      <c r="AH29" s="1205"/>
      <c r="AI29" s="1205"/>
      <c r="AJ29" s="1205"/>
      <c r="AK29" s="1205"/>
      <c r="AL29" s="1205"/>
      <c r="AM29" s="1220"/>
    </row>
    <row r="30" spans="2:39">
      <c r="B30" s="189" t="s">
        <v>1504</v>
      </c>
      <c r="C30" s="892">
        <v>542</v>
      </c>
      <c r="D30" s="892">
        <v>510</v>
      </c>
      <c r="E30" s="892" t="s">
        <v>1503</v>
      </c>
      <c r="F30" s="726" t="s">
        <v>21</v>
      </c>
      <c r="G30" s="592">
        <f>ROUND(407*(1-C81),2)</f>
        <v>407</v>
      </c>
      <c r="H30" s="901">
        <f>ROUND(484*(1-C81),2)</f>
        <v>484</v>
      </c>
      <c r="I30" s="901">
        <f>ROUND(501*(1-C81),2)</f>
        <v>501</v>
      </c>
      <c r="J30" s="901">
        <f>ROUND(532*(1-C81),2)</f>
        <v>532</v>
      </c>
      <c r="K30" s="592">
        <f>ROUND(568*(1-C81),2)</f>
        <v>568</v>
      </c>
      <c r="L30" s="592">
        <f t="shared" si="0"/>
        <v>568</v>
      </c>
      <c r="M30" s="901">
        <f t="shared" si="1"/>
        <v>501</v>
      </c>
      <c r="N30" s="901">
        <f>ROUND(611*(1-C81),2)</f>
        <v>611</v>
      </c>
      <c r="O30" s="592" t="s">
        <v>21</v>
      </c>
      <c r="Q30" s="189" t="s">
        <v>213</v>
      </c>
      <c r="R30" s="892">
        <v>1200</v>
      </c>
      <c r="S30" s="892">
        <v>1160</v>
      </c>
      <c r="T30" s="892" t="s">
        <v>1506</v>
      </c>
      <c r="U30" s="726"/>
      <c r="V30" s="592">
        <f>ROUND(216*(1-U86),2)</f>
        <v>216</v>
      </c>
      <c r="W30" s="592">
        <f>ROUND(229*(1-V86),2)</f>
        <v>229</v>
      </c>
      <c r="X30" s="592">
        <f>ROUND(260*(1-W86),2)</f>
        <v>260</v>
      </c>
      <c r="Y30" s="592" t="s">
        <v>21</v>
      </c>
      <c r="Z30" s="592" t="s">
        <v>21</v>
      </c>
      <c r="AA30" s="592" t="s">
        <v>21</v>
      </c>
      <c r="AB30" s="592">
        <f>ROUND(285*(1-X86),2)</f>
        <v>285</v>
      </c>
      <c r="AC30" s="901">
        <f>ROUND(310*(1-AD85),2)</f>
        <v>310</v>
      </c>
      <c r="AD30" s="592">
        <f>ROUND(291*(1-AB86),2)</f>
        <v>291</v>
      </c>
      <c r="AE30" s="864">
        <f>ROUND(156*(1-AG86),2)</f>
        <v>156</v>
      </c>
      <c r="AF30" s="892">
        <f>ROUND(166*(1-AG86),2)</f>
        <v>166</v>
      </c>
      <c r="AG30" s="892">
        <f>ROUND(198*(1-AG86),2)</f>
        <v>198</v>
      </c>
      <c r="AH30" s="892">
        <f>ROUND(207*(1-AG86),2)</f>
        <v>207</v>
      </c>
      <c r="AI30" s="892">
        <f>ROUND(228*(1-AI86),2)</f>
        <v>228</v>
      </c>
      <c r="AJ30" s="892" t="s">
        <v>21</v>
      </c>
      <c r="AK30" s="892" t="s">
        <v>21</v>
      </c>
      <c r="AL30" s="892" t="s">
        <v>21</v>
      </c>
      <c r="AM30" s="892">
        <f>ROUND(225*(1-AK86),2)</f>
        <v>225</v>
      </c>
    </row>
    <row r="31" spans="2:39">
      <c r="B31" s="1020" t="s">
        <v>1668</v>
      </c>
      <c r="C31" s="1021">
        <v>1150</v>
      </c>
      <c r="D31" s="1021">
        <v>1100</v>
      </c>
      <c r="E31" s="1021" t="s">
        <v>1663</v>
      </c>
      <c r="F31" s="1022" t="s">
        <v>21</v>
      </c>
      <c r="G31" s="1206">
        <v>946</v>
      </c>
      <c r="H31" s="1207"/>
      <c r="I31" s="1207"/>
      <c r="J31" s="1207"/>
      <c r="K31" s="1207"/>
      <c r="L31" s="1207"/>
      <c r="M31" s="1207"/>
      <c r="N31" s="1207"/>
      <c r="O31" s="1208"/>
      <c r="Q31" s="727" t="s">
        <v>214</v>
      </c>
      <c r="R31" s="892">
        <v>1180</v>
      </c>
      <c r="S31" s="892">
        <v>1150</v>
      </c>
      <c r="T31" s="892" t="s">
        <v>1506</v>
      </c>
      <c r="U31" s="726"/>
      <c r="V31" s="892">
        <f>ROUND(222*(1-U86),2)</f>
        <v>222</v>
      </c>
      <c r="W31" s="892">
        <f>ROUND(235*(1-V86),2)</f>
        <v>235</v>
      </c>
      <c r="X31" s="892">
        <f>ROUND(266*(1-W86),2)</f>
        <v>266</v>
      </c>
      <c r="Y31" s="892">
        <f>ROUND(352*(1-Y85),2)</f>
        <v>352</v>
      </c>
      <c r="Z31" s="892">
        <f>ROUND(414*(1-Y85),2)</f>
        <v>414</v>
      </c>
      <c r="AA31" s="892" t="s">
        <v>21</v>
      </c>
      <c r="AB31" s="892">
        <f>ROUND(292*(1-X86),2)</f>
        <v>292</v>
      </c>
      <c r="AC31" s="900">
        <f>ROUND(317*(1-AD85),2)</f>
        <v>317</v>
      </c>
      <c r="AD31" s="892">
        <f>ROUND(298*(1-AB86),2)</f>
        <v>298</v>
      </c>
      <c r="AE31" s="892">
        <f>ROUND(161*(1-AG86),2)</f>
        <v>161</v>
      </c>
      <c r="AF31" s="892">
        <f>ROUND(171*(1-AG86),2)</f>
        <v>171</v>
      </c>
      <c r="AG31" s="892">
        <f>ROUND(203*(1-AG86),2)</f>
        <v>203</v>
      </c>
      <c r="AH31" s="892">
        <f>ROUND(213*(1-AG86),2)</f>
        <v>213</v>
      </c>
      <c r="AI31" s="892">
        <f>ROUND(234*(1-AI86),2)</f>
        <v>234</v>
      </c>
      <c r="AJ31" s="892">
        <f>ROUND(274*(1-AI86),2)</f>
        <v>274</v>
      </c>
      <c r="AK31" s="892" t="s">
        <v>21</v>
      </c>
      <c r="AL31" s="892" t="s">
        <v>21</v>
      </c>
      <c r="AM31" s="892">
        <f>ROUND(231*(1-AK86),2)</f>
        <v>231</v>
      </c>
    </row>
    <row r="32" spans="2:39">
      <c r="B32" s="1204" t="s">
        <v>1448</v>
      </c>
      <c r="C32" s="1205"/>
      <c r="D32" s="1205"/>
      <c r="E32" s="1205"/>
      <c r="F32" s="1205"/>
      <c r="G32" s="1205"/>
      <c r="H32" s="1205"/>
      <c r="I32" s="1205"/>
      <c r="J32" s="1205"/>
      <c r="K32" s="1205"/>
      <c r="L32" s="1205"/>
      <c r="M32" s="1205"/>
      <c r="N32" s="1205"/>
      <c r="O32" s="1205"/>
      <c r="Q32" s="189" t="s">
        <v>215</v>
      </c>
      <c r="R32" s="892">
        <v>1180</v>
      </c>
      <c r="S32" s="892">
        <v>1150</v>
      </c>
      <c r="T32" s="892" t="s">
        <v>1509</v>
      </c>
      <c r="U32" s="726"/>
      <c r="V32" s="592" t="s">
        <v>21</v>
      </c>
      <c r="W32" s="592" t="s">
        <v>21</v>
      </c>
      <c r="X32" s="592">
        <f>ROUND(321*(1-W86),2)</f>
        <v>321</v>
      </c>
      <c r="Y32" s="592" t="s">
        <v>21</v>
      </c>
      <c r="Z32" s="592" t="s">
        <v>21</v>
      </c>
      <c r="AA32" s="592" t="s">
        <v>21</v>
      </c>
      <c r="AB32" s="592">
        <f>ROUND(344*(1-X86),2)</f>
        <v>344</v>
      </c>
      <c r="AC32" s="901">
        <f>ROUND(372*(1-AD85),2)</f>
        <v>372</v>
      </c>
      <c r="AD32" s="592">
        <f>ROUND(350*(1-AB86),2)</f>
        <v>350</v>
      </c>
      <c r="AE32" s="864" t="s">
        <v>21</v>
      </c>
      <c r="AF32" s="892" t="s">
        <v>21</v>
      </c>
      <c r="AG32" s="892">
        <f>ROUND(258*(1-AG86),2)</f>
        <v>258</v>
      </c>
      <c r="AH32" s="892">
        <f>ROUND(268*(1-AG86),2)</f>
        <v>268</v>
      </c>
      <c r="AI32" s="892" t="s">
        <v>21</v>
      </c>
      <c r="AJ32" s="892" t="s">
        <v>21</v>
      </c>
      <c r="AK32" s="892" t="s">
        <v>21</v>
      </c>
      <c r="AL32" s="892" t="s">
        <v>21</v>
      </c>
      <c r="AM32" s="892">
        <f>ROUND(283*(1-AK86),2)</f>
        <v>283</v>
      </c>
    </row>
    <row r="33" spans="2:39">
      <c r="B33" s="189" t="s">
        <v>1505</v>
      </c>
      <c r="C33" s="892">
        <v>1200</v>
      </c>
      <c r="D33" s="892">
        <v>1160</v>
      </c>
      <c r="E33" s="892" t="s">
        <v>1506</v>
      </c>
      <c r="F33" s="726">
        <v>1</v>
      </c>
      <c r="G33" s="592">
        <f>ROUND(326*(1-C81),2)</f>
        <v>326</v>
      </c>
      <c r="H33" s="901">
        <f>ROUND(396*(1-C81),2)</f>
        <v>396</v>
      </c>
      <c r="I33" s="901">
        <f>ROUND(411*(1-C81),2)</f>
        <v>411</v>
      </c>
      <c r="J33" s="901">
        <f>ROUND(439*(1-C81),2)</f>
        <v>439</v>
      </c>
      <c r="K33" s="592">
        <f>ROUND(472*(1-C81),2)</f>
        <v>472</v>
      </c>
      <c r="L33" s="592">
        <f t="shared" ref="L33:L42" si="2">K33</f>
        <v>472</v>
      </c>
      <c r="M33" s="901">
        <f t="shared" ref="M33:M41" si="3">I33</f>
        <v>411</v>
      </c>
      <c r="N33" s="901">
        <f>ROUND(510*(1-C81),2)</f>
        <v>510</v>
      </c>
      <c r="O33" s="901">
        <f>ROUND(695*(1-C81),2)</f>
        <v>695</v>
      </c>
      <c r="Q33" s="727" t="s">
        <v>216</v>
      </c>
      <c r="R33" s="892">
        <v>1150</v>
      </c>
      <c r="S33" s="892">
        <v>1110</v>
      </c>
      <c r="T33" s="892" t="s">
        <v>1506</v>
      </c>
      <c r="U33" s="726"/>
      <c r="V33" s="892">
        <f>ROUND(225*(1-U86),2)</f>
        <v>225</v>
      </c>
      <c r="W33" s="892">
        <f>ROUND(239*(1-V86),2)</f>
        <v>239</v>
      </c>
      <c r="X33" s="892">
        <f>ROUND(271*(1-W86),2)</f>
        <v>271</v>
      </c>
      <c r="Y33" s="892">
        <f>ROUND(359*(1-Y85),2)</f>
        <v>359</v>
      </c>
      <c r="Z33" s="892">
        <f>ROUND(423*(1-Y85),2)</f>
        <v>423</v>
      </c>
      <c r="AA33" s="892" t="s">
        <v>21</v>
      </c>
      <c r="AB33" s="892">
        <f>ROUND(297*(1-X86),2)</f>
        <v>297</v>
      </c>
      <c r="AC33" s="900">
        <f>ROUND(323*(1-AD85),2)</f>
        <v>323</v>
      </c>
      <c r="AD33" s="892">
        <f>ROUND(304*(1-AB86),2)</f>
        <v>304</v>
      </c>
      <c r="AE33" s="892">
        <f>ROUND(163*(1-AG86),2)</f>
        <v>163</v>
      </c>
      <c r="AF33" s="892">
        <f>ROUND(173*(1-AG86),2)</f>
        <v>173</v>
      </c>
      <c r="AG33" s="892">
        <f>ROUND(207*(1-AG86),2)</f>
        <v>207</v>
      </c>
      <c r="AH33" s="892">
        <f>ROUND(216*(1-AG86),2)</f>
        <v>216</v>
      </c>
      <c r="AI33" s="892">
        <f>ROUND(238*(1-AI86),2)</f>
        <v>238</v>
      </c>
      <c r="AJ33" s="892">
        <f>ROUND(279*(1-AI86),2)</f>
        <v>279</v>
      </c>
      <c r="AK33" s="892" t="s">
        <v>21</v>
      </c>
      <c r="AL33" s="892" t="s">
        <v>21</v>
      </c>
      <c r="AM33" s="892">
        <f>ROUND(235*(1-AK86),2)</f>
        <v>235</v>
      </c>
    </row>
    <row r="34" spans="2:39">
      <c r="B34" s="189" t="s">
        <v>1507</v>
      </c>
      <c r="C34" s="892">
        <v>1180</v>
      </c>
      <c r="D34" s="892">
        <v>1150</v>
      </c>
      <c r="E34" s="892" t="s">
        <v>1506</v>
      </c>
      <c r="F34" s="726">
        <v>1.0169999999999999</v>
      </c>
      <c r="G34" s="592">
        <f>ROUND(334*(1-C81),2)</f>
        <v>334</v>
      </c>
      <c r="H34" s="901">
        <f>ROUND(405*(1-C81),2)</f>
        <v>405</v>
      </c>
      <c r="I34" s="901">
        <f>ROUND(420*(1-C81),2)</f>
        <v>420</v>
      </c>
      <c r="J34" s="901">
        <f>ROUND(448*(1-C81),2)</f>
        <v>448</v>
      </c>
      <c r="K34" s="592">
        <f>ROUND(482*(1-C81),2)</f>
        <v>482</v>
      </c>
      <c r="L34" s="592">
        <f t="shared" si="2"/>
        <v>482</v>
      </c>
      <c r="M34" s="901">
        <f t="shared" si="3"/>
        <v>420</v>
      </c>
      <c r="N34" s="901">
        <f>ROUND(521*(1-C81),2)</f>
        <v>521</v>
      </c>
      <c r="O34" s="901">
        <f>ROUND(709*(1-C81),2)</f>
        <v>709</v>
      </c>
      <c r="Q34" s="189" t="s">
        <v>217</v>
      </c>
      <c r="R34" s="892">
        <v>1051</v>
      </c>
      <c r="S34" s="892">
        <v>1000</v>
      </c>
      <c r="T34" s="892" t="s">
        <v>1512</v>
      </c>
      <c r="U34" s="726"/>
      <c r="V34" s="592">
        <f>ROUND(247*(1-U86),2)</f>
        <v>247</v>
      </c>
      <c r="W34" s="592">
        <f>ROUND(261*(1-V86),2)</f>
        <v>261</v>
      </c>
      <c r="X34" s="592">
        <f>ROUND(297*(1-W86),2)</f>
        <v>297</v>
      </c>
      <c r="Y34" s="592">
        <f>ROUND(393*(1-Y85),2)</f>
        <v>393</v>
      </c>
      <c r="Z34" s="592">
        <f>ROUND(462*(1-Y85),2)</f>
        <v>462</v>
      </c>
      <c r="AA34" s="592" t="s">
        <v>21</v>
      </c>
      <c r="AB34" s="592">
        <f>ROUND(325*(1-X86),2)</f>
        <v>325</v>
      </c>
      <c r="AC34" s="901">
        <f>ROUND(354*(1-AD85),2)</f>
        <v>354</v>
      </c>
      <c r="AD34" s="592">
        <f>ROUND(332*(1-AB86),2)</f>
        <v>332</v>
      </c>
      <c r="AE34" s="864">
        <f>ROUND(178*(1-AG86),2)</f>
        <v>178</v>
      </c>
      <c r="AF34" s="892">
        <f>ROUND(190*(1-AG86),2)</f>
        <v>190</v>
      </c>
      <c r="AG34" s="892">
        <f>ROUND(226*(1-AG86),2)</f>
        <v>226</v>
      </c>
      <c r="AH34" s="892">
        <f>ROUND(236*(1-AG86),2)</f>
        <v>236</v>
      </c>
      <c r="AI34" s="892">
        <f>ROUND(260*(1-AI86),2)</f>
        <v>260</v>
      </c>
      <c r="AJ34" s="892">
        <f>ROUND(305*(1-AI86),2)</f>
        <v>305</v>
      </c>
      <c r="AK34" s="892" t="s">
        <v>21</v>
      </c>
      <c r="AL34" s="892" t="s">
        <v>21</v>
      </c>
      <c r="AM34" s="892">
        <f>ROUND(257*(1-AK86),2)</f>
        <v>257</v>
      </c>
    </row>
    <row r="35" spans="2:39">
      <c r="B35" s="189" t="s">
        <v>1508</v>
      </c>
      <c r="C35" s="892">
        <v>1180</v>
      </c>
      <c r="D35" s="892">
        <v>1150</v>
      </c>
      <c r="E35" s="892" t="s">
        <v>1509</v>
      </c>
      <c r="F35" s="726" t="s">
        <v>21</v>
      </c>
      <c r="G35" s="592">
        <f>ROUND(386*(1-C81),2)</f>
        <v>386</v>
      </c>
      <c r="H35" s="901">
        <f>ROUND(460*(1-C81),2)</f>
        <v>460</v>
      </c>
      <c r="I35" s="901">
        <f>ROUND(475*(1-C81),2)</f>
        <v>475</v>
      </c>
      <c r="J35" s="901">
        <f>ROUND(503*(1-C81),2)</f>
        <v>503</v>
      </c>
      <c r="K35" s="592">
        <f>ROUND(537*(1-C81),2)</f>
        <v>537</v>
      </c>
      <c r="L35" s="592">
        <f t="shared" si="2"/>
        <v>537</v>
      </c>
      <c r="M35" s="901">
        <f t="shared" si="3"/>
        <v>475</v>
      </c>
      <c r="N35" s="901">
        <f>ROUND(576*(1-C81),2)</f>
        <v>576</v>
      </c>
      <c r="O35" s="901">
        <f>ROUND(764*(1-C81),2)</f>
        <v>764</v>
      </c>
      <c r="Q35" s="727" t="s">
        <v>218</v>
      </c>
      <c r="R35" s="892">
        <v>1060</v>
      </c>
      <c r="S35" s="892">
        <v>1000</v>
      </c>
      <c r="T35" s="892" t="s">
        <v>1512</v>
      </c>
      <c r="U35" s="726"/>
      <c r="V35" s="892" t="s">
        <v>21</v>
      </c>
      <c r="W35" s="892" t="s">
        <v>21</v>
      </c>
      <c r="X35" s="892">
        <f>ROUND(296*(1-W86),2)</f>
        <v>296</v>
      </c>
      <c r="Y35" s="892">
        <f>ROUND(392*(1-Y85),2)</f>
        <v>392</v>
      </c>
      <c r="Z35" s="892">
        <f>ROUND(461*(1-Y85),2)</f>
        <v>461</v>
      </c>
      <c r="AA35" s="892">
        <f>ROUND(512*(1-Y85),2)</f>
        <v>512</v>
      </c>
      <c r="AB35" s="892">
        <f>ROUND(324*(1-X86),2)</f>
        <v>324</v>
      </c>
      <c r="AC35" s="900">
        <f>ROUND(353*(1-AD85),2)</f>
        <v>353</v>
      </c>
      <c r="AD35" s="892">
        <f>ROUND(331*(1-AB86),2)</f>
        <v>331</v>
      </c>
      <c r="AE35" s="892" t="s">
        <v>21</v>
      </c>
      <c r="AF35" s="892" t="s">
        <v>219</v>
      </c>
      <c r="AG35" s="892">
        <f>ROUND(225*(1-AG86),2)</f>
        <v>225</v>
      </c>
      <c r="AH35" s="892">
        <f>ROUND(235*(1-AG86),2)</f>
        <v>235</v>
      </c>
      <c r="AI35" s="892">
        <f>ROUND(259*(1-AI86),2)</f>
        <v>259</v>
      </c>
      <c r="AJ35" s="892">
        <f>ROUND(304*(1-AI86),2)</f>
        <v>304</v>
      </c>
      <c r="AK35" s="892">
        <f>ROUND(345*(1-AI86),2)</f>
        <v>345</v>
      </c>
      <c r="AL35" s="892" t="s">
        <v>21</v>
      </c>
      <c r="AM35" s="892">
        <f>ROUND(256*(1-AK86),2)</f>
        <v>256</v>
      </c>
    </row>
    <row r="36" spans="2:39">
      <c r="B36" s="189" t="s">
        <v>1510</v>
      </c>
      <c r="C36" s="892">
        <v>1150</v>
      </c>
      <c r="D36" s="892">
        <v>1110</v>
      </c>
      <c r="E36" s="892" t="s">
        <v>1506</v>
      </c>
      <c r="F36" s="726">
        <v>1.0429999999999999</v>
      </c>
      <c r="G36" s="592">
        <f>ROUND(340*(1-C81),2)</f>
        <v>340</v>
      </c>
      <c r="H36" s="901">
        <f>ROUND(413*(1-C81),2)</f>
        <v>413</v>
      </c>
      <c r="I36" s="901">
        <f>ROUND(429*(1-C81),2)</f>
        <v>429</v>
      </c>
      <c r="J36" s="901">
        <f>ROUND(458*(1-C81),2)</f>
        <v>458</v>
      </c>
      <c r="K36" s="592">
        <f>ROUND(493*(1-C81),2)</f>
        <v>493</v>
      </c>
      <c r="L36" s="592">
        <f t="shared" si="2"/>
        <v>493</v>
      </c>
      <c r="M36" s="901">
        <f t="shared" si="3"/>
        <v>429</v>
      </c>
      <c r="N36" s="901">
        <f>ROUND(532*(1-C81),2)</f>
        <v>532</v>
      </c>
      <c r="O36" s="901">
        <f>ROUND(725*(1-C81),2)</f>
        <v>725</v>
      </c>
      <c r="Q36" s="189" t="s">
        <v>220</v>
      </c>
      <c r="R36" s="892">
        <v>902</v>
      </c>
      <c r="S36" s="892">
        <v>845</v>
      </c>
      <c r="T36" s="892" t="s">
        <v>1512</v>
      </c>
      <c r="U36" s="726"/>
      <c r="V36" s="592" t="s">
        <v>21</v>
      </c>
      <c r="W36" s="592" t="s">
        <v>21</v>
      </c>
      <c r="X36" s="592" t="s">
        <v>21</v>
      </c>
      <c r="Y36" s="592">
        <f>ROUND(458*(1-Y85),2)</f>
        <v>458</v>
      </c>
      <c r="Z36" s="592">
        <f>ROUND(539*(1-Y85),2)</f>
        <v>539</v>
      </c>
      <c r="AA36" s="592">
        <f>ROUND(598*(1-Y85),2)</f>
        <v>598</v>
      </c>
      <c r="AB36" s="592">
        <f>ROUND(379*(1-X86),2)</f>
        <v>379</v>
      </c>
      <c r="AC36" s="906" t="s">
        <v>21</v>
      </c>
      <c r="AD36" s="592">
        <f>ROUND(387*(1-AB86),2)</f>
        <v>387</v>
      </c>
      <c r="AE36" s="864" t="s">
        <v>21</v>
      </c>
      <c r="AF36" s="892" t="s">
        <v>219</v>
      </c>
      <c r="AG36" s="892" t="s">
        <v>21</v>
      </c>
      <c r="AH36" s="892">
        <f>ROUND(275*(1-AG86),2)</f>
        <v>275</v>
      </c>
      <c r="AI36" s="892">
        <f>ROUND(303*(1-AI86),2)</f>
        <v>303</v>
      </c>
      <c r="AJ36" s="892">
        <f>ROUND(355*(1-AI86),2)</f>
        <v>355</v>
      </c>
      <c r="AK36" s="892">
        <f>ROUND(403*(1-AI86),2)</f>
        <v>403</v>
      </c>
      <c r="AL36" s="892">
        <f>ROUND(443*(1-AI86),2)</f>
        <v>443</v>
      </c>
      <c r="AM36" s="892">
        <f>ROUND(299*(1-AK86),2)</f>
        <v>299</v>
      </c>
    </row>
    <row r="37" spans="2:39">
      <c r="B37" s="189" t="s">
        <v>1511</v>
      </c>
      <c r="C37" s="892">
        <v>1051</v>
      </c>
      <c r="D37" s="892">
        <v>1000</v>
      </c>
      <c r="E37" s="892" t="s">
        <v>1512</v>
      </c>
      <c r="F37" s="726">
        <v>1.1419999999999999</v>
      </c>
      <c r="G37" s="592">
        <f>ROUND(372*(1-C81),2)</f>
        <v>372</v>
      </c>
      <c r="H37" s="901">
        <f>ROUND(452*(1-C81),2)</f>
        <v>452</v>
      </c>
      <c r="I37" s="901">
        <f>ROUND(469*(1-C81),2)</f>
        <v>469</v>
      </c>
      <c r="J37" s="901">
        <f>ROUND(501*(1-C81),2)</f>
        <v>501</v>
      </c>
      <c r="K37" s="592">
        <f>ROUND(539*(1-C81),2)</f>
        <v>539</v>
      </c>
      <c r="L37" s="592">
        <f t="shared" si="2"/>
        <v>539</v>
      </c>
      <c r="M37" s="901">
        <f t="shared" si="3"/>
        <v>469</v>
      </c>
      <c r="N37" s="901">
        <f>ROUND(582*(1-C81),2)</f>
        <v>582</v>
      </c>
      <c r="O37" s="901">
        <f>ROUND(794*(1-C81),2)</f>
        <v>794</v>
      </c>
      <c r="Q37" s="727" t="s">
        <v>221</v>
      </c>
      <c r="R37" s="892">
        <v>800</v>
      </c>
      <c r="S37" s="892">
        <v>750</v>
      </c>
      <c r="T37" s="892" t="s">
        <v>1512</v>
      </c>
      <c r="U37" s="726"/>
      <c r="V37" s="892" t="s">
        <v>21</v>
      </c>
      <c r="W37" s="892" t="s">
        <v>21</v>
      </c>
      <c r="X37" s="892" t="s">
        <v>21</v>
      </c>
      <c r="Y37" s="892">
        <f>ROUND(516*(1-Y85),2)</f>
        <v>516</v>
      </c>
      <c r="Z37" s="892">
        <f>ROUND(608*(1-Y85),2)</f>
        <v>608</v>
      </c>
      <c r="AA37" s="892">
        <f>ROUND(674*(1-Y85),2)</f>
        <v>674</v>
      </c>
      <c r="AB37" s="892" t="s">
        <v>21</v>
      </c>
      <c r="AC37" s="907" t="s">
        <v>21</v>
      </c>
      <c r="AD37" s="892" t="s">
        <v>21</v>
      </c>
      <c r="AE37" s="892" t="s">
        <v>21</v>
      </c>
      <c r="AF37" s="892" t="s">
        <v>219</v>
      </c>
      <c r="AG37" s="892" t="s">
        <v>219</v>
      </c>
      <c r="AH37" s="892" t="s">
        <v>219</v>
      </c>
      <c r="AI37" s="892" t="s">
        <v>21</v>
      </c>
      <c r="AJ37" s="892">
        <f>ROUND(401*(1-AI86),2)</f>
        <v>401</v>
      </c>
      <c r="AK37" s="892">
        <f>ROUND(455*(1-AI86),2)</f>
        <v>455</v>
      </c>
      <c r="AL37" s="892">
        <f>ROUND(500*(1-AI86),2)</f>
        <v>500</v>
      </c>
      <c r="AM37" s="892">
        <f>ROUND(338*(1-AK86),2)</f>
        <v>338</v>
      </c>
    </row>
    <row r="38" spans="2:39">
      <c r="B38" s="189" t="s">
        <v>1513</v>
      </c>
      <c r="C38" s="892">
        <v>1060</v>
      </c>
      <c r="D38" s="892">
        <v>1000</v>
      </c>
      <c r="E38" s="892" t="s">
        <v>1512</v>
      </c>
      <c r="F38" s="726">
        <v>1.1319999999999999</v>
      </c>
      <c r="G38" s="592">
        <f>ROUND(371*(1-C81),2)</f>
        <v>371</v>
      </c>
      <c r="H38" s="901">
        <f>ROUND(451*(1-C81),2)</f>
        <v>451</v>
      </c>
      <c r="I38" s="901">
        <f>ROUND(468*(1-C81),2)</f>
        <v>468</v>
      </c>
      <c r="J38" s="901">
        <f>ROUND(500*(1-C81),2)</f>
        <v>500</v>
      </c>
      <c r="K38" s="592">
        <f>ROUND(538*(1-C81),2)</f>
        <v>538</v>
      </c>
      <c r="L38" s="592">
        <f t="shared" si="2"/>
        <v>538</v>
      </c>
      <c r="M38" s="901">
        <f t="shared" si="3"/>
        <v>468</v>
      </c>
      <c r="N38" s="901">
        <f>ROUND(581*(1-C81),2)</f>
        <v>581</v>
      </c>
      <c r="O38" s="901">
        <f>ROUND(793*(1-C81),2)</f>
        <v>793</v>
      </c>
      <c r="Q38" s="189" t="s">
        <v>941</v>
      </c>
      <c r="R38" s="892">
        <v>625</v>
      </c>
      <c r="S38" s="892" t="s">
        <v>21</v>
      </c>
      <c r="T38" s="902" t="s">
        <v>1515</v>
      </c>
      <c r="U38" s="726"/>
      <c r="V38" s="592">
        <f>ROUND(221*(1-U86),2)</f>
        <v>221</v>
      </c>
      <c r="W38" s="592">
        <f>ROUND(234*(1-V86),2)</f>
        <v>234</v>
      </c>
      <c r="X38" s="592">
        <f>ROUND(265*(1-W86),2)</f>
        <v>265</v>
      </c>
      <c r="Y38" s="592">
        <f>ROUND(349*(1-Y85),2)</f>
        <v>349</v>
      </c>
      <c r="Z38" s="592">
        <f>ROUND(410*(1-Y85),2)</f>
        <v>410</v>
      </c>
      <c r="AA38" s="592">
        <f>ROUND(454*(1-Y85),2)</f>
        <v>454</v>
      </c>
      <c r="AB38" s="592">
        <f>ROUND(293*(1-X86),2)</f>
        <v>293</v>
      </c>
      <c r="AC38" s="901">
        <f>ROUND(315*(1-AD85),2)</f>
        <v>315</v>
      </c>
      <c r="AD38" s="592">
        <f>ROUND(296*(1-AB86),2)</f>
        <v>296</v>
      </c>
      <c r="AE38" s="864">
        <f>ROUND(161*(1-AG86),2)</f>
        <v>161</v>
      </c>
      <c r="AF38" s="892">
        <f>ROUND(171*(1-AG86),2)</f>
        <v>171</v>
      </c>
      <c r="AG38" s="892">
        <f>ROUND(203*(1-AG86),2)</f>
        <v>203</v>
      </c>
      <c r="AH38" s="892">
        <f>ROUND(212*(1-AG86),2)</f>
        <v>212</v>
      </c>
      <c r="AI38" s="892">
        <f>ROUND(233*(1-AI86),2)</f>
        <v>233</v>
      </c>
      <c r="AJ38" s="892">
        <f>ROUND(272*(1-AI86),2)</f>
        <v>272</v>
      </c>
      <c r="AK38" s="892">
        <f>ROUND(308*(1-AI86),2)</f>
        <v>308</v>
      </c>
      <c r="AL38" s="892">
        <f>ROUND(338*(1-AI86),2)</f>
        <v>338</v>
      </c>
      <c r="AM38" s="892">
        <f>ROUND(230*(1-AK86),2)</f>
        <v>230</v>
      </c>
    </row>
    <row r="39" spans="2:39">
      <c r="B39" s="189" t="s">
        <v>1514</v>
      </c>
      <c r="C39" s="892">
        <v>902</v>
      </c>
      <c r="D39" s="892">
        <v>845</v>
      </c>
      <c r="E39" s="892" t="s">
        <v>1512</v>
      </c>
      <c r="F39" s="726">
        <v>1.33</v>
      </c>
      <c r="G39" s="592">
        <f>ROUND(434*(1-C81),2)</f>
        <v>434</v>
      </c>
      <c r="H39" s="901">
        <f>ROUND(527*(1-C81),2)</f>
        <v>527</v>
      </c>
      <c r="I39" s="901">
        <f>ROUND(547*(1-C81),2)</f>
        <v>547</v>
      </c>
      <c r="J39" s="901">
        <f>ROUND(584*(1-C81),2)</f>
        <v>584</v>
      </c>
      <c r="K39" s="592">
        <f>ROUND(628*(1-C81),2)</f>
        <v>628</v>
      </c>
      <c r="L39" s="592">
        <f t="shared" si="2"/>
        <v>628</v>
      </c>
      <c r="M39" s="901">
        <f t="shared" si="3"/>
        <v>547</v>
      </c>
      <c r="N39" s="901">
        <f>ROUND(678*(1-C81),2)</f>
        <v>678</v>
      </c>
      <c r="O39" s="901">
        <f>ROUND(925*(1-C81),2)</f>
        <v>925</v>
      </c>
      <c r="Q39" s="727" t="s">
        <v>225</v>
      </c>
      <c r="R39" s="892" t="s">
        <v>787</v>
      </c>
      <c r="S39" s="729" t="s">
        <v>21</v>
      </c>
      <c r="T39" s="892" t="s">
        <v>1516</v>
      </c>
      <c r="U39" s="892"/>
      <c r="V39" s="730">
        <f>ROUND(216*(1-U86),2)</f>
        <v>216</v>
      </c>
      <c r="W39" s="891">
        <f>ROUND(229*(1-V86),2)</f>
        <v>229</v>
      </c>
      <c r="X39" s="891">
        <f>ROUND(260*(1-W86),2)</f>
        <v>260</v>
      </c>
      <c r="Y39" s="891">
        <f>ROUND(344*(1-Y85),2)</f>
        <v>344</v>
      </c>
      <c r="Z39" s="891">
        <f>ROUND(405*(1-Y85),2)</f>
        <v>405</v>
      </c>
      <c r="AA39" s="891">
        <f>ROUND(449*(1-Y85),2)</f>
        <v>449</v>
      </c>
      <c r="AB39" s="891">
        <f>ROUND(288*(1-X86),2)</f>
        <v>288</v>
      </c>
      <c r="AC39" s="904">
        <f>ROUND(310*(1-AD85),2)</f>
        <v>310</v>
      </c>
      <c r="AD39" s="891">
        <f>ROUND(291*(1-AB86),2)</f>
        <v>291</v>
      </c>
      <c r="AE39" s="1161">
        <f>ROUND(156*(1-AG86),2)</f>
        <v>156</v>
      </c>
      <c r="AF39" s="1161">
        <f>ROUND(166*(1-AG86),2)</f>
        <v>166</v>
      </c>
      <c r="AG39" s="1161">
        <f>ROUND(198*(1-AG87),2)</f>
        <v>198</v>
      </c>
      <c r="AH39" s="1161">
        <f>ROUND(207*(1-AG87),2)</f>
        <v>207</v>
      </c>
      <c r="AI39" s="1160">
        <f>ROUND(228*(1-AI87),2)</f>
        <v>228</v>
      </c>
      <c r="AJ39" s="1160">
        <f>ROUND(267*(1-AI87),2)</f>
        <v>267</v>
      </c>
      <c r="AK39" s="1160">
        <f>ROUND(303*(1-AI87),2)</f>
        <v>303</v>
      </c>
      <c r="AL39" s="1160">
        <f>ROUND(333*(1-AI87),2)</f>
        <v>333</v>
      </c>
      <c r="AM39" s="1161">
        <f>ROUND(225*(1-AK87),2)</f>
        <v>225</v>
      </c>
    </row>
    <row r="40" spans="2:39">
      <c r="B40" s="189" t="s">
        <v>941</v>
      </c>
      <c r="C40" s="902">
        <v>625</v>
      </c>
      <c r="D40" s="902" t="s">
        <v>21</v>
      </c>
      <c r="E40" s="902" t="s">
        <v>1515</v>
      </c>
      <c r="F40" s="903" t="s">
        <v>21</v>
      </c>
      <c r="G40" s="592">
        <f>ROUND(331*(1-C81),2)</f>
        <v>331</v>
      </c>
      <c r="H40" s="901">
        <f>ROUND(401*(1-C81),2)</f>
        <v>401</v>
      </c>
      <c r="I40" s="901">
        <f>ROUND(416*(1-C81),2)</f>
        <v>416</v>
      </c>
      <c r="J40" s="901">
        <f>ROUND(444*(1-C81),2)</f>
        <v>444</v>
      </c>
      <c r="K40" s="592">
        <f>ROUND(477*(1-C81),2)</f>
        <v>477</v>
      </c>
      <c r="L40" s="592">
        <f t="shared" si="2"/>
        <v>477</v>
      </c>
      <c r="M40" s="901">
        <f t="shared" si="3"/>
        <v>416</v>
      </c>
      <c r="N40" s="901">
        <f>ROUND(515*(1-C81),2)</f>
        <v>515</v>
      </c>
      <c r="O40" s="901">
        <f>ROUND(700*(1-C81),2)</f>
        <v>700</v>
      </c>
      <c r="Q40" s="727" t="s">
        <v>372</v>
      </c>
      <c r="R40" s="892">
        <v>1250</v>
      </c>
      <c r="S40" s="729" t="s">
        <v>21</v>
      </c>
      <c r="T40" s="905" t="s">
        <v>1517</v>
      </c>
      <c r="U40" s="908"/>
      <c r="V40" s="730">
        <f>ROUND(221*(1-U87),2)</f>
        <v>221</v>
      </c>
      <c r="W40" s="891">
        <f>ROUND(234*(1-V87),2)</f>
        <v>234</v>
      </c>
      <c r="X40" s="891">
        <f>ROUND(265*(1-W87),2)</f>
        <v>265</v>
      </c>
      <c r="Y40" s="891">
        <f>ROUND(349*(1-Y85),2)</f>
        <v>349</v>
      </c>
      <c r="Z40" s="891">
        <f>ROUND(410*(1-Y85),2)</f>
        <v>410</v>
      </c>
      <c r="AA40" s="891">
        <f>ROUND(454*(1-Y85),2)</f>
        <v>454</v>
      </c>
      <c r="AB40" s="891">
        <f>ROUND(293*(1-X87),2)</f>
        <v>293</v>
      </c>
      <c r="AC40" s="904">
        <f>ROUND(315*(1-AD85),2)</f>
        <v>315</v>
      </c>
      <c r="AD40" s="891">
        <f>ROUND(296*(1-AB86),2)</f>
        <v>296</v>
      </c>
      <c r="AE40" s="1161"/>
      <c r="AF40" s="1161"/>
      <c r="AG40" s="1161"/>
      <c r="AH40" s="1161"/>
      <c r="AI40" s="1160"/>
      <c r="AJ40" s="1160"/>
      <c r="AK40" s="1160"/>
      <c r="AL40" s="1160"/>
      <c r="AM40" s="1161"/>
    </row>
    <row r="41" spans="2:39">
      <c r="B41" s="190" t="s">
        <v>225</v>
      </c>
      <c r="C41" s="892" t="s">
        <v>787</v>
      </c>
      <c r="D41" s="892" t="s">
        <v>21</v>
      </c>
      <c r="E41" s="892" t="s">
        <v>1516</v>
      </c>
      <c r="F41" s="892" t="s">
        <v>21</v>
      </c>
      <c r="G41" s="891">
        <f>ROUND(326*(1-C81),2)</f>
        <v>326</v>
      </c>
      <c r="H41" s="904">
        <f>ROUND(396*(1-C81),2)</f>
        <v>396</v>
      </c>
      <c r="I41" s="904">
        <f>ROUND(411*(1-C81),2)</f>
        <v>411</v>
      </c>
      <c r="J41" s="904">
        <f>ROUND(439*(1-C81),2)</f>
        <v>439</v>
      </c>
      <c r="K41" s="891">
        <f>ROUND(472*(1-C81),2)</f>
        <v>472</v>
      </c>
      <c r="L41" s="891">
        <f t="shared" si="2"/>
        <v>472</v>
      </c>
      <c r="M41" s="904">
        <f t="shared" si="3"/>
        <v>411</v>
      </c>
      <c r="N41" s="904">
        <f>ROUND(510*(1-C81),2)</f>
        <v>510</v>
      </c>
      <c r="O41" s="904">
        <f>ROUND(695*(1-C81),2)</f>
        <v>695</v>
      </c>
      <c r="Q41" s="1204" t="s">
        <v>1449</v>
      </c>
      <c r="R41" s="1205"/>
      <c r="S41" s="1205"/>
      <c r="T41" s="1205"/>
      <c r="U41" s="1205"/>
      <c r="V41" s="1205"/>
      <c r="W41" s="1205"/>
      <c r="X41" s="1205"/>
      <c r="Y41" s="1205"/>
      <c r="Z41" s="1205"/>
      <c r="AA41" s="1205"/>
      <c r="AB41" s="1205"/>
      <c r="AC41" s="1205"/>
      <c r="AD41" s="1205"/>
      <c r="AE41" s="1205"/>
      <c r="AF41" s="1205"/>
      <c r="AG41" s="1205"/>
      <c r="AH41" s="1205"/>
      <c r="AI41" s="1205"/>
      <c r="AJ41" s="1205"/>
      <c r="AK41" s="1205"/>
      <c r="AL41" s="1205"/>
      <c r="AM41" s="1220"/>
    </row>
    <row r="42" spans="2:39">
      <c r="B42" s="190" t="s">
        <v>372</v>
      </c>
      <c r="C42" s="892">
        <v>1250</v>
      </c>
      <c r="D42" s="905" t="s">
        <v>21</v>
      </c>
      <c r="E42" s="905" t="s">
        <v>1517</v>
      </c>
      <c r="F42" s="905">
        <v>1</v>
      </c>
      <c r="G42" s="891">
        <f>ROUND(331*(1-C81),2)</f>
        <v>331</v>
      </c>
      <c r="H42" s="904">
        <f>ROUND(401*(1-C81),2)</f>
        <v>401</v>
      </c>
      <c r="I42" s="904" t="str">
        <f>ROUND(416*(1-C81),2)&amp;"**"</f>
        <v>416**</v>
      </c>
      <c r="J42" s="904">
        <f>ROUND(444*(1-C81),2)</f>
        <v>444</v>
      </c>
      <c r="K42" s="891">
        <f>ROUND(477*(1-C81),2)</f>
        <v>477</v>
      </c>
      <c r="L42" s="891">
        <f t="shared" si="2"/>
        <v>477</v>
      </c>
      <c r="M42" s="904">
        <f>ROUND(416*(1-C81),2)</f>
        <v>416</v>
      </c>
      <c r="N42" s="904">
        <f>ROUND(515*(1-C81),2)</f>
        <v>515</v>
      </c>
      <c r="O42" s="904">
        <f>ROUND(700*(1-C81),2)</f>
        <v>700</v>
      </c>
      <c r="Q42" s="189" t="s">
        <v>393</v>
      </c>
      <c r="R42" s="892">
        <v>265</v>
      </c>
      <c r="S42" s="892">
        <v>240</v>
      </c>
      <c r="T42" s="892" t="s">
        <v>1518</v>
      </c>
      <c r="U42" s="726" t="s">
        <v>21</v>
      </c>
      <c r="V42" s="592" t="s">
        <v>21</v>
      </c>
      <c r="W42" s="592" t="s">
        <v>21</v>
      </c>
      <c r="X42" s="592">
        <f>ROUND(305*(1-W86),2)</f>
        <v>305</v>
      </c>
      <c r="Y42" s="592" t="s">
        <v>21</v>
      </c>
      <c r="Z42" s="592" t="s">
        <v>21</v>
      </c>
      <c r="AA42" s="592" t="s">
        <v>21</v>
      </c>
      <c r="AB42" s="592">
        <f>ROUND(326*(1-X86),2)</f>
        <v>326</v>
      </c>
      <c r="AC42" s="901">
        <f>ROUND(386*(1-AD85),2)</f>
        <v>386</v>
      </c>
      <c r="AD42" s="592" t="s">
        <v>21</v>
      </c>
      <c r="AE42" s="1209" t="s">
        <v>21</v>
      </c>
      <c r="AF42" s="1210"/>
      <c r="AG42" s="1210"/>
      <c r="AH42" s="1210"/>
      <c r="AI42" s="1210"/>
      <c r="AJ42" s="1210"/>
      <c r="AK42" s="1210"/>
      <c r="AL42" s="1210"/>
      <c r="AM42" s="1211"/>
    </row>
    <row r="43" spans="2:39">
      <c r="B43" s="1204" t="s">
        <v>1449</v>
      </c>
      <c r="C43" s="1205"/>
      <c r="D43" s="1205"/>
      <c r="E43" s="1205"/>
      <c r="F43" s="1205"/>
      <c r="G43" s="1205"/>
      <c r="H43" s="1205"/>
      <c r="I43" s="1205"/>
      <c r="J43" s="1205"/>
      <c r="K43" s="1205"/>
      <c r="L43" s="1205"/>
      <c r="M43" s="1205"/>
      <c r="N43" s="1205"/>
      <c r="O43" s="1205"/>
      <c r="Q43" s="727" t="s">
        <v>394</v>
      </c>
      <c r="R43" s="892">
        <v>200</v>
      </c>
      <c r="S43" s="892">
        <v>176</v>
      </c>
      <c r="T43" s="892" t="s">
        <v>1518</v>
      </c>
      <c r="U43" s="726" t="s">
        <v>21</v>
      </c>
      <c r="V43" s="892" t="s">
        <v>21</v>
      </c>
      <c r="W43" s="892" t="s">
        <v>21</v>
      </c>
      <c r="X43" s="892">
        <f>ROUND(324*(1-W86),2)</f>
        <v>324</v>
      </c>
      <c r="Y43" s="892" t="s">
        <v>21</v>
      </c>
      <c r="Z43" s="892" t="s">
        <v>21</v>
      </c>
      <c r="AA43" s="892" t="s">
        <v>21</v>
      </c>
      <c r="AB43" s="892">
        <f>ROUND(346*(1-X86),2)</f>
        <v>346</v>
      </c>
      <c r="AC43" s="900">
        <f>ROUND(396*(1-AD85),2)</f>
        <v>396</v>
      </c>
      <c r="AD43" s="892" t="s">
        <v>21</v>
      </c>
      <c r="AE43" s="1209" t="s">
        <v>21</v>
      </c>
      <c r="AF43" s="1210"/>
      <c r="AG43" s="1210"/>
      <c r="AH43" s="1210"/>
      <c r="AI43" s="1210"/>
      <c r="AJ43" s="1210"/>
      <c r="AK43" s="1210"/>
      <c r="AL43" s="1210"/>
      <c r="AM43" s="1211"/>
    </row>
    <row r="44" spans="2:39">
      <c r="B44" s="189" t="s">
        <v>393</v>
      </c>
      <c r="C44" s="892">
        <v>265</v>
      </c>
      <c r="D44" s="892">
        <v>240</v>
      </c>
      <c r="E44" s="892" t="s">
        <v>1518</v>
      </c>
      <c r="F44" s="725" t="s">
        <v>21</v>
      </c>
      <c r="G44" s="592">
        <f>ROUND(369*(1-C81),2)</f>
        <v>369</v>
      </c>
      <c r="H44" s="901">
        <f>ROUND(456*(1-C81),2)</f>
        <v>456</v>
      </c>
      <c r="I44" s="901">
        <f>ROUND(471*(1-C81),2)</f>
        <v>471</v>
      </c>
      <c r="J44" s="901">
        <f>ROUND(503*(1-C81),2)</f>
        <v>503</v>
      </c>
      <c r="K44" s="592">
        <f>ROUND(533*(1-C81),2)</f>
        <v>533</v>
      </c>
      <c r="L44" s="592">
        <f>K44</f>
        <v>533</v>
      </c>
      <c r="M44" s="901">
        <f>I44</f>
        <v>471</v>
      </c>
      <c r="N44" s="901">
        <f>ROUND(584*(1-C81),2)</f>
        <v>584</v>
      </c>
      <c r="O44" s="901">
        <f>ROUND(792*(1-C81),2)</f>
        <v>792</v>
      </c>
      <c r="Q44" s="189" t="s">
        <v>780</v>
      </c>
      <c r="R44" s="892">
        <v>345</v>
      </c>
      <c r="S44" s="892">
        <v>320</v>
      </c>
      <c r="T44" s="892" t="s">
        <v>1518</v>
      </c>
      <c r="U44" s="726" t="s">
        <v>21</v>
      </c>
      <c r="V44" s="592" t="s">
        <v>21</v>
      </c>
      <c r="W44" s="592" t="s">
        <v>21</v>
      </c>
      <c r="X44" s="592">
        <f>ROUND(315*(1-W86),2)</f>
        <v>315</v>
      </c>
      <c r="Y44" s="592" t="s">
        <v>21</v>
      </c>
      <c r="Z44" s="592" t="s">
        <v>21</v>
      </c>
      <c r="AA44" s="592" t="s">
        <v>21</v>
      </c>
      <c r="AB44" s="592">
        <f>ROUND(334*(1-X86),2)</f>
        <v>334</v>
      </c>
      <c r="AC44" s="906" t="s">
        <v>21</v>
      </c>
      <c r="AD44" s="592" t="s">
        <v>21</v>
      </c>
      <c r="AE44" s="1209" t="s">
        <v>21</v>
      </c>
      <c r="AF44" s="1210"/>
      <c r="AG44" s="1210"/>
      <c r="AH44" s="1210"/>
      <c r="AI44" s="1210"/>
      <c r="AJ44" s="1210"/>
      <c r="AK44" s="1210"/>
      <c r="AL44" s="1210"/>
      <c r="AM44" s="1211"/>
    </row>
    <row r="45" spans="2:39">
      <c r="B45" s="189" t="s">
        <v>1519</v>
      </c>
      <c r="C45" s="892">
        <v>200</v>
      </c>
      <c r="D45" s="892">
        <v>176</v>
      </c>
      <c r="E45" s="892" t="s">
        <v>1518</v>
      </c>
      <c r="F45" s="726" t="s">
        <v>21</v>
      </c>
      <c r="G45" s="592">
        <f>ROUND(390*(1-C81),2)</f>
        <v>390</v>
      </c>
      <c r="H45" s="901">
        <f>ROUND(484*(1-C81),2)</f>
        <v>484</v>
      </c>
      <c r="I45" s="901">
        <f>ROUND(499*(1-C81),2)</f>
        <v>499</v>
      </c>
      <c r="J45" s="901">
        <f>ROUND(533*(1-C81),2)</f>
        <v>533</v>
      </c>
      <c r="K45" s="592">
        <f>ROUND(564*(1-C81),2)</f>
        <v>564</v>
      </c>
      <c r="L45" s="592">
        <f>K45</f>
        <v>564</v>
      </c>
      <c r="M45" s="901">
        <f>I45</f>
        <v>499</v>
      </c>
      <c r="N45" s="901">
        <f>ROUND(618*(1-C81),2)</f>
        <v>618</v>
      </c>
      <c r="O45" s="901">
        <f>ROUND(839*(1-C81),2)</f>
        <v>839</v>
      </c>
      <c r="Q45" s="727" t="s">
        <v>395</v>
      </c>
      <c r="R45" s="892">
        <v>390</v>
      </c>
      <c r="S45" s="892">
        <v>360</v>
      </c>
      <c r="T45" s="892" t="s">
        <v>1518</v>
      </c>
      <c r="U45" s="726" t="s">
        <v>21</v>
      </c>
      <c r="V45" s="892" t="s">
        <v>21</v>
      </c>
      <c r="W45" s="892" t="s">
        <v>21</v>
      </c>
      <c r="X45" s="892">
        <f>ROUND(315*(1-W86),2)</f>
        <v>315</v>
      </c>
      <c r="Y45" s="892" t="s">
        <v>21</v>
      </c>
      <c r="Z45" s="892" t="s">
        <v>21</v>
      </c>
      <c r="AA45" s="892" t="s">
        <v>21</v>
      </c>
      <c r="AB45" s="892">
        <f>ROUND(334*(1-X86),2)</f>
        <v>334</v>
      </c>
      <c r="AC45" s="907" t="s">
        <v>21</v>
      </c>
      <c r="AD45" s="892" t="s">
        <v>21</v>
      </c>
      <c r="AE45" s="1209" t="s">
        <v>21</v>
      </c>
      <c r="AF45" s="1210"/>
      <c r="AG45" s="1210"/>
      <c r="AH45" s="1210"/>
      <c r="AI45" s="1210"/>
      <c r="AJ45" s="1210"/>
      <c r="AK45" s="1210"/>
      <c r="AL45" s="1210"/>
      <c r="AM45" s="1211"/>
    </row>
    <row r="46" spans="2:39">
      <c r="B46" s="189" t="s">
        <v>1520</v>
      </c>
      <c r="C46" s="892">
        <v>345</v>
      </c>
      <c r="D46" s="892">
        <v>320</v>
      </c>
      <c r="E46" s="892" t="s">
        <v>1518</v>
      </c>
      <c r="F46" s="726" t="s">
        <v>21</v>
      </c>
      <c r="G46" s="592">
        <f>ROUND(378*(1-C81),2)</f>
        <v>378</v>
      </c>
      <c r="H46" s="901">
        <f>ROUND(467*(1-C81),2)</f>
        <v>467</v>
      </c>
      <c r="I46" s="901">
        <f>ROUND(482*(1-C81),2)</f>
        <v>482</v>
      </c>
      <c r="J46" s="901">
        <f>ROUND(515*(1-C81),2)</f>
        <v>515</v>
      </c>
      <c r="K46" s="592">
        <f>ROUND(546*(1-C81),2)</f>
        <v>546</v>
      </c>
      <c r="L46" s="592" t="s">
        <v>21</v>
      </c>
      <c r="M46" s="901">
        <f>I46</f>
        <v>482</v>
      </c>
      <c r="N46" s="901">
        <f>ROUND(598*(1-C81),2)</f>
        <v>598</v>
      </c>
      <c r="O46" s="901">
        <f>ROUND(811*(1-C81),2)</f>
        <v>811</v>
      </c>
      <c r="Q46" s="1204" t="s">
        <v>1450</v>
      </c>
      <c r="R46" s="1205"/>
      <c r="S46" s="1205"/>
      <c r="T46" s="1205"/>
      <c r="U46" s="1205"/>
      <c r="V46" s="1205"/>
      <c r="W46" s="1205"/>
      <c r="X46" s="1205"/>
      <c r="Y46" s="1205"/>
      <c r="Z46" s="1205"/>
      <c r="AA46" s="1205"/>
      <c r="AB46" s="1205"/>
      <c r="AC46" s="1205"/>
      <c r="AD46" s="1205"/>
      <c r="AE46" s="1205"/>
      <c r="AF46" s="1205"/>
      <c r="AG46" s="1205"/>
      <c r="AH46" s="1205"/>
      <c r="AI46" s="1205"/>
      <c r="AJ46" s="1205"/>
      <c r="AK46" s="1205"/>
      <c r="AL46" s="1205"/>
      <c r="AM46" s="1220"/>
    </row>
    <row r="47" spans="2:39">
      <c r="B47" s="189" t="s">
        <v>1521</v>
      </c>
      <c r="C47" s="892">
        <v>390</v>
      </c>
      <c r="D47" s="892">
        <v>360</v>
      </c>
      <c r="E47" s="892" t="s">
        <v>1518</v>
      </c>
      <c r="F47" s="726" t="s">
        <v>21</v>
      </c>
      <c r="G47" s="592">
        <f>ROUND(378*(1-C81),2)</f>
        <v>378</v>
      </c>
      <c r="H47" s="901">
        <f>ROUND(467*(1-C81),2)</f>
        <v>467</v>
      </c>
      <c r="I47" s="906" t="s">
        <v>21</v>
      </c>
      <c r="J47" s="901">
        <f>ROUND(515*(1-C81),2)</f>
        <v>515</v>
      </c>
      <c r="K47" s="592">
        <f>ROUND(546*(1-C81),2)</f>
        <v>546</v>
      </c>
      <c r="L47" s="592" t="s">
        <v>21</v>
      </c>
      <c r="M47" s="901">
        <f>ROUND(482*(1-C81),2)</f>
        <v>482</v>
      </c>
      <c r="N47" s="901">
        <f>ROUND(598*(1-C81),2)</f>
        <v>598</v>
      </c>
      <c r="O47" s="901">
        <f>ROUND(811*(1-C81),2)</f>
        <v>811</v>
      </c>
      <c r="Q47" s="189" t="s">
        <v>1670</v>
      </c>
      <c r="R47" s="892">
        <v>100</v>
      </c>
      <c r="S47" s="892" t="s">
        <v>21</v>
      </c>
      <c r="T47" s="892" t="s">
        <v>1522</v>
      </c>
      <c r="U47" s="726" t="s">
        <v>21</v>
      </c>
      <c r="V47" s="592" t="s">
        <v>21</v>
      </c>
      <c r="W47" s="592" t="s">
        <v>21</v>
      </c>
      <c r="X47" s="592" t="s">
        <v>21</v>
      </c>
      <c r="Y47" s="592" t="s">
        <v>21</v>
      </c>
      <c r="Z47" s="592" t="s">
        <v>21</v>
      </c>
      <c r="AA47" s="592" t="s">
        <v>21</v>
      </c>
      <c r="AB47" s="592">
        <f>ROUND(58*(1-X88),2)</f>
        <v>58</v>
      </c>
      <c r="AC47" s="592" t="s">
        <v>21</v>
      </c>
      <c r="AD47" s="592">
        <f>ROUND(59*(1-X88),2)</f>
        <v>59</v>
      </c>
      <c r="AE47" s="1209" t="s">
        <v>21</v>
      </c>
      <c r="AF47" s="1210"/>
      <c r="AG47" s="1210"/>
      <c r="AH47" s="1210"/>
      <c r="AI47" s="1210"/>
      <c r="AJ47" s="1210"/>
      <c r="AK47" s="1210"/>
      <c r="AL47" s="1210"/>
      <c r="AM47" s="1211"/>
    </row>
    <row r="48" spans="2:39" ht="27" customHeight="1">
      <c r="B48" s="1204" t="s">
        <v>1450</v>
      </c>
      <c r="C48" s="1205"/>
      <c r="D48" s="1205"/>
      <c r="E48" s="1205"/>
      <c r="F48" s="1205"/>
      <c r="G48" s="1205"/>
      <c r="H48" s="1205"/>
      <c r="I48" s="1205"/>
      <c r="J48" s="1205"/>
      <c r="K48" s="1205"/>
      <c r="L48" s="1205"/>
      <c r="M48" s="1205"/>
      <c r="N48" s="1205"/>
      <c r="O48" s="1205"/>
      <c r="Q48" s="727" t="s">
        <v>224</v>
      </c>
      <c r="R48" s="892">
        <v>100</v>
      </c>
      <c r="S48" s="892" t="s">
        <v>21</v>
      </c>
      <c r="T48" s="892" t="s">
        <v>1522</v>
      </c>
      <c r="U48" s="726" t="s">
        <v>21</v>
      </c>
      <c r="V48" s="892" t="s">
        <v>21</v>
      </c>
      <c r="W48" s="892" t="s">
        <v>21</v>
      </c>
      <c r="X48" s="892" t="s">
        <v>21</v>
      </c>
      <c r="Y48" s="892" t="s">
        <v>21</v>
      </c>
      <c r="Z48" s="892" t="s">
        <v>21</v>
      </c>
      <c r="AA48" s="892" t="s">
        <v>21</v>
      </c>
      <c r="AB48" s="892">
        <f>ROUND(58*(1-X88),2)</f>
        <v>58</v>
      </c>
      <c r="AC48" s="892" t="s">
        <v>21</v>
      </c>
      <c r="AD48" s="892">
        <f>ROUND(59*(1-X88),2)</f>
        <v>59</v>
      </c>
      <c r="AE48" s="1209" t="s">
        <v>21</v>
      </c>
      <c r="AF48" s="1210"/>
      <c r="AG48" s="1210"/>
      <c r="AH48" s="1210"/>
      <c r="AI48" s="1210"/>
      <c r="AJ48" s="1210"/>
      <c r="AK48" s="1210"/>
      <c r="AL48" s="1210"/>
      <c r="AM48" s="1211"/>
    </row>
    <row r="49" spans="2:39">
      <c r="B49" s="189" t="s">
        <v>222</v>
      </c>
      <c r="C49" s="892">
        <v>100</v>
      </c>
      <c r="D49" s="892" t="s">
        <v>21</v>
      </c>
      <c r="E49" s="892" t="s">
        <v>1522</v>
      </c>
      <c r="F49" s="725" t="s">
        <v>21</v>
      </c>
      <c r="G49" s="592">
        <f>ROUND(65*(1-C81),2)</f>
        <v>65</v>
      </c>
      <c r="H49" s="901">
        <f>ROUND(78*(1-C81),2)</f>
        <v>78</v>
      </c>
      <c r="I49" s="901">
        <f>ROUND(83*(1-C81),2)</f>
        <v>83</v>
      </c>
      <c r="J49" s="901">
        <f>ROUND(91*(1-C81),2)</f>
        <v>91</v>
      </c>
      <c r="K49" s="592">
        <f>ROUND(85*(1-C81),2)</f>
        <v>85</v>
      </c>
      <c r="L49" s="592">
        <f>K49</f>
        <v>85</v>
      </c>
      <c r="M49" s="901">
        <f>I49</f>
        <v>83</v>
      </c>
      <c r="N49" s="901">
        <f>ROUND(104*(1-C81),2)</f>
        <v>104</v>
      </c>
      <c r="O49" s="901">
        <f>ROUND(139*(1-C81),2)</f>
        <v>139</v>
      </c>
      <c r="Q49" s="189" t="s">
        <v>1523</v>
      </c>
      <c r="R49" s="892">
        <v>100</v>
      </c>
      <c r="S49" s="892" t="s">
        <v>21</v>
      </c>
      <c r="T49" s="892" t="s">
        <v>1522</v>
      </c>
      <c r="U49" s="726" t="s">
        <v>21</v>
      </c>
      <c r="V49" s="592" t="s">
        <v>21</v>
      </c>
      <c r="W49" s="592" t="s">
        <v>21</v>
      </c>
      <c r="X49" s="592" t="s">
        <v>21</v>
      </c>
      <c r="Y49" s="592" t="s">
        <v>21</v>
      </c>
      <c r="Z49" s="592" t="s">
        <v>21</v>
      </c>
      <c r="AA49" s="592" t="s">
        <v>21</v>
      </c>
      <c r="AB49" s="592">
        <f>ROUND(61*(1-X88),2)</f>
        <v>61</v>
      </c>
      <c r="AC49" s="592" t="s">
        <v>21</v>
      </c>
      <c r="AD49" s="592">
        <f>ROUND(62*(1-X88),2)</f>
        <v>62</v>
      </c>
      <c r="AE49" s="1209" t="s">
        <v>21</v>
      </c>
      <c r="AF49" s="1210"/>
      <c r="AG49" s="1210"/>
      <c r="AH49" s="1210"/>
      <c r="AI49" s="1210"/>
      <c r="AJ49" s="1210"/>
      <c r="AK49" s="1210"/>
      <c r="AL49" s="1210"/>
      <c r="AM49" s="1211"/>
    </row>
    <row r="50" spans="2:39">
      <c r="B50" s="189" t="s">
        <v>224</v>
      </c>
      <c r="C50" s="892">
        <v>100</v>
      </c>
      <c r="D50" s="892" t="s">
        <v>21</v>
      </c>
      <c r="E50" s="892" t="s">
        <v>1522</v>
      </c>
      <c r="F50" s="726" t="s">
        <v>21</v>
      </c>
      <c r="G50" s="592">
        <f>ROUND(65*(1-C81),2)</f>
        <v>65</v>
      </c>
      <c r="H50" s="901">
        <f>ROUND(78*(1-C81),2)</f>
        <v>78</v>
      </c>
      <c r="I50" s="901">
        <f>ROUND(83*(1-C81),2)</f>
        <v>83</v>
      </c>
      <c r="J50" s="901">
        <f>ROUND(91*(1-C81),2)</f>
        <v>91</v>
      </c>
      <c r="K50" s="592">
        <f>ROUND(85*(1-C81),2)</f>
        <v>85</v>
      </c>
      <c r="L50" s="592">
        <f>K50</f>
        <v>85</v>
      </c>
      <c r="M50" s="901">
        <f>I50</f>
        <v>83</v>
      </c>
      <c r="N50" s="901">
        <f>ROUND(104*(1-C81),2)</f>
        <v>104</v>
      </c>
      <c r="O50" s="901">
        <f>ROUND(139*(1-C81),2)</f>
        <v>139</v>
      </c>
      <c r="Q50" s="727" t="s">
        <v>1524</v>
      </c>
      <c r="R50" s="892">
        <v>100</v>
      </c>
      <c r="S50" s="892" t="s">
        <v>21</v>
      </c>
      <c r="T50" s="892" t="s">
        <v>1522</v>
      </c>
      <c r="U50" s="726" t="s">
        <v>21</v>
      </c>
      <c r="V50" s="902" t="s">
        <v>21</v>
      </c>
      <c r="W50" s="902" t="s">
        <v>21</v>
      </c>
      <c r="X50" s="902" t="s">
        <v>21</v>
      </c>
      <c r="Y50" s="892" t="s">
        <v>21</v>
      </c>
      <c r="Z50" s="892" t="s">
        <v>21</v>
      </c>
      <c r="AA50" s="892" t="s">
        <v>21</v>
      </c>
      <c r="AB50" s="902">
        <f>ROUND(61*(1-X88),2)</f>
        <v>61</v>
      </c>
      <c r="AC50" s="892" t="s">
        <v>21</v>
      </c>
      <c r="AD50" s="892">
        <f>ROUND(62*(1-X88),2)</f>
        <v>62</v>
      </c>
      <c r="AE50" s="1209" t="s">
        <v>21</v>
      </c>
      <c r="AF50" s="1210"/>
      <c r="AG50" s="1210"/>
      <c r="AH50" s="1210"/>
      <c r="AI50" s="1210"/>
      <c r="AJ50" s="1210"/>
      <c r="AK50" s="1210"/>
      <c r="AL50" s="1210"/>
      <c r="AM50" s="1211"/>
    </row>
    <row r="51" spans="2:39">
      <c r="B51" s="189" t="s">
        <v>1523</v>
      </c>
      <c r="C51" s="892">
        <v>100</v>
      </c>
      <c r="D51" s="892" t="s">
        <v>21</v>
      </c>
      <c r="E51" s="892" t="s">
        <v>1522</v>
      </c>
      <c r="F51" s="726" t="s">
        <v>21</v>
      </c>
      <c r="G51" s="592">
        <f>ROUND(68*(1-C81),2)</f>
        <v>68</v>
      </c>
      <c r="H51" s="901">
        <f>ROUND(81*(1-C81),2)</f>
        <v>81</v>
      </c>
      <c r="I51" s="901">
        <f>ROUND(86*(1-C81),2)</f>
        <v>86</v>
      </c>
      <c r="J51" s="901">
        <f>ROUND(94*(1-C81),2)</f>
        <v>94</v>
      </c>
      <c r="K51" s="592">
        <f>ROUND(88*(1-C81),2)</f>
        <v>88</v>
      </c>
      <c r="L51" s="592">
        <f>K51</f>
        <v>88</v>
      </c>
      <c r="M51" s="901">
        <f>I51</f>
        <v>86</v>
      </c>
      <c r="N51" s="901">
        <f>ROUND(107*(1-C81),2)</f>
        <v>107</v>
      </c>
      <c r="O51" s="901">
        <f>ROUND(142*(1-C81),2)</f>
        <v>142</v>
      </c>
      <c r="Q51" s="189" t="s">
        <v>1399</v>
      </c>
      <c r="R51" s="892">
        <v>128</v>
      </c>
      <c r="S51" s="892" t="s">
        <v>21</v>
      </c>
      <c r="T51" s="892" t="s">
        <v>1522</v>
      </c>
      <c r="U51" s="895" t="s">
        <v>21</v>
      </c>
      <c r="V51" s="1160" t="str">
        <f>ROUND(77*(1-X89),2)&amp;" руб./п.м. в покрытии Pе 0,45 двс"</f>
        <v>77 руб./п.м. в покрытии Pе 0,45 двс</v>
      </c>
      <c r="W51" s="1160"/>
      <c r="X51" s="1160"/>
      <c r="Y51" s="1160"/>
      <c r="Z51" s="1209" t="str">
        <f>ROUND(157*(1-X89),2)&amp;" руб./п.м.  в покрытии Print 0,45 двс"</f>
        <v>157 руб./п.м.  в покрытии Print 0,45 двс</v>
      </c>
      <c r="AA51" s="1210"/>
      <c r="AB51" s="1210"/>
      <c r="AC51" s="1210"/>
      <c r="AD51" s="1211"/>
      <c r="AE51" s="1209" t="s">
        <v>21</v>
      </c>
      <c r="AF51" s="1210"/>
      <c r="AG51" s="1210"/>
      <c r="AH51" s="1210"/>
      <c r="AI51" s="1210"/>
      <c r="AJ51" s="1210"/>
      <c r="AK51" s="1210"/>
      <c r="AL51" s="1210"/>
      <c r="AM51" s="1211"/>
    </row>
    <row r="52" spans="2:39">
      <c r="B52" s="189" t="s">
        <v>1524</v>
      </c>
      <c r="C52" s="892">
        <v>100</v>
      </c>
      <c r="D52" s="892" t="s">
        <v>21</v>
      </c>
      <c r="E52" s="892" t="s">
        <v>1522</v>
      </c>
      <c r="F52" s="726" t="s">
        <v>21</v>
      </c>
      <c r="G52" s="592">
        <f>ROUND(68*(1-C81),2)</f>
        <v>68</v>
      </c>
      <c r="H52" s="901">
        <f>ROUND(81*(1-C81),2)</f>
        <v>81</v>
      </c>
      <c r="I52" s="901">
        <f>ROUND(86*(1-C81),2)</f>
        <v>86</v>
      </c>
      <c r="J52" s="901">
        <f>ROUND(94*(1-C81),2)</f>
        <v>94</v>
      </c>
      <c r="K52" s="592">
        <f>ROUND(88*(1-C81),2)</f>
        <v>88</v>
      </c>
      <c r="L52" s="592">
        <f>K52</f>
        <v>88</v>
      </c>
      <c r="M52" s="901">
        <f>I52</f>
        <v>86</v>
      </c>
      <c r="N52" s="901">
        <f>ROUND(107*(1-C81),2)</f>
        <v>107</v>
      </c>
      <c r="O52" s="901">
        <f>ROUND(142*(1-C81),2)</f>
        <v>142</v>
      </c>
      <c r="Q52" s="727" t="s">
        <v>1400</v>
      </c>
      <c r="R52" s="892">
        <v>118</v>
      </c>
      <c r="S52" s="892" t="s">
        <v>21</v>
      </c>
      <c r="T52" s="892" t="s">
        <v>1522</v>
      </c>
      <c r="U52" s="895" t="s">
        <v>21</v>
      </c>
      <c r="V52" s="1160" t="str">
        <f>ROUND(77*(1-X89),2)&amp;" руб./п.м. в покрытии Pе 0,45 двс"</f>
        <v>77 руб./п.м. в покрытии Pе 0,45 двс</v>
      </c>
      <c r="W52" s="1160"/>
      <c r="X52" s="1160"/>
      <c r="Y52" s="1160"/>
      <c r="Z52" s="1209" t="str">
        <f>ROUND(157*(1-X89),2)&amp;" руб./п.м.  в покрытии Print 0,45 двс"</f>
        <v>157 руб./п.м.  в покрытии Print 0,45 двс</v>
      </c>
      <c r="AA52" s="1210"/>
      <c r="AB52" s="1210"/>
      <c r="AC52" s="1210"/>
      <c r="AD52" s="1211"/>
      <c r="AE52" s="1209" t="s">
        <v>21</v>
      </c>
      <c r="AF52" s="1210"/>
      <c r="AG52" s="1210"/>
      <c r="AH52" s="1210"/>
      <c r="AI52" s="1210"/>
      <c r="AJ52" s="1210"/>
      <c r="AK52" s="1210"/>
      <c r="AL52" s="1210"/>
      <c r="AM52" s="1211"/>
    </row>
    <row r="53" spans="2:39">
      <c r="B53" s="1204" t="s">
        <v>1669</v>
      </c>
      <c r="C53" s="1205"/>
      <c r="D53" s="1205"/>
      <c r="E53" s="1205"/>
      <c r="F53" s="1205"/>
      <c r="G53" s="1205"/>
      <c r="H53" s="1205"/>
      <c r="I53" s="1205"/>
      <c r="J53" s="1205"/>
      <c r="K53" s="1205"/>
      <c r="L53" s="1205"/>
      <c r="M53" s="1205"/>
      <c r="N53" s="1205"/>
      <c r="O53" s="1205"/>
      <c r="Q53" s="189" t="s">
        <v>1401</v>
      </c>
      <c r="R53" s="892">
        <v>128</v>
      </c>
      <c r="S53" s="892" t="s">
        <v>21</v>
      </c>
      <c r="T53" s="892" t="s">
        <v>1522</v>
      </c>
      <c r="U53" s="895" t="s">
        <v>21</v>
      </c>
      <c r="V53" s="1160" t="str">
        <f>ROUND(80*(1-X89),2)&amp;" руб./п.м.  в покрытии Pе 0,45 двс"</f>
        <v>80 руб./п.м.  в покрытии Pе 0,45 двс</v>
      </c>
      <c r="W53" s="1160"/>
      <c r="X53" s="1160"/>
      <c r="Y53" s="1160"/>
      <c r="Z53" s="1209" t="str">
        <f>ROUND(160*(1-X89),2)&amp;" руб./п.м.  в покрытии Print 0,45 двс"</f>
        <v>160 руб./п.м.  в покрытии Print 0,45 двс</v>
      </c>
      <c r="AA53" s="1210"/>
      <c r="AB53" s="1210"/>
      <c r="AC53" s="1210"/>
      <c r="AD53" s="1211"/>
      <c r="AE53" s="1209" t="s">
        <v>21</v>
      </c>
      <c r="AF53" s="1210"/>
      <c r="AG53" s="1210"/>
      <c r="AH53" s="1210"/>
      <c r="AI53" s="1210"/>
      <c r="AJ53" s="1210"/>
      <c r="AK53" s="1210"/>
      <c r="AL53" s="1210"/>
      <c r="AM53" s="1211"/>
    </row>
    <row r="54" spans="2:39">
      <c r="Q54" s="727" t="s">
        <v>1402</v>
      </c>
      <c r="R54" s="892">
        <v>118</v>
      </c>
      <c r="S54" s="892" t="s">
        <v>21</v>
      </c>
      <c r="T54" s="892" t="s">
        <v>1522</v>
      </c>
      <c r="U54" s="895" t="s">
        <v>21</v>
      </c>
      <c r="V54" s="1160" t="str">
        <f>ROUND(80*(1-X89),2)&amp;" руб./п.м.  в покрытии Pе 0,45 двс"</f>
        <v>80 руб./п.м.  в покрытии Pе 0,45 двс</v>
      </c>
      <c r="W54" s="1160"/>
      <c r="X54" s="1160"/>
      <c r="Y54" s="1160"/>
      <c r="Z54" s="1209" t="str">
        <f>ROUND(160*(1-X89),2)&amp;" руб./п.м.  в покрытии Print 0,45 двс"</f>
        <v>160 руб./п.м.  в покрытии Print 0,45 двс</v>
      </c>
      <c r="AA54" s="1210"/>
      <c r="AB54" s="1210"/>
      <c r="AC54" s="1210"/>
      <c r="AD54" s="1211"/>
      <c r="AE54" s="1209" t="s">
        <v>21</v>
      </c>
      <c r="AF54" s="1210"/>
      <c r="AG54" s="1210"/>
      <c r="AH54" s="1210"/>
      <c r="AI54" s="1210"/>
      <c r="AJ54" s="1210"/>
      <c r="AK54" s="1210"/>
      <c r="AL54" s="1210"/>
      <c r="AM54" s="1211"/>
    </row>
    <row r="55" spans="2:39">
      <c r="Q55" s="1204" t="s">
        <v>1675</v>
      </c>
      <c r="R55" s="1205"/>
      <c r="S55" s="1205"/>
      <c r="T55" s="1205"/>
      <c r="U55" s="1205"/>
      <c r="V55" s="1205"/>
      <c r="W55" s="1205"/>
      <c r="X55" s="1205"/>
      <c r="Y55" s="1205"/>
      <c r="Z55" s="1205"/>
      <c r="AA55" s="1205"/>
      <c r="AB55" s="1205"/>
      <c r="AC55" s="1205"/>
      <c r="AD55" s="1205"/>
      <c r="AE55" s="1205"/>
      <c r="AF55" s="1205"/>
      <c r="AG55" s="1205"/>
      <c r="AH55" s="1205"/>
      <c r="AI55" s="1205"/>
      <c r="AJ55" s="1205"/>
      <c r="AK55" s="1205"/>
      <c r="AL55" s="1205"/>
      <c r="AM55" s="1220"/>
    </row>
    <row r="56" spans="2:39">
      <c r="Q56" s="1232" t="s">
        <v>1671</v>
      </c>
      <c r="R56" s="1232"/>
      <c r="S56" s="1232"/>
      <c r="T56" s="1232"/>
      <c r="U56" s="1232"/>
      <c r="V56" s="1160">
        <v>300</v>
      </c>
      <c r="W56" s="1160"/>
      <c r="X56" s="1160"/>
      <c r="Y56" s="1160"/>
      <c r="Z56" s="1160"/>
      <c r="AA56" s="1160"/>
      <c r="AB56" s="1160"/>
      <c r="AC56" s="1160"/>
      <c r="AD56" s="1160"/>
      <c r="AE56" s="1160"/>
      <c r="AF56" s="1160"/>
      <c r="AG56" s="1160"/>
      <c r="AH56" s="1160"/>
      <c r="AI56" s="1160"/>
      <c r="AJ56" s="1160"/>
      <c r="AK56" s="1160"/>
      <c r="AL56" s="1160"/>
      <c r="AM56" s="1160"/>
    </row>
    <row r="57" spans="2:39">
      <c r="Q57" s="1232" t="s">
        <v>1672</v>
      </c>
      <c r="R57" s="1232"/>
      <c r="S57" s="1232"/>
      <c r="T57" s="1232"/>
      <c r="U57" s="1232"/>
      <c r="V57" s="1160">
        <v>2200</v>
      </c>
      <c r="W57" s="1160"/>
      <c r="X57" s="1160"/>
      <c r="Y57" s="1160"/>
      <c r="Z57" s="1160"/>
      <c r="AA57" s="1160"/>
      <c r="AB57" s="1160"/>
      <c r="AC57" s="1160"/>
      <c r="AD57" s="1160"/>
      <c r="AE57" s="1160"/>
      <c r="AF57" s="1160"/>
      <c r="AG57" s="1160"/>
      <c r="AH57" s="1160"/>
      <c r="AI57" s="1160"/>
      <c r="AJ57" s="1160"/>
      <c r="AK57" s="1160"/>
      <c r="AL57" s="1160"/>
      <c r="AM57" s="1160"/>
    </row>
    <row r="58" spans="2:39">
      <c r="Q58" s="1232" t="s">
        <v>1673</v>
      </c>
      <c r="R58" s="1232"/>
      <c r="S58" s="1232"/>
      <c r="T58" s="1232"/>
      <c r="U58" s="1232"/>
      <c r="V58" s="1160">
        <v>400</v>
      </c>
      <c r="W58" s="1160"/>
      <c r="X58" s="1160"/>
      <c r="Y58" s="1160"/>
      <c r="Z58" s="1160"/>
      <c r="AA58" s="1160"/>
      <c r="AB58" s="1160"/>
      <c r="AC58" s="1160"/>
      <c r="AD58" s="1160"/>
      <c r="AE58" s="1160"/>
      <c r="AF58" s="1160"/>
      <c r="AG58" s="1160"/>
      <c r="AH58" s="1160"/>
      <c r="AI58" s="1160"/>
      <c r="AJ58" s="1160"/>
      <c r="AK58" s="1160"/>
      <c r="AL58" s="1160"/>
      <c r="AM58" s="1160"/>
    </row>
    <row r="59" spans="2:39">
      <c r="Q59" s="1232" t="s">
        <v>1048</v>
      </c>
      <c r="R59" s="1232"/>
      <c r="S59" s="1232"/>
      <c r="T59" s="1232"/>
      <c r="U59" s="1232"/>
      <c r="V59" s="1160">
        <v>1970</v>
      </c>
      <c r="W59" s="1160"/>
      <c r="X59" s="1160"/>
      <c r="Y59" s="1160"/>
      <c r="Z59" s="1160"/>
      <c r="AA59" s="1160"/>
      <c r="AB59" s="1160"/>
      <c r="AC59" s="1160"/>
      <c r="AD59" s="1160"/>
      <c r="AE59" s="1160"/>
      <c r="AF59" s="1160"/>
      <c r="AG59" s="1160"/>
      <c r="AH59" s="1160"/>
      <c r="AI59" s="1160"/>
      <c r="AJ59" s="1160"/>
      <c r="AK59" s="1160"/>
      <c r="AL59" s="1160"/>
      <c r="AM59" s="1160"/>
    </row>
    <row r="60" spans="2:39">
      <c r="Q60" s="1232" t="s">
        <v>1674</v>
      </c>
      <c r="R60" s="1232"/>
      <c r="S60" s="1232"/>
      <c r="T60" s="1232"/>
      <c r="U60" s="1232"/>
      <c r="V60" s="1160">
        <v>80</v>
      </c>
      <c r="W60" s="1160"/>
      <c r="X60" s="1160"/>
      <c r="Y60" s="1160"/>
      <c r="Z60" s="1160"/>
      <c r="AA60" s="1160"/>
      <c r="AB60" s="1160"/>
      <c r="AC60" s="1160"/>
      <c r="AD60" s="1160"/>
      <c r="AE60" s="1160"/>
      <c r="AF60" s="1160"/>
      <c r="AG60" s="1160"/>
      <c r="AH60" s="1160"/>
      <c r="AI60" s="1160"/>
      <c r="AJ60" s="1160"/>
      <c r="AK60" s="1160"/>
      <c r="AL60" s="1160"/>
      <c r="AM60" s="1160"/>
    </row>
    <row r="61" spans="2:39">
      <c r="Q61" s="1232" t="s">
        <v>1676</v>
      </c>
      <c r="R61" s="1232"/>
      <c r="S61" s="1232"/>
      <c r="T61" s="1232"/>
      <c r="U61" s="1232"/>
      <c r="V61" s="1160">
        <v>160</v>
      </c>
      <c r="W61" s="1160"/>
      <c r="X61" s="1160"/>
      <c r="Y61" s="1160"/>
      <c r="Z61" s="1160"/>
      <c r="AA61" s="1160"/>
      <c r="AB61" s="1160"/>
      <c r="AC61" s="1160"/>
      <c r="AD61" s="1160"/>
      <c r="AE61" s="1160"/>
      <c r="AF61" s="1160"/>
      <c r="AG61" s="1160"/>
      <c r="AH61" s="1160"/>
      <c r="AI61" s="1160"/>
      <c r="AJ61" s="1160"/>
      <c r="AK61" s="1160"/>
      <c r="AL61" s="1160"/>
      <c r="AM61" s="1160"/>
    </row>
    <row r="62" spans="2:39">
      <c r="Q62" s="1232" t="s">
        <v>1451</v>
      </c>
      <c r="R62" s="1232"/>
      <c r="S62" s="1232"/>
      <c r="T62" s="1232"/>
      <c r="U62" s="1232"/>
      <c r="V62" s="1160">
        <v>15</v>
      </c>
      <c r="W62" s="1160"/>
      <c r="X62" s="1160"/>
      <c r="Y62" s="1160"/>
      <c r="Z62" s="1160"/>
      <c r="AA62" s="1160"/>
      <c r="AB62" s="1160"/>
      <c r="AC62" s="1160"/>
      <c r="AD62" s="1160"/>
      <c r="AE62" s="1160"/>
      <c r="AF62" s="1160"/>
      <c r="AG62" s="1160"/>
      <c r="AH62" s="1160"/>
      <c r="AI62" s="1160"/>
      <c r="AJ62" s="1160"/>
      <c r="AK62" s="1160"/>
      <c r="AL62" s="1160"/>
      <c r="AM62" s="1160"/>
    </row>
  </sheetData>
  <sheetProtection formatCells="0" formatColumns="0" formatRows="0" insertColumns="0" insertRows="0" insertHyperlinks="0" deleteColumns="0" deleteRows="0" sort="0" autoFilter="0" pivotTables="0"/>
  <mergeCells count="153">
    <mergeCell ref="Q60:U60"/>
    <mergeCell ref="V60:AM60"/>
    <mergeCell ref="Q61:U61"/>
    <mergeCell ref="V61:AM61"/>
    <mergeCell ref="Q62:U62"/>
    <mergeCell ref="V62:AM62"/>
    <mergeCell ref="Q55:AM55"/>
    <mergeCell ref="Q56:U56"/>
    <mergeCell ref="V56:AM56"/>
    <mergeCell ref="Q57:U57"/>
    <mergeCell ref="V57:AM57"/>
    <mergeCell ref="Q58:U58"/>
    <mergeCell ref="V58:AM58"/>
    <mergeCell ref="Q59:U59"/>
    <mergeCell ref="V59:AM59"/>
    <mergeCell ref="Z51:AD51"/>
    <mergeCell ref="AE51:AM51"/>
    <mergeCell ref="V52:Y52"/>
    <mergeCell ref="Z52:AD52"/>
    <mergeCell ref="AE52:AM52"/>
    <mergeCell ref="V53:Y53"/>
    <mergeCell ref="Z53:AD53"/>
    <mergeCell ref="AE53:AM53"/>
    <mergeCell ref="V54:Y54"/>
    <mergeCell ref="Z54:AD54"/>
    <mergeCell ref="AE54:AM54"/>
    <mergeCell ref="B48:O48"/>
    <mergeCell ref="B53:O53"/>
    <mergeCell ref="AF18:AJ18"/>
    <mergeCell ref="AK18:AL18"/>
    <mergeCell ref="Q19:Q22"/>
    <mergeCell ref="R19:S20"/>
    <mergeCell ref="U19:U22"/>
    <mergeCell ref="V19:AM19"/>
    <mergeCell ref="V20:AA20"/>
    <mergeCell ref="AD20:AD21"/>
    <mergeCell ref="AE20:AM20"/>
    <mergeCell ref="S21:S22"/>
    <mergeCell ref="AA21:AA22"/>
    <mergeCell ref="AE21:AI21"/>
    <mergeCell ref="AJ21:AL21"/>
    <mergeCell ref="AB20:AB21"/>
    <mergeCell ref="AC20:AC21"/>
    <mergeCell ref="Q24:U24"/>
    <mergeCell ref="V24:W24"/>
    <mergeCell ref="X24:AA24"/>
    <mergeCell ref="AE24:AL24"/>
    <mergeCell ref="Q25:AM25"/>
    <mergeCell ref="Q29:AM29"/>
    <mergeCell ref="AM39:AM40"/>
    <mergeCell ref="Q41:AM41"/>
    <mergeCell ref="AE42:AM42"/>
    <mergeCell ref="T19:T22"/>
    <mergeCell ref="R21:R22"/>
    <mergeCell ref="V21:V22"/>
    <mergeCell ref="W21:W22"/>
    <mergeCell ref="X21:X22"/>
    <mergeCell ref="Y21:Y22"/>
    <mergeCell ref="Z21:Z22"/>
    <mergeCell ref="AE43:AM43"/>
    <mergeCell ref="AE44:AM44"/>
    <mergeCell ref="AE45:AM45"/>
    <mergeCell ref="Q46:AM46"/>
    <mergeCell ref="AE47:AM47"/>
    <mergeCell ref="AE48:AM48"/>
    <mergeCell ref="AE49:AM49"/>
    <mergeCell ref="AE50:AM50"/>
    <mergeCell ref="V51:Y51"/>
    <mergeCell ref="C19:D20"/>
    <mergeCell ref="E19:E21"/>
    <mergeCell ref="F19:F21"/>
    <mergeCell ref="B22:F22"/>
    <mergeCell ref="B23:F23"/>
    <mergeCell ref="B19:B21"/>
    <mergeCell ref="G20:L20"/>
    <mergeCell ref="G19:O19"/>
    <mergeCell ref="M20:O20"/>
    <mergeCell ref="B24:O24"/>
    <mergeCell ref="G31:O31"/>
    <mergeCell ref="B32:O32"/>
    <mergeCell ref="B43:O43"/>
    <mergeCell ref="X2:Z2"/>
    <mergeCell ref="X9:Y9"/>
    <mergeCell ref="T7:W7"/>
    <mergeCell ref="T8:W8"/>
    <mergeCell ref="H15:J15"/>
    <mergeCell ref="K15:M15"/>
    <mergeCell ref="X7:Y7"/>
    <mergeCell ref="N15:P15"/>
    <mergeCell ref="T2:W3"/>
    <mergeCell ref="T4:W4"/>
    <mergeCell ref="X4:Y4"/>
    <mergeCell ref="T5:W5"/>
    <mergeCell ref="X5:Y5"/>
    <mergeCell ref="T6:W6"/>
    <mergeCell ref="X6:Y6"/>
    <mergeCell ref="T12:W12"/>
    <mergeCell ref="X12:Y12"/>
    <mergeCell ref="X8:Y8"/>
    <mergeCell ref="T9:W9"/>
    <mergeCell ref="B2:C2"/>
    <mergeCell ref="B9:C9"/>
    <mergeCell ref="B10:C10"/>
    <mergeCell ref="B6:C6"/>
    <mergeCell ref="B8:C8"/>
    <mergeCell ref="B5:C5"/>
    <mergeCell ref="B7:C7"/>
    <mergeCell ref="B3:C4"/>
    <mergeCell ref="F3:F4"/>
    <mergeCell ref="D3:D4"/>
    <mergeCell ref="E3:E4"/>
    <mergeCell ref="AA2:AB2"/>
    <mergeCell ref="X3:Y3"/>
    <mergeCell ref="H14:J14"/>
    <mergeCell ref="K14:M14"/>
    <mergeCell ref="H2:P2"/>
    <mergeCell ref="H3:M3"/>
    <mergeCell ref="N3:P3"/>
    <mergeCell ref="H4:M4"/>
    <mergeCell ref="N11:P11"/>
    <mergeCell ref="H5:M5"/>
    <mergeCell ref="N5:P5"/>
    <mergeCell ref="H6:M6"/>
    <mergeCell ref="N6:P6"/>
    <mergeCell ref="H11:J11"/>
    <mergeCell ref="K11:M11"/>
    <mergeCell ref="N4:P4"/>
    <mergeCell ref="H12:J12"/>
    <mergeCell ref="K12:M12"/>
    <mergeCell ref="N12:P14"/>
    <mergeCell ref="H13:J13"/>
    <mergeCell ref="K13:M13"/>
    <mergeCell ref="T13:W13"/>
    <mergeCell ref="AA10:AB10"/>
    <mergeCell ref="T14:W14"/>
    <mergeCell ref="X14:Y14"/>
    <mergeCell ref="T10:W10"/>
    <mergeCell ref="X10:Y10"/>
    <mergeCell ref="T11:W11"/>
    <mergeCell ref="T15:W15"/>
    <mergeCell ref="X15:Y15"/>
    <mergeCell ref="T16:W16"/>
    <mergeCell ref="X13:Y13"/>
    <mergeCell ref="X16:Y16"/>
    <mergeCell ref="X11:Y11"/>
    <mergeCell ref="AK39:AK40"/>
    <mergeCell ref="AL39:AL40"/>
    <mergeCell ref="AE39:AE40"/>
    <mergeCell ref="AF39:AF40"/>
    <mergeCell ref="AG39:AG40"/>
    <mergeCell ref="AH39:AH40"/>
    <mergeCell ref="AI39:AI40"/>
    <mergeCell ref="AJ39:AJ40"/>
  </mergeCells>
  <hyperlinks>
    <hyperlink ref="B31:O31" location="'3 Комп. черепица GL'!A1" display="Композитная металлочерепица Classic    NEW"/>
  </hyperlinks>
  <pageMargins left="0.7" right="0.7" top="0.75" bottom="0.75" header="0.3" footer="0.3"/>
  <pageSetup paperSize="9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В-к Прям</vt:lpstr>
      <vt:lpstr>В-к Круглый </vt:lpstr>
      <vt:lpstr>Ондулин</vt:lpstr>
      <vt:lpstr>CertainTeed</vt:lpstr>
      <vt:lpstr>KATEPAL</vt:lpstr>
      <vt:lpstr>Shinglas</vt:lpstr>
      <vt:lpstr>Docke гибкая</vt:lpstr>
      <vt:lpstr>Ruukki</vt:lpstr>
      <vt:lpstr>Grand Line</vt:lpstr>
      <vt:lpstr>Планки РУФМАСТЕР </vt:lpstr>
      <vt:lpstr>Доборные элементы GL</vt:lpstr>
      <vt:lpstr>Доборные фасад GL</vt:lpstr>
      <vt:lpstr>модульные ограждения</vt:lpstr>
      <vt:lpstr>Панельные ограждения</vt:lpstr>
      <vt:lpstr>ЦП Braas</vt:lpstr>
      <vt:lpstr>Плёнки</vt:lpstr>
      <vt:lpstr>Сайдинг GL</vt:lpstr>
      <vt:lpstr>Сайдинг Docke</vt:lpstr>
      <vt:lpstr>Элементы Безопастности</vt:lpstr>
      <vt:lpstr>Vilpe</vt:lpstr>
      <vt:lpstr>Инструмент</vt:lpstr>
      <vt:lpstr>Террасная доска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2015-08-19T09:02:57Z</dcterms:modified>
</cp:coreProperties>
</file>