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АХД с 1.03-1.08.2016 г." sheetId="1" r:id="rId1"/>
  </sheets>
  <calcPr calcId="145621"/>
</workbook>
</file>

<file path=xl/calcChain.xml><?xml version="1.0" encoding="utf-8"?>
<calcChain xmlns="http://schemas.openxmlformats.org/spreadsheetml/2006/main">
  <c r="F79" i="1" l="1"/>
  <c r="F58" i="1"/>
  <c r="F45" i="1"/>
  <c r="F44" i="1"/>
  <c r="F36" i="1"/>
  <c r="F50" i="1"/>
  <c r="F70" i="1"/>
  <c r="F41" i="1"/>
  <c r="F42" i="1"/>
  <c r="F77" i="1"/>
  <c r="D79" i="1" l="1"/>
  <c r="G79" i="1" s="1"/>
  <c r="C79" i="1"/>
  <c r="D16" i="1"/>
  <c r="D20" i="1"/>
  <c r="D56" i="1"/>
  <c r="C56" i="1"/>
  <c r="D35" i="1"/>
  <c r="C35" i="1"/>
  <c r="D15" i="1"/>
  <c r="D11" i="1"/>
  <c r="D12" i="1"/>
  <c r="D10" i="1"/>
  <c r="D54" i="1"/>
  <c r="D72" i="1"/>
  <c r="C72" i="1"/>
  <c r="D73" i="1"/>
  <c r="C73" i="1"/>
  <c r="D69" i="1"/>
  <c r="C69" i="1"/>
  <c r="C80" i="1" s="1"/>
  <c r="D71" i="1"/>
  <c r="G78" i="1"/>
  <c r="E78" i="1"/>
  <c r="C10" i="1"/>
  <c r="D80" i="1" l="1"/>
  <c r="F69" i="1" l="1"/>
  <c r="E71" i="1"/>
  <c r="G71" i="1"/>
  <c r="E72" i="1"/>
  <c r="E73" i="1"/>
  <c r="F73" i="1"/>
  <c r="F43" i="1"/>
  <c r="F46" i="1"/>
  <c r="E54" i="1"/>
  <c r="F55" i="1"/>
  <c r="F54" i="1" s="1"/>
  <c r="G54" i="1" s="1"/>
  <c r="F56" i="1"/>
  <c r="D59" i="1"/>
  <c r="C15" i="1"/>
  <c r="C11" i="1"/>
  <c r="C12" i="1"/>
  <c r="F80" i="1" l="1"/>
  <c r="C59" i="1"/>
  <c r="E69" i="1"/>
  <c r="N60" i="1" s="1"/>
  <c r="E59" i="1"/>
  <c r="Q36" i="1" s="1"/>
  <c r="E35" i="1"/>
  <c r="P32" i="1" s="1"/>
  <c r="E79" i="1"/>
  <c r="G73" i="1"/>
  <c r="E56" i="1"/>
  <c r="Q35" i="1" s="1"/>
  <c r="G69" i="1"/>
  <c r="F35" i="1"/>
  <c r="F59" i="1" s="1"/>
  <c r="G56" i="1"/>
  <c r="G80" i="1" l="1"/>
  <c r="E80" i="1"/>
  <c r="G35" i="1"/>
  <c r="G59" i="1" l="1"/>
  <c r="Q37" i="1" s="1"/>
  <c r="P33" i="1"/>
  <c r="F12" i="1"/>
  <c r="D21" i="1" l="1"/>
  <c r="D82" i="1" s="1"/>
  <c r="C21" i="1"/>
  <c r="C82" i="1" s="1"/>
  <c r="G20" i="1"/>
  <c r="E20" i="1"/>
  <c r="G19" i="1"/>
  <c r="E19" i="1"/>
  <c r="G17" i="1"/>
  <c r="E17" i="1"/>
  <c r="E16" i="1"/>
  <c r="G15" i="1"/>
  <c r="E15" i="1"/>
  <c r="E12" i="1"/>
  <c r="G11" i="1"/>
  <c r="E11" i="1"/>
  <c r="E10" i="1"/>
  <c r="G16" i="1" l="1"/>
  <c r="G12" i="1"/>
  <c r="P13" i="1" s="1"/>
  <c r="E21" i="1"/>
  <c r="E82" i="1" s="1"/>
  <c r="G10" i="1"/>
  <c r="F21" i="1" l="1"/>
  <c r="G21" i="1"/>
  <c r="G82" i="1" l="1"/>
  <c r="H12" i="1"/>
  <c r="F82" i="1"/>
</calcChain>
</file>

<file path=xl/sharedStrings.xml><?xml version="1.0" encoding="utf-8"?>
<sst xmlns="http://schemas.openxmlformats.org/spreadsheetml/2006/main" count="185" uniqueCount="135">
  <si>
    <t>ЦЕЛЕВЫЕ ВЗНОСЫ</t>
  </si>
  <si>
    <t>№</t>
  </si>
  <si>
    <t xml:space="preserve">Наименование </t>
  </si>
  <si>
    <t>начислено</t>
  </si>
  <si>
    <t>оплачено</t>
  </si>
  <si>
    <t>долг за</t>
  </si>
  <si>
    <t>расходование</t>
  </si>
  <si>
    <t>перерасход(-)</t>
  </si>
  <si>
    <t>строки</t>
  </si>
  <si>
    <t>сборов</t>
  </si>
  <si>
    <t>собственникам</t>
  </si>
  <si>
    <t>собственниками</t>
  </si>
  <si>
    <t>ДС с расч счета</t>
  </si>
  <si>
    <t>экономия(+)</t>
  </si>
  <si>
    <t>графа1</t>
  </si>
  <si>
    <t>графа2</t>
  </si>
  <si>
    <t>графа3</t>
  </si>
  <si>
    <t>графа4</t>
  </si>
  <si>
    <t>графа5</t>
  </si>
  <si>
    <t>графа6</t>
  </si>
  <si>
    <t>Целевые сборы</t>
  </si>
  <si>
    <t>Целевой сбор на пост охраны</t>
  </si>
  <si>
    <t>Целевой сбор на туалет  охраны</t>
  </si>
  <si>
    <t>умывальник ООО Лейберов</t>
  </si>
  <si>
    <t>туалет ООО Атэко</t>
  </si>
  <si>
    <t>Проект по примыканию дороги</t>
  </si>
  <si>
    <t>Целевой взнос Новыми собственниками (БСО)</t>
  </si>
  <si>
    <t>Возмещение затрат по э/эн. Новокосулино 2</t>
  </si>
  <si>
    <t>Целевой сбор на уличн. Освещ.</t>
  </si>
  <si>
    <t>Итого</t>
  </si>
  <si>
    <t>РАСХОДЫ ДНП,  УПРАВЛЯЮЩИЙ</t>
  </si>
  <si>
    <t>Расходы ДНП</t>
  </si>
  <si>
    <t>улуги банка сбербанк</t>
  </si>
  <si>
    <t>налог на землю ИФНС 29</t>
  </si>
  <si>
    <t>обслуживание шлагбаума ООО Бастион</t>
  </si>
  <si>
    <t>изготовление банера РИЦ Диагональ</t>
  </si>
  <si>
    <t>услуги транспрта Грейдер ООО Монолит</t>
  </si>
  <si>
    <t>зарплата бухгалтера с налогами</t>
  </si>
  <si>
    <t>возмещение расходов бухг.</t>
  </si>
  <si>
    <t>прожектор ООО Светолюкс</t>
  </si>
  <si>
    <t>радиопульт ООО Бастион</t>
  </si>
  <si>
    <t>Камера на охрану ООО Большой брат</t>
  </si>
  <si>
    <t>Механизированная уборка снега</t>
  </si>
  <si>
    <t>ООО Монолит</t>
  </si>
  <si>
    <t>Управляющий</t>
  </si>
  <si>
    <t>итого</t>
  </si>
  <si>
    <t>КОММУНАЛЬНЫЕ УСЛУГИ</t>
  </si>
  <si>
    <t>Вывоз ТБО и КГМ</t>
  </si>
  <si>
    <t>Вывоз ТБО и КГМ  ИП Рыцев</t>
  </si>
  <si>
    <t>Расчетно-кассовое обслуживание</t>
  </si>
  <si>
    <t>Охрана</t>
  </si>
  <si>
    <t>ЧОП Мир и К</t>
  </si>
  <si>
    <t>ЧОП Притор</t>
  </si>
  <si>
    <t>ЧОП Сигнал Р</t>
  </si>
  <si>
    <t>ТО и ТР газопровода</t>
  </si>
  <si>
    <t>ИП Кренец С.Н. услуги спец техники отсыпка дороги</t>
  </si>
  <si>
    <t xml:space="preserve"> ООО Фаворит</t>
  </si>
  <si>
    <t>зарплата юриста с налогами</t>
  </si>
  <si>
    <t>Возмещение затрат на потери трансформаторной подстанции</t>
  </si>
  <si>
    <t>ип клинов</t>
  </si>
  <si>
    <t>госпошлина</t>
  </si>
  <si>
    <t>ИФНС 31</t>
  </si>
  <si>
    <t xml:space="preserve">Ремонт дороги и восстановление уличного освещения </t>
  </si>
  <si>
    <t>Таблица 1</t>
  </si>
  <si>
    <t>Таблица 2</t>
  </si>
  <si>
    <t>Таблица 3</t>
  </si>
  <si>
    <t>Всего по трем разделам</t>
  </si>
  <si>
    <t>Пояснительная записка</t>
  </si>
  <si>
    <t xml:space="preserve">                      Анализ хозяйственной деятельности (АХД) ДНП "КП Новокосулино"</t>
  </si>
  <si>
    <t xml:space="preserve">                    к  (АХД) ДНП "КП Новокосулино"</t>
  </si>
  <si>
    <t>то есть на 01.07.2016 г. нет долгов перед поставщиками услуг. Нет задолженности по налогам и сборам.</t>
  </si>
  <si>
    <t>Анализ проведен на основании данных ЕРЦ и бухгалтерского учета предприятия.</t>
  </si>
  <si>
    <t>на сумму</t>
  </si>
  <si>
    <t>рублей</t>
  </si>
  <si>
    <t>(строка 9 графа 4)</t>
  </si>
  <si>
    <t>т.е. оплата превышает начисленную сумму ( стр.9 гр.2-гр.3= гр.4)</t>
  </si>
  <si>
    <t>руб.</t>
  </si>
  <si>
    <t>Перерасход  составил только по статье "Целевой сбор на туалет"(Стр.3 гр.3-гр.5= гр.6)18598,54</t>
  </si>
  <si>
    <t>Это означает,</t>
  </si>
  <si>
    <t xml:space="preserve"> что денежные средства на оплату поставщику за туалетную кабину были перечислены с другой статьи  целевых взносов</t>
  </si>
  <si>
    <t>и задолженности перед поставщиком нет.</t>
  </si>
  <si>
    <t>зарплата управляющего с налогами</t>
  </si>
  <si>
    <t>Это говорит о том, что собственники стали оплачивать свой долг за предыдущий период. Разница между оплатой собственниками</t>
  </si>
  <si>
    <t>(стр1 гр.2-гр.3= гр.4)</t>
  </si>
  <si>
    <t>По статье "Механизированная уборка снега" долг за собственниками уменьшился на сумму</t>
  </si>
  <si>
    <t>(стр.2 гр.2-гр.3=гр.4)</t>
  </si>
  <si>
    <t>(стр.1 гр.3-гр.5= гр.6)</t>
  </si>
  <si>
    <t>(стр.3 гр.2-гр.3=гр.4)</t>
  </si>
  <si>
    <t>(стр.4 гр.2-гр.3=гр.4)</t>
  </si>
  <si>
    <t xml:space="preserve"> и расходом денежных средств с расчетного счета ДНП, так же имеет положительный результат (стр.9 гр.3-гр.5)</t>
  </si>
  <si>
    <t>(стр.4 гр.3-гр.5=гр.6)</t>
  </si>
  <si>
    <t>(не все денежные средства, поступившиеоплаты собственниками , использованы)</t>
  </si>
  <si>
    <t>Т.е. не все денежные средства, поступившие от оплаты собственниками услуг, использованы</t>
  </si>
  <si>
    <t>Разница между оплатой собственниками и расходованием денежных средств составляет</t>
  </si>
  <si>
    <t xml:space="preserve"> Таблица 2 в разделе  "РАСХОДЫ ДНП, УПРАВЛЯЮЩИЙ"</t>
  </si>
  <si>
    <t>Таблица 3 раздел "Коммунальные услуги"</t>
  </si>
  <si>
    <t>(стр.1 гр.2-гр.3=гр.4)</t>
  </si>
  <si>
    <t>Это объясняется тем, что в апреле 2016 г шли выплаты поставщику услуг, котрые не оплачивались ДНП с октября 2015 г.</t>
  </si>
  <si>
    <t>По статье "Вывоз ТБО и КГМ"( стр.1)  долг за собственниками</t>
  </si>
  <si>
    <t>Т.е Шло погашение кредиторской задолженности и оплачивались текущие платежи, оплата производилась за счет сборов по</t>
  </si>
  <si>
    <t xml:space="preserve"> другим статьям,где есть экономия.</t>
  </si>
  <si>
    <t>По статье  "Охрана"</t>
  </si>
  <si>
    <t>Разница между денежными средствами оплаченными собственниками и раходованием средств со счетаДНП</t>
  </si>
  <si>
    <t>счет за ноябрь 2015 г. ООО Фаворит, счета за январь, февраль 2015 г. ЧОП Сигнал Р</t>
  </si>
  <si>
    <t>По счетам поставщиков услуг, проведенным в январе, ЧОП Мир и К, ЧОП Притор</t>
  </si>
  <si>
    <t>По статье "ТО и ТР газопровода"</t>
  </si>
  <si>
    <t>Причина- с расчетног счета ДНП была оплачена кредиторская задолженность,</t>
  </si>
  <si>
    <t xml:space="preserve">Оплата с расчетного счета была произведена с других статей сборов </t>
  </si>
  <si>
    <t>(стр.5 гр.3-гр.5=гр.6)</t>
  </si>
  <si>
    <t xml:space="preserve">По строке "Всего по трем разделам" </t>
  </si>
  <si>
    <t>Услуги УК</t>
  </si>
  <si>
    <t xml:space="preserve">                                                             за период 01.03.2016 г. по 01.08.2016 г.</t>
  </si>
  <si>
    <t xml:space="preserve">За 5 месяцев работы нового Правления ликвидирована кредиторская задолженность по поставщикам усдуг, </t>
  </si>
  <si>
    <t>Анализ Таблицы 1 показывает, что в раделе " ЦЕЛЕВЫЕ ВЗНОСЫ" за 5 месяцев долг за собственниками уменьшился</t>
  </si>
  <si>
    <t>СКБ Контур программа по отчетности</t>
  </si>
  <si>
    <t>хоз. Товары замки</t>
  </si>
  <si>
    <t>канц. Товары</t>
  </si>
  <si>
    <t>оформление документов нотариально</t>
  </si>
  <si>
    <t>налог при УСН</t>
  </si>
  <si>
    <t>Статья "Расходы ДНП"(стр.1 гр.1) долга за собственниками  за 5 месяцев нет</t>
  </si>
  <si>
    <t xml:space="preserve"> и имеется экономия средств по данной статье </t>
  </si>
  <si>
    <t>По статье"Управляющий " долг за собственниками составляет</t>
  </si>
  <si>
    <t>В целом по Таблице 2 (стр.4) долг за собственниками за 5 мес текущего года составил</t>
  </si>
  <si>
    <t>Расходование денежных средств превышае над суммой оплаченой собственниками на 89147,16 руб.</t>
  </si>
  <si>
    <t xml:space="preserve"> Статья  "Возмещение затрат на потери трансформаторной подстанции"</t>
  </si>
  <si>
    <t xml:space="preserve"> имеется долг</t>
  </si>
  <si>
    <t xml:space="preserve"> за собственниками в размере 8336,58 руб. (стр.2 гр.2-гр.3=гр.4)</t>
  </si>
  <si>
    <t>Оплата с расчетного счета была произведена с других статей сборов , перерасход составил8103,19 руб.(стр.2 гр.3-гр.5=гр.6)</t>
  </si>
  <si>
    <t>Долг за собственниками 92018,18 руб. (стр.4 гр.2-гр.3=гр.4)</t>
  </si>
  <si>
    <t>Составляет 178332,09 руб (стр4 гр.3-гр.5=гр.6)</t>
  </si>
  <si>
    <t>Долг за собственниками 34704,04 руб. (стр.5 гр.2-гр.3=гр.4)</t>
  </si>
  <si>
    <t>Расходование денежных средств с расчетного счета ДНП превышает сумму ,оплаченную собственниками на 25403,41 руб.</t>
  </si>
  <si>
    <t xml:space="preserve">Погашение долга собственниками за 5 месяцев 2016 года составляет 151296,17 руб. </t>
  </si>
  <si>
    <t>Разница между оплатой собственниками и расходованием денежных средств с расчетного счета ДНП составляет 571935,09 руб.</t>
  </si>
  <si>
    <t>(не все денежные средства, поступившие на расчетный счет ДНП  , использованы)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</si>
</sst>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" fontId="2" fillId="0" borderId="0" xfId="0" applyNumberFormat="1" applyFont="1"/>
    <xf numFmtId="0" fontId="1" fillId="0" borderId="0" xfId="0" applyFont="1"/>
    <xf numFmtId="4" fontId="3" fillId="0" borderId="0" xfId="0" applyNumberFormat="1" applyFont="1"/>
    <xf numFmtId="0" fontId="4" fillId="0" borderId="1" xfId="0" applyFont="1" applyBorder="1"/>
    <xf numFmtId="4" fontId="3" fillId="0" borderId="1" xfId="0" applyNumberFormat="1" applyFont="1" applyBorder="1"/>
    <xf numFmtId="0" fontId="5" fillId="0" borderId="2" xfId="0" applyFont="1" applyBorder="1"/>
    <xf numFmtId="0" fontId="0" fillId="0" borderId="1" xfId="0" applyBorder="1"/>
    <xf numFmtId="0" fontId="6" fillId="0" borderId="1" xfId="0" applyFont="1" applyBorder="1"/>
    <xf numFmtId="0" fontId="5" fillId="0" borderId="1" xfId="0" applyFont="1" applyBorder="1"/>
    <xf numFmtId="0" fontId="5" fillId="0" borderId="3" xfId="0" applyFont="1" applyBorder="1"/>
    <xf numFmtId="4" fontId="3" fillId="0" borderId="3" xfId="0" applyNumberFormat="1" applyFont="1" applyBorder="1" applyAlignment="1">
      <alignment vertical="center" wrapText="1"/>
    </xf>
    <xf numFmtId="0" fontId="5" fillId="0" borderId="4" xfId="0" applyFont="1" applyBorder="1"/>
    <xf numFmtId="0" fontId="6" fillId="0" borderId="3" xfId="0" applyFont="1" applyBorder="1"/>
    <xf numFmtId="0" fontId="0" fillId="0" borderId="3" xfId="0" applyBorder="1"/>
    <xf numFmtId="0" fontId="7" fillId="0" borderId="5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 horizontal="left" vertical="center" wrapText="1"/>
    </xf>
    <xf numFmtId="0" fontId="9" fillId="0" borderId="7" xfId="0" applyFont="1" applyBorder="1"/>
    <xf numFmtId="0" fontId="9" fillId="0" borderId="5" xfId="0" applyFont="1" applyBorder="1"/>
    <xf numFmtId="4" fontId="3" fillId="0" borderId="5" xfId="0" applyNumberFormat="1" applyFont="1" applyBorder="1" applyAlignment="1">
      <alignment horizontal="left" vertical="center" wrapText="1"/>
    </xf>
    <xf numFmtId="0" fontId="0" fillId="0" borderId="5" xfId="0" applyBorder="1"/>
    <xf numFmtId="4" fontId="3" fillId="0" borderId="5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0" fontId="6" fillId="0" borderId="7" xfId="0" applyFont="1" applyBorder="1"/>
    <xf numFmtId="0" fontId="6" fillId="0" borderId="5" xfId="0" applyFont="1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/>
    <xf numFmtId="0" fontId="0" fillId="0" borderId="5" xfId="0" applyBorder="1" applyAlignment="1">
      <alignment horizontal="center"/>
    </xf>
    <xf numFmtId="16" fontId="0" fillId="0" borderId="0" xfId="0" applyNumberFormat="1"/>
    <xf numFmtId="0" fontId="11" fillId="0" borderId="5" xfId="0" applyFont="1" applyBorder="1"/>
    <xf numFmtId="0" fontId="12" fillId="0" borderId="5" xfId="0" applyFont="1" applyBorder="1"/>
    <xf numFmtId="0" fontId="13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/>
    <xf numFmtId="0" fontId="5" fillId="0" borderId="5" xfId="0" applyFont="1" applyBorder="1"/>
    <xf numFmtId="0" fontId="5" fillId="0" borderId="0" xfId="0" applyFont="1"/>
    <xf numFmtId="0" fontId="9" fillId="0" borderId="0" xfId="0" applyFont="1"/>
    <xf numFmtId="0" fontId="12" fillId="2" borderId="5" xfId="0" applyFont="1" applyFill="1" applyBorder="1"/>
    <xf numFmtId="0" fontId="0" fillId="0" borderId="5" xfId="0" applyFont="1" applyBorder="1"/>
    <xf numFmtId="0" fontId="6" fillId="0" borderId="5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9" fillId="2" borderId="5" xfId="0" applyFont="1" applyFill="1" applyBorder="1"/>
    <xf numFmtId="0" fontId="13" fillId="2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tabSelected="1" workbookViewId="0">
      <selection activeCell="F77" sqref="F77:F79"/>
    </sheetView>
  </sheetViews>
  <sheetFormatPr defaultRowHeight="15" x14ac:dyDescent="0.25"/>
  <cols>
    <col min="1" max="1" width="6.85546875" customWidth="1"/>
    <col min="2" max="2" width="36.28515625" customWidth="1"/>
    <col min="3" max="3" width="16.5703125" customWidth="1"/>
    <col min="4" max="4" width="17.140625" customWidth="1"/>
    <col min="5" max="6" width="17" customWidth="1"/>
    <col min="7" max="7" width="16.140625" customWidth="1"/>
    <col min="8" max="8" width="12.85546875" customWidth="1"/>
    <col min="9" max="9" width="10.7109375" customWidth="1"/>
    <col min="17" max="17" width="11" customWidth="1"/>
    <col min="19" max="19" width="11.7109375" customWidth="1"/>
  </cols>
  <sheetData>
    <row r="1" spans="1:18" ht="18.75" x14ac:dyDescent="0.3">
      <c r="B1" s="45" t="s">
        <v>68</v>
      </c>
      <c r="L1" s="46" t="s">
        <v>67</v>
      </c>
    </row>
    <row r="2" spans="1:18" x14ac:dyDescent="0.25">
      <c r="B2" s="2" t="s">
        <v>111</v>
      </c>
      <c r="K2" t="s">
        <v>69</v>
      </c>
    </row>
    <row r="4" spans="1:18" x14ac:dyDescent="0.25">
      <c r="B4" s="1" t="s">
        <v>0</v>
      </c>
      <c r="C4" s="2"/>
      <c r="I4" t="s">
        <v>71</v>
      </c>
    </row>
    <row r="5" spans="1:18" x14ac:dyDescent="0.25">
      <c r="A5" s="2" t="s">
        <v>63</v>
      </c>
      <c r="B5" s="3"/>
      <c r="D5" s="33"/>
      <c r="I5" t="s">
        <v>112</v>
      </c>
    </row>
    <row r="6" spans="1:18" x14ac:dyDescent="0.25">
      <c r="B6" s="3"/>
      <c r="D6" s="33"/>
      <c r="H6" t="s">
        <v>70</v>
      </c>
    </row>
    <row r="7" spans="1:18" x14ac:dyDescent="0.25">
      <c r="A7" s="4" t="s">
        <v>1</v>
      </c>
      <c r="B7" s="5" t="s">
        <v>2</v>
      </c>
      <c r="C7" s="6" t="s">
        <v>3</v>
      </c>
      <c r="D7" s="7" t="s">
        <v>4</v>
      </c>
      <c r="E7" s="7" t="s">
        <v>5</v>
      </c>
      <c r="F7" s="8" t="s">
        <v>6</v>
      </c>
      <c r="G7" s="9" t="s">
        <v>7</v>
      </c>
    </row>
    <row r="8" spans="1:18" x14ac:dyDescent="0.25">
      <c r="A8" s="10" t="s">
        <v>8</v>
      </c>
      <c r="B8" s="11" t="s">
        <v>9</v>
      </c>
      <c r="C8" s="12" t="s">
        <v>10</v>
      </c>
      <c r="D8" s="10" t="s">
        <v>11</v>
      </c>
      <c r="E8" s="10" t="s">
        <v>11</v>
      </c>
      <c r="F8" s="13" t="s">
        <v>12</v>
      </c>
      <c r="G8" s="14" t="s">
        <v>13</v>
      </c>
      <c r="I8" t="s">
        <v>113</v>
      </c>
    </row>
    <row r="9" spans="1:18" x14ac:dyDescent="0.25">
      <c r="A9" s="15"/>
      <c r="B9" s="16" t="s">
        <v>14</v>
      </c>
      <c r="C9" s="17" t="s">
        <v>15</v>
      </c>
      <c r="D9" s="18" t="s">
        <v>16</v>
      </c>
      <c r="E9" s="18" t="s">
        <v>17</v>
      </c>
      <c r="F9" s="18" t="s">
        <v>18</v>
      </c>
      <c r="G9" s="18" t="s">
        <v>19</v>
      </c>
      <c r="H9" s="49" t="s">
        <v>72</v>
      </c>
      <c r="I9">
        <v>334709.32</v>
      </c>
      <c r="J9" t="s">
        <v>73</v>
      </c>
      <c r="K9" t="s">
        <v>74</v>
      </c>
      <c r="M9" t="s">
        <v>75</v>
      </c>
    </row>
    <row r="10" spans="1:18" ht="15.75" x14ac:dyDescent="0.25">
      <c r="A10" s="19">
        <v>1</v>
      </c>
      <c r="B10" s="20" t="s">
        <v>20</v>
      </c>
      <c r="C10" s="21">
        <f>140475.42+11112.66</f>
        <v>151588.08000000002</v>
      </c>
      <c r="D10" s="22">
        <f>236401.96+61375.3+137480.26</f>
        <v>435257.52</v>
      </c>
      <c r="E10" s="22">
        <f>C10-D10</f>
        <v>-283669.44</v>
      </c>
      <c r="F10" s="22">
        <v>0</v>
      </c>
      <c r="G10" s="22">
        <f>D10-F10</f>
        <v>435257.52</v>
      </c>
      <c r="H10" t="s">
        <v>82</v>
      </c>
    </row>
    <row r="11" spans="1:18" ht="15.75" x14ac:dyDescent="0.25">
      <c r="A11" s="19">
        <v>2</v>
      </c>
      <c r="B11" s="26" t="s">
        <v>21</v>
      </c>
      <c r="C11" s="21">
        <f>2129.76+93.12</f>
        <v>2222.88</v>
      </c>
      <c r="D11" s="22">
        <f>4959.4+1344.97+2110.99</f>
        <v>8415.36</v>
      </c>
      <c r="E11" s="22">
        <f>C11-D11</f>
        <v>-6192.4800000000005</v>
      </c>
      <c r="F11" s="22">
        <v>0</v>
      </c>
      <c r="G11" s="22">
        <f>D11-F11</f>
        <v>8415.36</v>
      </c>
      <c r="H11" t="s">
        <v>89</v>
      </c>
    </row>
    <row r="12" spans="1:18" ht="15.75" x14ac:dyDescent="0.25">
      <c r="A12" s="19">
        <v>3</v>
      </c>
      <c r="B12" s="26" t="s">
        <v>22</v>
      </c>
      <c r="C12" s="21">
        <f>709.92+31.04</f>
        <v>740.95999999999992</v>
      </c>
      <c r="D12" s="22">
        <f>1653.14+448.32+703.66</f>
        <v>2805.12</v>
      </c>
      <c r="E12" s="22">
        <f>C12-D12</f>
        <v>-2064.16</v>
      </c>
      <c r="F12" s="22">
        <f>F13+F14</f>
        <v>20700</v>
      </c>
      <c r="G12" s="22">
        <f>D12-F12</f>
        <v>-17894.88</v>
      </c>
      <c r="H12">
        <f>G21</f>
        <v>593861.23</v>
      </c>
      <c r="I12" t="s">
        <v>76</v>
      </c>
      <c r="J12" t="s">
        <v>92</v>
      </c>
    </row>
    <row r="13" spans="1:18" x14ac:dyDescent="0.25">
      <c r="A13" s="15"/>
      <c r="B13" s="25" t="s">
        <v>23</v>
      </c>
      <c r="C13" s="27"/>
      <c r="D13" s="28"/>
      <c r="E13" s="28"/>
      <c r="F13" s="28">
        <v>0</v>
      </c>
      <c r="G13" s="28"/>
      <c r="H13" t="s">
        <v>77</v>
      </c>
      <c r="P13">
        <f>G12</f>
        <v>-17894.88</v>
      </c>
      <c r="Q13" t="s">
        <v>76</v>
      </c>
      <c r="R13" t="s">
        <v>78</v>
      </c>
    </row>
    <row r="14" spans="1:18" x14ac:dyDescent="0.25">
      <c r="A14" s="15"/>
      <c r="B14" s="25" t="s">
        <v>24</v>
      </c>
      <c r="C14" s="27"/>
      <c r="D14" s="28"/>
      <c r="E14" s="28"/>
      <c r="F14" s="28">
        <v>20700</v>
      </c>
      <c r="G14" s="28"/>
      <c r="H14" t="s">
        <v>79</v>
      </c>
    </row>
    <row r="15" spans="1:18" ht="15.75" x14ac:dyDescent="0.25">
      <c r="A15" s="29">
        <v>4</v>
      </c>
      <c r="B15" s="26" t="s">
        <v>25</v>
      </c>
      <c r="C15" s="21">
        <f>16150.68+706.16</f>
        <v>16856.84</v>
      </c>
      <c r="D15" s="22">
        <f>37608.61+10199.45+16008.23</f>
        <v>63816.289999999994</v>
      </c>
      <c r="E15" s="22">
        <f t="shared" ref="E15:E21" si="0">C15-D15</f>
        <v>-46959.45</v>
      </c>
      <c r="F15" s="22">
        <v>0</v>
      </c>
      <c r="G15" s="22">
        <f>D15-F15</f>
        <v>63816.289999999994</v>
      </c>
      <c r="H15" t="s">
        <v>80</v>
      </c>
    </row>
    <row r="16" spans="1:18" ht="31.5" x14ac:dyDescent="0.25">
      <c r="A16" s="29">
        <v>5</v>
      </c>
      <c r="B16" s="26" t="s">
        <v>62</v>
      </c>
      <c r="C16" s="21">
        <v>14060</v>
      </c>
      <c r="D16" s="22">
        <f>4749.45+1515.18+4500.81</f>
        <v>10765.44</v>
      </c>
      <c r="E16" s="22">
        <f t="shared" si="0"/>
        <v>3294.5599999999995</v>
      </c>
      <c r="F16" s="22">
        <v>0</v>
      </c>
      <c r="G16" s="22">
        <f>D16-F16</f>
        <v>10765.44</v>
      </c>
    </row>
    <row r="17" spans="1:18" ht="31.5" x14ac:dyDescent="0.25">
      <c r="A17" s="29">
        <v>6</v>
      </c>
      <c r="B17" s="26" t="s">
        <v>26</v>
      </c>
      <c r="C17" s="21">
        <v>154250</v>
      </c>
      <c r="D17" s="22">
        <v>154250</v>
      </c>
      <c r="E17" s="22">
        <f t="shared" si="0"/>
        <v>0</v>
      </c>
      <c r="F17" s="22">
        <v>69000</v>
      </c>
      <c r="G17" s="22">
        <f>D17-F17</f>
        <v>85250</v>
      </c>
    </row>
    <row r="18" spans="1:18" s="40" customFormat="1" ht="25.5" x14ac:dyDescent="0.2">
      <c r="A18" s="37"/>
      <c r="B18" s="25" t="s">
        <v>55</v>
      </c>
      <c r="C18" s="38"/>
      <c r="D18" s="39"/>
      <c r="E18" s="39"/>
      <c r="F18" s="28">
        <v>69000</v>
      </c>
      <c r="G18" s="39"/>
    </row>
    <row r="19" spans="1:18" ht="31.5" x14ac:dyDescent="0.25">
      <c r="A19" s="29">
        <v>7</v>
      </c>
      <c r="B19" s="26" t="s">
        <v>27</v>
      </c>
      <c r="C19" s="21">
        <v>0</v>
      </c>
      <c r="D19" s="22">
        <v>0</v>
      </c>
      <c r="E19" s="22">
        <f t="shared" si="0"/>
        <v>0</v>
      </c>
      <c r="F19" s="51">
        <v>0</v>
      </c>
      <c r="G19" s="22">
        <f t="shared" ref="G19:G20" si="1">D19-F19</f>
        <v>0</v>
      </c>
    </row>
    <row r="20" spans="1:18" ht="15.75" x14ac:dyDescent="0.25">
      <c r="A20" s="29">
        <v>8</v>
      </c>
      <c r="B20" s="26" t="s">
        <v>28</v>
      </c>
      <c r="C20" s="21">
        <v>9133.15</v>
      </c>
      <c r="D20" s="22">
        <f>3917.68+1338.5+2995.32</f>
        <v>8251.5</v>
      </c>
      <c r="E20" s="22">
        <f t="shared" si="0"/>
        <v>881.64999999999964</v>
      </c>
      <c r="F20" s="22">
        <v>0</v>
      </c>
      <c r="G20" s="22">
        <f t="shared" si="1"/>
        <v>8251.5</v>
      </c>
    </row>
    <row r="21" spans="1:18" ht="15.75" x14ac:dyDescent="0.25">
      <c r="A21" s="30">
        <v>9</v>
      </c>
      <c r="B21" s="31" t="s">
        <v>29</v>
      </c>
      <c r="C21" s="31">
        <f>C10+C11+C12+C15+C16+C17+C19+C20</f>
        <v>348851.91000000003</v>
      </c>
      <c r="D21" s="31">
        <f>D10+D11+D12+D15+D16+D17+D19+D20</f>
        <v>683561.23</v>
      </c>
      <c r="E21" s="31">
        <f t="shared" si="0"/>
        <v>-334709.31999999995</v>
      </c>
      <c r="F21" s="31">
        <f>F10+F11+F12+F15+F16+F17+F19+F20</f>
        <v>89700</v>
      </c>
      <c r="G21" s="31">
        <f>G10+G11+G12+G15+G16+G17+G19+G20</f>
        <v>593861.23</v>
      </c>
    </row>
    <row r="22" spans="1:18" ht="15.75" x14ac:dyDescent="0.25">
      <c r="A22" s="47"/>
      <c r="B22" s="48"/>
      <c r="C22" s="48"/>
      <c r="D22" s="48"/>
      <c r="E22" s="48"/>
      <c r="F22" s="48"/>
      <c r="G22" s="48"/>
    </row>
    <row r="23" spans="1:18" ht="15.75" x14ac:dyDescent="0.25">
      <c r="A23" s="47"/>
      <c r="B23" s="48"/>
      <c r="C23" s="48"/>
      <c r="D23" s="48"/>
      <c r="E23" s="48"/>
      <c r="F23" s="48"/>
      <c r="G23" s="48"/>
    </row>
    <row r="24" spans="1:18" ht="15.75" x14ac:dyDescent="0.25">
      <c r="A24" s="47"/>
      <c r="B24" s="48"/>
      <c r="C24" s="48"/>
      <c r="D24" s="48"/>
      <c r="E24" s="48"/>
      <c r="F24" s="48"/>
      <c r="G24" s="48"/>
    </row>
    <row r="25" spans="1:18" ht="15.75" x14ac:dyDescent="0.25">
      <c r="A25" s="47"/>
      <c r="B25" s="48"/>
      <c r="C25" s="48"/>
      <c r="D25" s="48"/>
      <c r="E25" s="48"/>
      <c r="F25" s="48"/>
      <c r="G25" s="48"/>
    </row>
    <row r="26" spans="1:18" ht="15.75" x14ac:dyDescent="0.25">
      <c r="A26" s="47"/>
      <c r="B26" s="48"/>
      <c r="C26" s="48"/>
      <c r="D26" s="48"/>
      <c r="E26" s="48"/>
      <c r="F26" s="48"/>
      <c r="G26" s="48"/>
    </row>
    <row r="27" spans="1:18" ht="15.75" x14ac:dyDescent="0.25">
      <c r="A27" s="47"/>
      <c r="B27" s="48"/>
      <c r="C27" s="48"/>
      <c r="D27" s="48"/>
      <c r="E27" s="48"/>
      <c r="F27" s="48"/>
      <c r="G27" s="48"/>
    </row>
    <row r="29" spans="1:18" x14ac:dyDescent="0.25">
      <c r="B29" s="1" t="s">
        <v>30</v>
      </c>
      <c r="D29" s="2"/>
      <c r="E29" s="2"/>
    </row>
    <row r="30" spans="1:18" x14ac:dyDescent="0.25">
      <c r="A30" s="2" t="s">
        <v>64</v>
      </c>
      <c r="B30" s="1"/>
      <c r="D30" s="2"/>
      <c r="E30" s="2"/>
    </row>
    <row r="31" spans="1:18" x14ac:dyDescent="0.25">
      <c r="B31" s="3"/>
      <c r="I31" t="s">
        <v>94</v>
      </c>
    </row>
    <row r="32" spans="1:18" x14ac:dyDescent="0.25">
      <c r="A32" s="4" t="s">
        <v>1</v>
      </c>
      <c r="B32" s="5" t="s">
        <v>2</v>
      </c>
      <c r="C32" s="9" t="s">
        <v>3</v>
      </c>
      <c r="D32" s="7" t="s">
        <v>4</v>
      </c>
      <c r="E32" s="7" t="s">
        <v>5</v>
      </c>
      <c r="F32" s="8" t="s">
        <v>6</v>
      </c>
      <c r="G32" s="9" t="s">
        <v>7</v>
      </c>
      <c r="H32" t="s">
        <v>119</v>
      </c>
      <c r="P32">
        <f>E35</f>
        <v>19152.950000000012</v>
      </c>
      <c r="Q32" t="s">
        <v>76</v>
      </c>
      <c r="R32" t="s">
        <v>83</v>
      </c>
    </row>
    <row r="33" spans="1:20" x14ac:dyDescent="0.25">
      <c r="A33" s="10" t="s">
        <v>8</v>
      </c>
      <c r="B33" s="11" t="s">
        <v>9</v>
      </c>
      <c r="C33" s="10" t="s">
        <v>10</v>
      </c>
      <c r="D33" s="10" t="s">
        <v>11</v>
      </c>
      <c r="E33" s="10" t="s">
        <v>11</v>
      </c>
      <c r="F33" s="13" t="s">
        <v>12</v>
      </c>
      <c r="G33" s="14" t="s">
        <v>13</v>
      </c>
      <c r="H33" s="50" t="s">
        <v>120</v>
      </c>
      <c r="I33" s="40"/>
      <c r="J33" s="40"/>
      <c r="K33" s="40"/>
      <c r="L33" s="40"/>
      <c r="M33" s="40"/>
      <c r="N33" s="40"/>
      <c r="O33" s="40"/>
      <c r="P33" s="50">
        <f>G35</f>
        <v>14130.220000000001</v>
      </c>
      <c r="Q33" s="40" t="s">
        <v>76</v>
      </c>
      <c r="R33" s="40" t="s">
        <v>86</v>
      </c>
      <c r="S33" s="40"/>
      <c r="T33" s="40"/>
    </row>
    <row r="34" spans="1:20" x14ac:dyDescent="0.25">
      <c r="A34" s="15"/>
      <c r="B34" s="16" t="s">
        <v>14</v>
      </c>
      <c r="C34" s="17" t="s">
        <v>15</v>
      </c>
      <c r="D34" s="18" t="s">
        <v>16</v>
      </c>
      <c r="E34" s="18" t="s">
        <v>17</v>
      </c>
      <c r="F34" s="18" t="s">
        <v>18</v>
      </c>
      <c r="G34" s="18" t="s">
        <v>19</v>
      </c>
      <c r="H34" s="50" t="s">
        <v>84</v>
      </c>
      <c r="Q34">
        <v>29986.89</v>
      </c>
      <c r="R34" t="s">
        <v>76</v>
      </c>
      <c r="S34" s="50" t="s">
        <v>85</v>
      </c>
    </row>
    <row r="35" spans="1:20" ht="15.75" x14ac:dyDescent="0.25">
      <c r="A35" s="29">
        <v>1</v>
      </c>
      <c r="B35" s="20" t="s">
        <v>31</v>
      </c>
      <c r="C35" s="22">
        <f>153197.29+45524.73+45755.82</f>
        <v>244477.84000000003</v>
      </c>
      <c r="D35" s="22">
        <f>133139.4+39221.19+52964.3</f>
        <v>225324.89</v>
      </c>
      <c r="E35" s="22">
        <f>C35-D35</f>
        <v>19152.950000000012</v>
      </c>
      <c r="F35" s="22">
        <f>SUM(F36:F53)</f>
        <v>211194.67</v>
      </c>
      <c r="G35" s="22">
        <f>D35-F35</f>
        <v>14130.220000000001</v>
      </c>
      <c r="H35" s="50" t="s">
        <v>121</v>
      </c>
      <c r="Q35">
        <f>E56</f>
        <v>11787.47000000003</v>
      </c>
      <c r="R35" t="s">
        <v>76</v>
      </c>
      <c r="S35" t="s">
        <v>87</v>
      </c>
    </row>
    <row r="36" spans="1:20" x14ac:dyDescent="0.25">
      <c r="A36" s="19"/>
      <c r="B36" s="23" t="s">
        <v>32</v>
      </c>
      <c r="C36" s="24"/>
      <c r="D36" s="24"/>
      <c r="E36" s="24"/>
      <c r="F36" s="35">
        <f>10180.83+13638.85</f>
        <v>23819.68</v>
      </c>
      <c r="G36" s="24"/>
      <c r="H36" t="s">
        <v>122</v>
      </c>
      <c r="Q36">
        <f>E59</f>
        <v>953.43000000005122</v>
      </c>
      <c r="R36" t="s">
        <v>76</v>
      </c>
      <c r="S36" t="s">
        <v>88</v>
      </c>
    </row>
    <row r="37" spans="1:20" x14ac:dyDescent="0.25">
      <c r="A37" s="19"/>
      <c r="B37" s="23" t="s">
        <v>60</v>
      </c>
      <c r="C37" s="24"/>
      <c r="D37" s="24"/>
      <c r="E37" s="24"/>
      <c r="F37" s="35">
        <v>8464.91</v>
      </c>
      <c r="G37" s="24"/>
      <c r="H37" t="s">
        <v>93</v>
      </c>
      <c r="Q37">
        <f>G59</f>
        <v>228252.88999999996</v>
      </c>
      <c r="R37" t="s">
        <v>76</v>
      </c>
      <c r="S37" t="s">
        <v>90</v>
      </c>
    </row>
    <row r="38" spans="1:20" x14ac:dyDescent="0.25">
      <c r="A38" s="19"/>
      <c r="B38" s="23" t="s">
        <v>61</v>
      </c>
      <c r="C38" s="24"/>
      <c r="D38" s="24"/>
      <c r="E38" s="24"/>
      <c r="F38" s="35">
        <v>8.9600000000000009</v>
      </c>
      <c r="G38" s="24"/>
      <c r="H38" t="s">
        <v>91</v>
      </c>
    </row>
    <row r="39" spans="1:20" x14ac:dyDescent="0.25">
      <c r="A39" s="19"/>
      <c r="B39" s="23" t="s">
        <v>33</v>
      </c>
      <c r="C39" s="24"/>
      <c r="D39" s="24"/>
      <c r="E39" s="24"/>
      <c r="F39" s="35">
        <v>452</v>
      </c>
      <c r="G39" s="24"/>
    </row>
    <row r="40" spans="1:20" x14ac:dyDescent="0.25">
      <c r="A40" s="19"/>
      <c r="B40" s="23" t="s">
        <v>118</v>
      </c>
      <c r="C40" s="24"/>
      <c r="D40" s="24"/>
      <c r="E40" s="24"/>
      <c r="F40" s="42">
        <v>372</v>
      </c>
      <c r="G40" s="24"/>
    </row>
    <row r="41" spans="1:20" x14ac:dyDescent="0.25">
      <c r="A41" s="19"/>
      <c r="B41" s="23" t="s">
        <v>34</v>
      </c>
      <c r="C41" s="24"/>
      <c r="D41" s="24"/>
      <c r="E41" s="24"/>
      <c r="F41" s="42">
        <f>24000+3000</f>
        <v>27000</v>
      </c>
      <c r="G41" s="24"/>
    </row>
    <row r="42" spans="1:20" x14ac:dyDescent="0.25">
      <c r="A42" s="19"/>
      <c r="B42" s="23" t="s">
        <v>35</v>
      </c>
      <c r="C42" s="24"/>
      <c r="D42" s="24"/>
      <c r="E42" s="24"/>
      <c r="F42" s="42">
        <f>3532-900+1002</f>
        <v>3634</v>
      </c>
      <c r="G42" s="24"/>
    </row>
    <row r="43" spans="1:20" x14ac:dyDescent="0.25">
      <c r="A43" s="19"/>
      <c r="B43" s="23" t="s">
        <v>36</v>
      </c>
      <c r="C43" s="24"/>
      <c r="D43" s="24"/>
      <c r="E43" s="24"/>
      <c r="F43" s="42">
        <f>45154.96-24221.12+9839.83</f>
        <v>30773.67</v>
      </c>
      <c r="G43" s="24"/>
    </row>
    <row r="44" spans="1:20" x14ac:dyDescent="0.25">
      <c r="A44" s="19"/>
      <c r="B44" s="23" t="s">
        <v>37</v>
      </c>
      <c r="C44" s="24"/>
      <c r="D44" s="24"/>
      <c r="E44" s="24"/>
      <c r="F44" s="42">
        <f>57704.82+392+3.82+55.39+154.54</f>
        <v>58310.57</v>
      </c>
      <c r="G44" s="24"/>
    </row>
    <row r="45" spans="1:20" x14ac:dyDescent="0.25">
      <c r="A45" s="19"/>
      <c r="B45" s="23" t="s">
        <v>57</v>
      </c>
      <c r="C45" s="24"/>
      <c r="D45" s="24"/>
      <c r="E45" s="24"/>
      <c r="F45" s="42">
        <f>10226.47+5000+1971.21</f>
        <v>17197.68</v>
      </c>
      <c r="G45" s="24"/>
    </row>
    <row r="46" spans="1:20" x14ac:dyDescent="0.25">
      <c r="A46" s="19"/>
      <c r="B46" s="23" t="s">
        <v>38</v>
      </c>
      <c r="C46" s="24"/>
      <c r="D46" s="24"/>
      <c r="E46" s="24"/>
      <c r="F46" s="42">
        <f>11956+5000</f>
        <v>16956</v>
      </c>
      <c r="G46" s="24"/>
    </row>
    <row r="47" spans="1:20" x14ac:dyDescent="0.25">
      <c r="A47" s="19"/>
      <c r="B47" s="23" t="s">
        <v>114</v>
      </c>
      <c r="C47" s="24"/>
      <c r="D47" s="24"/>
      <c r="E47" s="24"/>
      <c r="F47" s="42">
        <v>2000</v>
      </c>
      <c r="G47" s="24"/>
    </row>
    <row r="48" spans="1:20" x14ac:dyDescent="0.25">
      <c r="A48" s="19"/>
      <c r="B48" s="23" t="s">
        <v>115</v>
      </c>
      <c r="C48" s="24"/>
      <c r="D48" s="24"/>
      <c r="E48" s="24"/>
      <c r="F48" s="42">
        <v>833</v>
      </c>
      <c r="G48" s="24"/>
    </row>
    <row r="49" spans="1:16" x14ac:dyDescent="0.25">
      <c r="A49" s="19"/>
      <c r="B49" s="23" t="s">
        <v>116</v>
      </c>
      <c r="C49" s="24"/>
      <c r="D49" s="24"/>
      <c r="E49" s="24"/>
      <c r="F49" s="42">
        <v>3728.2</v>
      </c>
      <c r="G49" s="24"/>
    </row>
    <row r="50" spans="1:16" x14ac:dyDescent="0.25">
      <c r="A50" s="19"/>
      <c r="B50" s="23" t="s">
        <v>117</v>
      </c>
      <c r="C50" s="24"/>
      <c r="D50" s="24"/>
      <c r="E50" s="24"/>
      <c r="F50" s="42">
        <f>1700+1400</f>
        <v>3100</v>
      </c>
      <c r="G50" s="24"/>
    </row>
    <row r="51" spans="1:16" x14ac:dyDescent="0.25">
      <c r="A51" s="19"/>
      <c r="B51" s="28" t="s">
        <v>39</v>
      </c>
      <c r="C51" s="24"/>
      <c r="D51" s="24"/>
      <c r="E51" s="24"/>
      <c r="F51" s="42">
        <v>1200</v>
      </c>
      <c r="G51" s="24"/>
    </row>
    <row r="52" spans="1:16" x14ac:dyDescent="0.25">
      <c r="A52" s="19"/>
      <c r="B52" s="23" t="s">
        <v>40</v>
      </c>
      <c r="C52" s="24"/>
      <c r="D52" s="24"/>
      <c r="E52" s="24"/>
      <c r="F52" s="42">
        <v>1000</v>
      </c>
      <c r="G52" s="24"/>
    </row>
    <row r="53" spans="1:16" x14ac:dyDescent="0.25">
      <c r="A53" s="19"/>
      <c r="B53" s="23" t="s">
        <v>41</v>
      </c>
      <c r="C53" s="24"/>
      <c r="D53" s="24"/>
      <c r="E53" s="24"/>
      <c r="F53" s="42">
        <v>12344</v>
      </c>
      <c r="G53" s="24"/>
    </row>
    <row r="54" spans="1:16" ht="15.75" x14ac:dyDescent="0.25">
      <c r="A54" s="29">
        <v>2</v>
      </c>
      <c r="B54" s="20" t="s">
        <v>42</v>
      </c>
      <c r="C54" s="22">
        <v>13907.96</v>
      </c>
      <c r="D54" s="22">
        <f>37650.26+2585+3659.69</f>
        <v>43894.950000000004</v>
      </c>
      <c r="E54" s="22">
        <f>C54-D54</f>
        <v>-29986.990000000005</v>
      </c>
      <c r="F54" s="51">
        <f>F55</f>
        <v>24221.119999999999</v>
      </c>
      <c r="G54" s="22">
        <f>D54-F54</f>
        <v>19673.830000000005</v>
      </c>
    </row>
    <row r="55" spans="1:16" x14ac:dyDescent="0.25">
      <c r="A55" s="19"/>
      <c r="B55" s="23" t="s">
        <v>43</v>
      </c>
      <c r="C55" s="24"/>
      <c r="D55" s="24"/>
      <c r="E55" s="24"/>
      <c r="F55" s="42">
        <f>24221.12</f>
        <v>24221.119999999999</v>
      </c>
      <c r="G55" s="24"/>
    </row>
    <row r="56" spans="1:16" ht="15.75" x14ac:dyDescent="0.25">
      <c r="A56" s="19">
        <v>3</v>
      </c>
      <c r="B56" s="26" t="s">
        <v>44</v>
      </c>
      <c r="C56" s="22">
        <f>271998+81558+81972</f>
        <v>435528</v>
      </c>
      <c r="D56" s="22">
        <f>242583.33+88810.91+92346.29</f>
        <v>423740.52999999997</v>
      </c>
      <c r="E56" s="22">
        <f>C56-D56</f>
        <v>11787.47000000003</v>
      </c>
      <c r="F56" s="52">
        <f>F57+F58</f>
        <v>229291.69</v>
      </c>
      <c r="G56" s="22">
        <f>D56-F56</f>
        <v>194448.83999999997</v>
      </c>
    </row>
    <row r="57" spans="1:16" x14ac:dyDescent="0.25">
      <c r="A57" s="19"/>
      <c r="B57" s="25" t="s">
        <v>59</v>
      </c>
      <c r="C57" s="43"/>
      <c r="D57" s="43"/>
      <c r="E57" s="43"/>
      <c r="F57" s="42">
        <v>47078.11</v>
      </c>
      <c r="G57" s="43"/>
    </row>
    <row r="58" spans="1:16" x14ac:dyDescent="0.25">
      <c r="A58" s="44"/>
      <c r="B58" s="25" t="s">
        <v>81</v>
      </c>
      <c r="C58" s="28"/>
      <c r="D58" s="28"/>
      <c r="E58" s="28"/>
      <c r="F58" s="35">
        <f>179568.7+1897+747.88</f>
        <v>182213.58000000002</v>
      </c>
      <c r="G58" s="28"/>
    </row>
    <row r="59" spans="1:16" ht="15.75" x14ac:dyDescent="0.25">
      <c r="A59" s="31">
        <v>4</v>
      </c>
      <c r="B59" s="31" t="s">
        <v>45</v>
      </c>
      <c r="C59" s="31">
        <f>C35+C54+C56</f>
        <v>693913.8</v>
      </c>
      <c r="D59" s="31">
        <f>D35+D54+D56</f>
        <v>692960.37</v>
      </c>
      <c r="E59" s="31">
        <f>C59-D59</f>
        <v>953.43000000005122</v>
      </c>
      <c r="F59" s="31">
        <f>F35+F54+F56</f>
        <v>464707.48</v>
      </c>
      <c r="G59" s="31">
        <f>G35+G54+G56</f>
        <v>228252.88999999996</v>
      </c>
    </row>
    <row r="60" spans="1:16" ht="15.75" x14ac:dyDescent="0.25">
      <c r="A60" s="48"/>
      <c r="B60" s="48"/>
      <c r="C60" s="48"/>
      <c r="D60" s="48"/>
      <c r="E60" s="48"/>
      <c r="F60" s="48"/>
      <c r="G60" s="48"/>
      <c r="N60">
        <f>E69</f>
        <v>28278.87999999999</v>
      </c>
      <c r="O60" t="s">
        <v>76</v>
      </c>
      <c r="P60" t="s">
        <v>96</v>
      </c>
    </row>
    <row r="61" spans="1:16" ht="15.75" x14ac:dyDescent="0.25">
      <c r="A61" s="48"/>
      <c r="B61" s="48"/>
      <c r="C61" s="48"/>
      <c r="D61" s="48"/>
      <c r="E61" s="48"/>
      <c r="F61" s="48"/>
      <c r="G61" s="48"/>
    </row>
    <row r="62" spans="1:16" ht="15.75" x14ac:dyDescent="0.25">
      <c r="A62" s="48"/>
      <c r="B62" s="48"/>
      <c r="C62" s="48"/>
      <c r="D62" s="48"/>
      <c r="E62" s="48"/>
      <c r="F62" s="48"/>
      <c r="G62" s="48"/>
      <c r="I62" t="s">
        <v>95</v>
      </c>
    </row>
    <row r="63" spans="1:16" x14ac:dyDescent="0.25">
      <c r="B63" s="1" t="s">
        <v>46</v>
      </c>
      <c r="C63" s="2"/>
    </row>
    <row r="64" spans="1:16" x14ac:dyDescent="0.25">
      <c r="A64" s="2" t="s">
        <v>65</v>
      </c>
      <c r="B64" s="1"/>
      <c r="C64" s="2"/>
      <c r="H64" t="s">
        <v>98</v>
      </c>
    </row>
    <row r="65" spans="1:9" x14ac:dyDescent="0.25">
      <c r="B65" s="3"/>
      <c r="H65" t="s">
        <v>123</v>
      </c>
    </row>
    <row r="66" spans="1:9" x14ac:dyDescent="0.25">
      <c r="A66" s="4" t="s">
        <v>1</v>
      </c>
      <c r="B66" s="5" t="s">
        <v>2</v>
      </c>
      <c r="C66" s="9" t="s">
        <v>3</v>
      </c>
      <c r="D66" s="7" t="s">
        <v>4</v>
      </c>
      <c r="E66" s="7" t="s">
        <v>5</v>
      </c>
      <c r="F66" s="8" t="s">
        <v>6</v>
      </c>
      <c r="G66" s="9" t="s">
        <v>7</v>
      </c>
      <c r="H66" t="s">
        <v>97</v>
      </c>
    </row>
    <row r="67" spans="1:9" x14ac:dyDescent="0.25">
      <c r="A67" s="10" t="s">
        <v>8</v>
      </c>
      <c r="B67" s="11" t="s">
        <v>9</v>
      </c>
      <c r="C67" s="10" t="s">
        <v>10</v>
      </c>
      <c r="D67" s="10" t="s">
        <v>11</v>
      </c>
      <c r="E67" s="10" t="s">
        <v>11</v>
      </c>
      <c r="F67" s="13" t="s">
        <v>12</v>
      </c>
      <c r="G67" s="14" t="s">
        <v>13</v>
      </c>
      <c r="H67" t="s">
        <v>99</v>
      </c>
    </row>
    <row r="68" spans="1:9" x14ac:dyDescent="0.25">
      <c r="A68" s="15"/>
      <c r="B68" s="16" t="s">
        <v>14</v>
      </c>
      <c r="C68" s="17" t="s">
        <v>15</v>
      </c>
      <c r="D68" s="18" t="s">
        <v>16</v>
      </c>
      <c r="E68" s="18" t="s">
        <v>17</v>
      </c>
      <c r="F68" s="18" t="s">
        <v>18</v>
      </c>
      <c r="G68" s="18" t="s">
        <v>19</v>
      </c>
      <c r="H68" t="s">
        <v>100</v>
      </c>
    </row>
    <row r="69" spans="1:9" ht="15.75" x14ac:dyDescent="0.25">
      <c r="A69" s="29">
        <v>1</v>
      </c>
      <c r="B69" s="20" t="s">
        <v>47</v>
      </c>
      <c r="C69" s="22">
        <f>96982.82+27038.52+28302.38</f>
        <v>152323.72</v>
      </c>
      <c r="D69" s="22">
        <f>70900.52+22598.19+30546.13</f>
        <v>124044.84000000001</v>
      </c>
      <c r="E69" s="22">
        <f>C69-D69</f>
        <v>28278.87999999999</v>
      </c>
      <c r="F69" s="22">
        <f>F70</f>
        <v>213192</v>
      </c>
      <c r="G69" s="22">
        <f>D69-F69</f>
        <v>-89147.159999999989</v>
      </c>
      <c r="H69" t="s">
        <v>124</v>
      </c>
    </row>
    <row r="70" spans="1:9" ht="15.75" x14ac:dyDescent="0.25">
      <c r="A70" s="29"/>
      <c r="B70" s="23" t="s">
        <v>48</v>
      </c>
      <c r="C70" s="28"/>
      <c r="D70" s="28"/>
      <c r="E70" s="28"/>
      <c r="F70" s="34">
        <f>156340.8+25583.04+5685.12+25583.04</f>
        <v>213192</v>
      </c>
      <c r="G70" s="28"/>
      <c r="H70" t="s">
        <v>125</v>
      </c>
      <c r="I70" t="s">
        <v>126</v>
      </c>
    </row>
    <row r="71" spans="1:9" ht="31.5" x14ac:dyDescent="0.25">
      <c r="A71" s="29">
        <v>2</v>
      </c>
      <c r="B71" s="20" t="s">
        <v>58</v>
      </c>
      <c r="C71" s="22">
        <v>15398.46</v>
      </c>
      <c r="D71" s="22">
        <f>151.53+6910.35</f>
        <v>7061.88</v>
      </c>
      <c r="E71" s="22">
        <f>C71-D71</f>
        <v>8336.5799999999981</v>
      </c>
      <c r="F71" s="51">
        <v>15165.07</v>
      </c>
      <c r="G71" s="22">
        <f>D71-F71</f>
        <v>-8103.19</v>
      </c>
      <c r="H71" t="s">
        <v>127</v>
      </c>
    </row>
    <row r="72" spans="1:9" ht="31.5" x14ac:dyDescent="0.25">
      <c r="A72" s="29">
        <v>3</v>
      </c>
      <c r="B72" s="20" t="s">
        <v>49</v>
      </c>
      <c r="C72" s="22">
        <f>69252.46+19053.09+19206.07</f>
        <v>107511.62</v>
      </c>
      <c r="D72" s="22">
        <f>50185.41+15497.21+21782.82</f>
        <v>87465.44</v>
      </c>
      <c r="E72" s="22">
        <f>C72-D72</f>
        <v>20046.179999999993</v>
      </c>
      <c r="F72" s="22">
        <v>0</v>
      </c>
      <c r="G72" s="22">
        <v>0</v>
      </c>
      <c r="H72" t="s">
        <v>101</v>
      </c>
    </row>
    <row r="73" spans="1:9" ht="15.75" x14ac:dyDescent="0.25">
      <c r="A73" s="29">
        <v>4</v>
      </c>
      <c r="B73" s="20" t="s">
        <v>50</v>
      </c>
      <c r="C73" s="22">
        <f>346692.17+95756.53+96525.34</f>
        <v>538974.03999999992</v>
      </c>
      <c r="D73" s="22">
        <f>258985.15+77812.99+110157.72</f>
        <v>446955.86</v>
      </c>
      <c r="E73" s="22">
        <f>C73-D73</f>
        <v>92018.179999999935</v>
      </c>
      <c r="F73" s="22">
        <f>SUM(F74:F77)</f>
        <v>625287.94999999995</v>
      </c>
      <c r="G73" s="22">
        <f>D73-F73</f>
        <v>-178332.08999999997</v>
      </c>
      <c r="H73" t="s">
        <v>128</v>
      </c>
    </row>
    <row r="74" spans="1:9" x14ac:dyDescent="0.25">
      <c r="A74" s="32"/>
      <c r="B74" s="23" t="s">
        <v>51</v>
      </c>
      <c r="C74" s="24"/>
      <c r="D74" s="24"/>
      <c r="E74" s="24"/>
      <c r="F74" s="35">
        <v>4942.45</v>
      </c>
      <c r="G74" s="24"/>
      <c r="H74" t="s">
        <v>102</v>
      </c>
    </row>
    <row r="75" spans="1:9" x14ac:dyDescent="0.25">
      <c r="A75" s="32"/>
      <c r="B75" s="23" t="s">
        <v>52</v>
      </c>
      <c r="C75" s="24"/>
      <c r="D75" s="24"/>
      <c r="E75" s="24"/>
      <c r="F75" s="35">
        <v>79500</v>
      </c>
      <c r="G75" s="24"/>
      <c r="H75" t="s">
        <v>129</v>
      </c>
    </row>
    <row r="76" spans="1:9" x14ac:dyDescent="0.25">
      <c r="A76" s="32"/>
      <c r="B76" s="23" t="s">
        <v>56</v>
      </c>
      <c r="C76" s="24"/>
      <c r="D76" s="24"/>
      <c r="E76" s="24"/>
      <c r="F76" s="35">
        <v>25035.5</v>
      </c>
      <c r="G76" s="24"/>
      <c r="H76" t="s">
        <v>104</v>
      </c>
    </row>
    <row r="77" spans="1:9" x14ac:dyDescent="0.25">
      <c r="A77" s="32"/>
      <c r="B77" s="23" t="s">
        <v>53</v>
      </c>
      <c r="C77" s="24"/>
      <c r="D77" s="24"/>
      <c r="E77" s="24"/>
      <c r="F77" s="35">
        <f>340130+87840+87840</f>
        <v>515810</v>
      </c>
      <c r="G77" s="24"/>
      <c r="H77" t="s">
        <v>106</v>
      </c>
    </row>
    <row r="78" spans="1:9" ht="15.75" x14ac:dyDescent="0.25">
      <c r="A78" s="29">
        <v>5</v>
      </c>
      <c r="B78" s="20" t="s">
        <v>110</v>
      </c>
      <c r="C78" s="22">
        <v>-924.14</v>
      </c>
      <c r="D78" s="22">
        <v>0</v>
      </c>
      <c r="E78" s="22">
        <f>C78-D78</f>
        <v>-924.14</v>
      </c>
      <c r="F78" s="36"/>
      <c r="G78" s="22">
        <f>D78-F78</f>
        <v>0</v>
      </c>
      <c r="H78" t="s">
        <v>103</v>
      </c>
    </row>
    <row r="79" spans="1:9" ht="15.75" x14ac:dyDescent="0.25">
      <c r="A79" s="29">
        <v>6</v>
      </c>
      <c r="B79" s="26" t="s">
        <v>54</v>
      </c>
      <c r="C79" s="22">
        <f>124409.29+38475.47+38784.24</f>
        <v>201669</v>
      </c>
      <c r="D79" s="22">
        <f>96893.7+30498.6+39572.66</f>
        <v>166964.96</v>
      </c>
      <c r="E79" s="22">
        <f>C79-D79</f>
        <v>34704.040000000008</v>
      </c>
      <c r="F79" s="36">
        <f>102233.83+30564.36+8763.36</f>
        <v>141561.54999999999</v>
      </c>
      <c r="G79" s="22">
        <f>D79-F79</f>
        <v>25403.410000000003</v>
      </c>
      <c r="H79" t="s">
        <v>107</v>
      </c>
    </row>
    <row r="80" spans="1:9" ht="15.75" x14ac:dyDescent="0.25">
      <c r="A80" s="30">
        <v>7</v>
      </c>
      <c r="B80" s="31" t="s">
        <v>45</v>
      </c>
      <c r="C80" s="31">
        <f>C69+C71+C72+C73+C78+C79</f>
        <v>1014952.6999999998</v>
      </c>
      <c r="D80" s="31">
        <f t="shared" ref="D80:G80" si="2">D69+D71+D72+D73+D78+D79</f>
        <v>832492.98</v>
      </c>
      <c r="E80" s="31">
        <f t="shared" si="2"/>
        <v>182459.71999999991</v>
      </c>
      <c r="F80" s="31">
        <f t="shared" si="2"/>
        <v>995206.57000000007</v>
      </c>
      <c r="G80" s="31">
        <f t="shared" si="2"/>
        <v>-250179.02999999994</v>
      </c>
      <c r="H80" t="s">
        <v>105</v>
      </c>
    </row>
    <row r="81" spans="2:8" x14ac:dyDescent="0.25">
      <c r="H81" t="s">
        <v>130</v>
      </c>
    </row>
    <row r="82" spans="2:8" ht="18.75" x14ac:dyDescent="0.3">
      <c r="B82" s="45" t="s">
        <v>66</v>
      </c>
      <c r="C82" s="45">
        <f>C21+C59+C80</f>
        <v>2057718.41</v>
      </c>
      <c r="D82" s="45">
        <f>D21+D59+D80</f>
        <v>2209014.58</v>
      </c>
      <c r="E82" s="45">
        <f>E21+E59+E80</f>
        <v>-151296.16999999998</v>
      </c>
      <c r="F82" s="45">
        <f>F21+F59+F80</f>
        <v>1549614.05</v>
      </c>
      <c r="G82" s="45">
        <f>G21+G59+G80</f>
        <v>571935.09</v>
      </c>
      <c r="H82" t="s">
        <v>131</v>
      </c>
    </row>
    <row r="83" spans="2:8" x14ac:dyDescent="0.25">
      <c r="H83" t="s">
        <v>108</v>
      </c>
    </row>
    <row r="84" spans="2:8" x14ac:dyDescent="0.25">
      <c r="H84" t="s">
        <v>109</v>
      </c>
    </row>
    <row r="85" spans="2:8" s="41" customFormat="1" ht="15.75" x14ac:dyDescent="0.25">
      <c r="H85" t="s">
        <v>132</v>
      </c>
    </row>
    <row r="86" spans="2:8" x14ac:dyDescent="0.25">
      <c r="H86" t="s">
        <v>133</v>
      </c>
    </row>
    <row r="87" spans="2:8" x14ac:dyDescent="0.25">
      <c r="H87" t="s">
        <v>134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АХД с 1.03-1.08.2016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Лена-ноут</dc:creator>
  <cp:lastModifiedBy>Лена-ноут</cp:lastModifiedBy>
  <cp:lastPrinted>2016-09-01T04:32:52Z</cp:lastPrinted>
  <dcterms:created xsi:type="dcterms:W3CDTF">2016-07-10T17:24:21Z</dcterms:created>
  <dcterms:modified xsi:type="dcterms:W3CDTF">2016-09-01T04:36:09Z</dcterms:modified>
</cp:coreProperties>
</file>