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/>
  </bookViews>
  <sheets>
    <sheet name="целевые " sheetId="1" r:id="rId1"/>
  </sheets>
  <calcPr calcId="145621"/>
</workbook>
</file>

<file path=xl/calcChain.xml><?xml version="1.0" encoding="utf-8"?>
<calcChain xmlns="http://schemas.openxmlformats.org/spreadsheetml/2006/main">
  <c r="D81" i="1" l="1"/>
  <c r="G81" i="1" s="1"/>
  <c r="C81" i="1"/>
  <c r="E81" i="1" s="1"/>
  <c r="F80" i="1"/>
  <c r="F77" i="1"/>
  <c r="D77" i="1"/>
  <c r="C77" i="1"/>
  <c r="E77" i="1" s="1"/>
  <c r="D76" i="1"/>
  <c r="C76" i="1"/>
  <c r="E76" i="1" s="1"/>
  <c r="G75" i="1"/>
  <c r="E75" i="1"/>
  <c r="F72" i="1"/>
  <c r="D72" i="1"/>
  <c r="G72" i="1" s="1"/>
  <c r="C72" i="1"/>
  <c r="F61" i="1"/>
  <c r="D61" i="1"/>
  <c r="C61" i="1"/>
  <c r="E61" i="1" s="1"/>
  <c r="F60" i="1"/>
  <c r="F58" i="1"/>
  <c r="D58" i="1"/>
  <c r="F49" i="1"/>
  <c r="F46" i="1"/>
  <c r="F45" i="1"/>
  <c r="F44" i="1"/>
  <c r="F41" i="1"/>
  <c r="F40" i="1" s="1"/>
  <c r="F64" i="1" s="1"/>
  <c r="D40" i="1"/>
  <c r="C40" i="1"/>
  <c r="G40" i="1" l="1"/>
  <c r="C64" i="1"/>
  <c r="G58" i="1"/>
  <c r="G61" i="1"/>
  <c r="C82" i="1"/>
  <c r="F82" i="1"/>
  <c r="G77" i="1"/>
  <c r="G82" i="1" s="1"/>
  <c r="E82" i="1"/>
  <c r="D82" i="1"/>
  <c r="E72" i="1"/>
  <c r="E58" i="1"/>
  <c r="D64" i="1"/>
  <c r="E64" i="1" s="1"/>
  <c r="E40" i="1"/>
  <c r="G64" i="1" l="1"/>
  <c r="D23" i="1" l="1"/>
  <c r="C23" i="1"/>
  <c r="D29" i="1"/>
  <c r="C29" i="1"/>
  <c r="D21" i="1"/>
  <c r="C21" i="1"/>
  <c r="D18" i="1"/>
  <c r="C18" i="1"/>
  <c r="D16" i="1"/>
  <c r="C16" i="1"/>
  <c r="D9" i="1"/>
  <c r="C9" i="1"/>
  <c r="D25" i="1"/>
  <c r="C25" i="1"/>
  <c r="F25" i="1" l="1"/>
  <c r="E29" i="1" l="1"/>
  <c r="E28" i="1"/>
  <c r="E25" i="1"/>
  <c r="E23" i="1"/>
  <c r="E21" i="1"/>
  <c r="E18" i="1"/>
  <c r="E16" i="1"/>
  <c r="E9" i="1"/>
  <c r="D30" i="1" l="1"/>
  <c r="D84" i="1" s="1"/>
  <c r="C30" i="1"/>
  <c r="C84" i="1" s="1"/>
  <c r="G29" i="1"/>
  <c r="G28" i="1"/>
  <c r="G25" i="1"/>
  <c r="F23" i="1"/>
  <c r="G23" i="1" s="1"/>
  <c r="G21" i="1"/>
  <c r="F18" i="1"/>
  <c r="G18" i="1" s="1"/>
  <c r="G16" i="1"/>
  <c r="F9" i="1"/>
  <c r="F30" i="1" s="1"/>
  <c r="F84" i="1" s="1"/>
  <c r="G9" i="1" l="1"/>
  <c r="G30" i="1" s="1"/>
  <c r="G84" i="1" s="1"/>
  <c r="E30" i="1"/>
  <c r="E84" i="1" s="1"/>
</calcChain>
</file>

<file path=xl/sharedStrings.xml><?xml version="1.0" encoding="utf-8"?>
<sst xmlns="http://schemas.openxmlformats.org/spreadsheetml/2006/main" count="202" uniqueCount="158">
  <si>
    <t>ЦЕЛЕВЫЕ ВЗНОСЫ</t>
  </si>
  <si>
    <t>Целевые сборы</t>
  </si>
  <si>
    <t>Целевой сбор на пост охраны</t>
  </si>
  <si>
    <t>Целевой сбор на туалет  охраны</t>
  </si>
  <si>
    <t>Проект по примыканию дороги</t>
  </si>
  <si>
    <t>Возмещение затрат по э/эн. Новокосулино 2</t>
  </si>
  <si>
    <t>Целевой сбор на уличн. Освещ.</t>
  </si>
  <si>
    <t>начислено</t>
  </si>
  <si>
    <t>собственникам</t>
  </si>
  <si>
    <t>оплачено</t>
  </si>
  <si>
    <t>собственниками</t>
  </si>
  <si>
    <t>расходование</t>
  </si>
  <si>
    <t>покупка земли у ЗАО БСО</t>
  </si>
  <si>
    <t>регистрация права</t>
  </si>
  <si>
    <t>увеличение мощности ТП МРСК Урала</t>
  </si>
  <si>
    <t>техприсоединение ТП МРСК Урала</t>
  </si>
  <si>
    <t>проектные работы на ТП ООО Энергетик</t>
  </si>
  <si>
    <t>аванс на строительство ТП ЗАО СК Энергия</t>
  </si>
  <si>
    <t>ДС с расч счета</t>
  </si>
  <si>
    <t>вагончик охраны ООО Стройпроект</t>
  </si>
  <si>
    <t>умывальник ООО Лейберов</t>
  </si>
  <si>
    <t>туалет ООО Атэко</t>
  </si>
  <si>
    <t>авас за проект ООО Строй СП</t>
  </si>
  <si>
    <t>Восстановление уличного освещения  ООО КвантМ</t>
  </si>
  <si>
    <t>строительство электросетей ЗАО СК Энергия</t>
  </si>
  <si>
    <t>Итого</t>
  </si>
  <si>
    <t>Расходы ДНП</t>
  </si>
  <si>
    <t>Механизированная уборка снега</t>
  </si>
  <si>
    <t>Управляющий</t>
  </si>
  <si>
    <t>штрафы ИФНС 31</t>
  </si>
  <si>
    <t>налог на землю ИФНС 29</t>
  </si>
  <si>
    <t>изготовление банера РИЦ Диагональ</t>
  </si>
  <si>
    <t>обслуживание шлагбаума ООО Бастион</t>
  </si>
  <si>
    <t>продление домена ООО Конструктор</t>
  </si>
  <si>
    <t>уборка территории, покос травы ИП Рыцев</t>
  </si>
  <si>
    <t>услуги транспрта Грейдер ООО Монолит</t>
  </si>
  <si>
    <t>скальный грунт на 2 линию ИП Вайзуленко</t>
  </si>
  <si>
    <t>аварийный ремонт ТП ООО Фаворит</t>
  </si>
  <si>
    <t>зарплата бухгалтера с налогами</t>
  </si>
  <si>
    <t>возмещение расходов бухг.</t>
  </si>
  <si>
    <t>уборка снега Энергоспецстрой</t>
  </si>
  <si>
    <t>прожектор ООО Светолюкс</t>
  </si>
  <si>
    <t>радиопульт ООО Бастион</t>
  </si>
  <si>
    <t>Камера на охрану ООО Большой брат</t>
  </si>
  <si>
    <t>улуги банка сбербанк</t>
  </si>
  <si>
    <t>КОММУНАЛЬНЫЕ УСЛУГИ</t>
  </si>
  <si>
    <t>Вывоз ТБО и КГМ</t>
  </si>
  <si>
    <t>Расчетно-кассовое обслуживание</t>
  </si>
  <si>
    <t>Охрана</t>
  </si>
  <si>
    <t>ТО и ТР газопровода</t>
  </si>
  <si>
    <t>Вывоз ТБО и КГМ  ООО Грин Сервис</t>
  </si>
  <si>
    <t>Вывоз ТБО и КГМ  ИП Рыцев</t>
  </si>
  <si>
    <t>ЧОП Мир и К</t>
  </si>
  <si>
    <t>ЧОП Притор</t>
  </si>
  <si>
    <t>ЧОП Сигнал Р</t>
  </si>
  <si>
    <t>итого</t>
  </si>
  <si>
    <t>ООО Монолит</t>
  </si>
  <si>
    <t>РАСХОДЫ ДНП,  УПРАВЛЯЮЩИЙ</t>
  </si>
  <si>
    <t>долг за</t>
  </si>
  <si>
    <t xml:space="preserve">Наименование </t>
  </si>
  <si>
    <t>сборов</t>
  </si>
  <si>
    <t>№</t>
  </si>
  <si>
    <t>строки</t>
  </si>
  <si>
    <t>графа1</t>
  </si>
  <si>
    <t>графа2</t>
  </si>
  <si>
    <t>графа3</t>
  </si>
  <si>
    <t>графа4</t>
  </si>
  <si>
    <t>графа5</t>
  </si>
  <si>
    <t>графа6</t>
  </si>
  <si>
    <t>за период с 03.2014 г. по 1.07.2016 г.</t>
  </si>
  <si>
    <t>перерасход(-)</t>
  </si>
  <si>
    <t>экономия(+)</t>
  </si>
  <si>
    <t>ИП Кренец С.Н. услуги спец техники отсыпка дороги</t>
  </si>
  <si>
    <t>госпошлина</t>
  </si>
  <si>
    <t>зарплата юриста с налогами</t>
  </si>
  <si>
    <t>Ип Клинов</t>
  </si>
  <si>
    <t>Возмещение затрат на потери трансформаторной подстанции</t>
  </si>
  <si>
    <t xml:space="preserve">Ремонт дорог и восстановление уличного освещения </t>
  </si>
  <si>
    <t xml:space="preserve">                      Анализ хозяйственной деятельности (АХД) ДНП "КП Новокосулино"</t>
  </si>
  <si>
    <t>Всего по трем разделам</t>
  </si>
  <si>
    <t>Пояснительная записка</t>
  </si>
  <si>
    <t xml:space="preserve">                    к  (АХД) ДНП "КП Новокосулино"</t>
  </si>
  <si>
    <t>АХД  с начала образования ДНП и по1.07.2016 г. показал следующее:</t>
  </si>
  <si>
    <t>По разделу "Целевые взносы"</t>
  </si>
  <si>
    <t>Статья "Целевые сборы" (стр.1 гр.1)</t>
  </si>
  <si>
    <t xml:space="preserve">                        Долг за собственниками составляет 1141899,40 руб. (стр.1 гр.2-гр.3=гр.4)</t>
  </si>
  <si>
    <t>Не все денежные средства ,оплаченные собственниками за услуги, израсходованы, остаток составляет 184033,89 руб.</t>
  </si>
  <si>
    <t xml:space="preserve"> затрудняет выполнение данной задачи.</t>
  </si>
  <si>
    <r>
      <t>(стр.1 гр.3-гр.5=гр.6) Эти денежные средства пойдут на начало строительства забора.</t>
    </r>
    <r>
      <rPr>
        <b/>
        <sz val="11"/>
        <color theme="1"/>
        <rFont val="Calibri"/>
        <family val="2"/>
        <charset val="204"/>
        <scheme val="minor"/>
      </rPr>
      <t xml:space="preserve"> Долг за собственниками в 1 млн.142 тыс. руб.</t>
    </r>
  </si>
  <si>
    <t>Статья "Целевой сбор на пост охраны"( стр.2 гр.1)</t>
  </si>
  <si>
    <t>Долг за собственниками по данной статье составляет 17865,48 руб.(стр.1 гр.2-гр.3+гр.4)</t>
  </si>
  <si>
    <t xml:space="preserve">Перерасход средств по данной статье 18358,52 (стр.2 гр.3-гр.5=гр.6), те денежные средства, на приобретение вагончика, </t>
  </si>
  <si>
    <t>Статья "Целевой сбор на туалет охраны"( стр.3 гр.1)</t>
  </si>
  <si>
    <t>были взяты с другой статьи сборов, для оплаты поставщику.</t>
  </si>
  <si>
    <t>Долг за собственниками по данной статье составляет  5955,15 руб.(стр.3 гр.2-гр.3=гр.4)</t>
  </si>
  <si>
    <t>Перерасход средств по данной статье10902,83 (стр.3 гр.3-гр.5=гр.6)</t>
  </si>
  <si>
    <t>Долг за собственниками 137780,28 руб (стр.4 гр.2-гр.3=гр.4)</t>
  </si>
  <si>
    <t>Оплачено собственниками  286539,98 руб. использовано денежных средств по данной статье 30000 руб</t>
  </si>
  <si>
    <t>Статья "Проект по примыканию дороги"(стр.4)</t>
  </si>
  <si>
    <t>Экономия (Остаток средств) 256539,98 руб. (Стр 4 гр.3-гр.5=гр.6)</t>
  </si>
  <si>
    <t>Оплачено собственниками  162974,59 руб. использовано денежных средств по данной статье 272201,22 руб</t>
  </si>
  <si>
    <t>Статья "Ремонт дорог и восстановление уличного освещения"(стр.5)</t>
  </si>
  <si>
    <t>Перерасход средств 109226,63 руб.(стр.5 гр.3-гр.5=гр.6)</t>
  </si>
  <si>
    <t>Долг за собственниками 16520,37 руб. (стр.5 гр.2-гр.3=гр.4)</t>
  </si>
  <si>
    <t xml:space="preserve">Целевой взнос </t>
  </si>
  <si>
    <t>По этой статье вносятся денежные средства новыми собственниками</t>
  </si>
  <si>
    <t>Начислено 478000 руб. и полностью оплачено новыми собственниками,  израсходовано 175061,94 руб.</t>
  </si>
  <si>
    <t>Остаток средств 302938,06 руб.</t>
  </si>
  <si>
    <t>Статья "Целевой взнос"( стр.6)</t>
  </si>
  <si>
    <t>Всего по разделу "Целевые взносы" :</t>
  </si>
  <si>
    <t>Долг за собственниками составляет 1329154,77 руб.(стр.9 гр.2-гр.3=гр.4)</t>
  </si>
  <si>
    <t>Остаток средств 640099,54 руб.(стр.9 гр.3- гр.5= гр.6)</t>
  </si>
  <si>
    <t>Раздел "</t>
  </si>
  <si>
    <t>РАСХОДЫ ДНП,  УПРАВЛЯЮЩИЙ"</t>
  </si>
  <si>
    <t>Статья "Расходы ДНП" (стр.1)</t>
  </si>
  <si>
    <t>Долг за собственниками составляет 248159,88 руб.(стр.1 гр.2-гр.3=гр.4)</t>
  </si>
  <si>
    <t>Оплачено собственниками 374106,78 руб. израсходовано срасчетного счета 361334,4 руб.</t>
  </si>
  <si>
    <t xml:space="preserve">Экономия (остаток по дпнной статье) 12772,38. Перечилены поставщики и суммы , которые были израсходованы с </t>
  </si>
  <si>
    <t>расчетного счета ДНП за 2 года 4 месяца с 01.03.2014 г. по 01.07.2016 г.)</t>
  </si>
  <si>
    <t>зарплата управляющего  с налогами</t>
  </si>
  <si>
    <t xml:space="preserve"> По статье  "Механизированная уборка снега" (стр.2)</t>
  </si>
  <si>
    <t>Долг за собственниками 18395,98 руб.(стр.2 гр2-гр.3=гр.4)</t>
  </si>
  <si>
    <t>Остаток 4529,7 руб.(гр.3-гр.5=гр.6)</t>
  </si>
  <si>
    <t>Статья "Управляющий"(стр.3)</t>
  </si>
  <si>
    <t>Долг за собственниками 378367,94руб.(стр.3 гр2-гр.3=гр.4)</t>
  </si>
  <si>
    <t>Остаток 259630,40руб.(гр.3-гр.5=гр.6)</t>
  </si>
  <si>
    <t>Результат по данному разделу:</t>
  </si>
  <si>
    <t>Долг за собственниками 653923,8 руб. (стр.4 гр.2-гр.3=гр.5)</t>
  </si>
  <si>
    <t>Остаток неиспользованных денежных средств 276932,48 руб.(гр.3-гр.5=гр.6)</t>
  </si>
  <si>
    <t>Раздел "Коммунальные услуги"</t>
  </si>
  <si>
    <t>По статье "Вывоз ТБО и КГМ"( стр.1)  долг за собственниками</t>
  </si>
  <si>
    <t>руб.</t>
  </si>
  <si>
    <t>(стр.1 гр.2-гр.3=гр.4)</t>
  </si>
  <si>
    <t>Это объясняется тем, что в апреле 2016 г шли выплаты поставщику услуг, котрые не оплачивались ДНП с октября 2015 г.</t>
  </si>
  <si>
    <t>Т.е Шло погашение кредиторской задолженности и оплачивались текущие платежи, оплата производилась за счет сборов по</t>
  </si>
  <si>
    <t xml:space="preserve"> другим статьям,где есть экономия.</t>
  </si>
  <si>
    <t>Новая статья сборов "Возмещение затрат на потери трансформаторной подстанции"</t>
  </si>
  <si>
    <t>Олата собственниками по данно статье пойдет только с июля 2016 г., поэтому на 1.07.2016 г. имеется долг</t>
  </si>
  <si>
    <t xml:space="preserve"> за собственниками в размере 15246,93 руб.(стр.2 гр.2-гр.3=гр.4)</t>
  </si>
  <si>
    <t>Оплата с расчетного счета была произведена с других статей сборов , перерасход составил 15165,07 руб.(стр.2 гр.3-гр.5=гр.6)</t>
  </si>
  <si>
    <t>По статье  "Охрана"</t>
  </si>
  <si>
    <t>Разница между денежными средствами оплаченными собственниками и раходованием средств со счетаДНП</t>
  </si>
  <si>
    <t>Причина- с расчетног счета ДНП была оплачена кредиторская задолженность,</t>
  </si>
  <si>
    <t>По счетам поставщиков услуг, проведенным в январе, ЧОП Мир и К, ЧОП Притор</t>
  </si>
  <si>
    <t>счет за ноябрь 2015 г. ООО Фаворит, счета за январь, февраль 2015 г. ЧОП Сигнал Р</t>
  </si>
  <si>
    <t xml:space="preserve">Оплата с расчетного счета была произведена с других статей сборов </t>
  </si>
  <si>
    <t>По статье "ТО и ТР газопровода"</t>
  </si>
  <si>
    <t>(стр.5 гр.3-гр.5=гр.6)</t>
  </si>
  <si>
    <t xml:space="preserve">По строке "Всего по трем разделам" </t>
  </si>
  <si>
    <t>Расходование денежных средств превышае над суммой оплаченой собственниками на 8084,72 руб.</t>
  </si>
  <si>
    <t>Долг за собственниками 447616,66 руб. (стр.4 гр.2-гр.3=гр.4)</t>
  </si>
  <si>
    <t>Составляет 292508,87 руб (стр4 гр.3-гр.5=гр.6)</t>
  </si>
  <si>
    <t>Долг за собственниками 165442,66 руб. (стр.5 гр.2-гр.3=гр.4)</t>
  </si>
  <si>
    <t>Остаток средств по данной статье составляет 84018,35 руб</t>
  </si>
  <si>
    <t xml:space="preserve">Долг за собственниками за 2 года 4 месяца 01.03.2014 г. по 01.07.2016 г. 2016 года составляет 2824556,80 руб. </t>
  </si>
  <si>
    <t>Разница между оплатой собственниками и расходованием денежных средств с расчетного счета ДНП</t>
  </si>
  <si>
    <t xml:space="preserve"> (остаток средст по сборам)составляет 700456,80 руб.</t>
  </si>
  <si>
    <t>(не все денежные средства, за оплаченные услуги собственниками , использованы ДНП)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</si>
</sst>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2" fillId="0" borderId="0" xfId="0" applyNumberFormat="1" applyFont="1"/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3" fillId="0" borderId="3" xfId="0" applyFont="1" applyBorder="1"/>
    <xf numFmtId="0" fontId="3" fillId="0" borderId="2" xfId="0" applyFon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4" fillId="0" borderId="2" xfId="0" applyFont="1" applyBorder="1"/>
    <xf numFmtId="0" fontId="0" fillId="0" borderId="2" xfId="0" applyBorder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4" xfId="0" applyFont="1" applyBorder="1"/>
    <xf numFmtId="0" fontId="6" fillId="0" borderId="1" xfId="0" applyFont="1" applyBorder="1"/>
    <xf numFmtId="0" fontId="6" fillId="0" borderId="0" xfId="0" applyFont="1"/>
    <xf numFmtId="0" fontId="0" fillId="0" borderId="4" xfId="0" applyFont="1" applyBorder="1"/>
    <xf numFmtId="0" fontId="0" fillId="0" borderId="1" xfId="0" applyFont="1" applyBorder="1"/>
    <xf numFmtId="0" fontId="0" fillId="0" borderId="0" xfId="0" applyFont="1"/>
    <xf numFmtId="4" fontId="7" fillId="0" borderId="1" xfId="0" applyNumberFormat="1" applyFont="1" applyBorder="1" applyAlignment="1">
      <alignment vertical="center" wrapText="1"/>
    </xf>
    <xf numFmtId="0" fontId="4" fillId="0" borderId="4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0" xfId="0" applyFont="1"/>
    <xf numFmtId="0" fontId="3" fillId="0" borderId="6" xfId="0" applyFont="1" applyBorder="1"/>
    <xf numFmtId="0" fontId="3" fillId="0" borderId="7" xfId="0" applyFont="1" applyBorder="1"/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3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vertical="center" wrapText="1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/>
    <xf numFmtId="0" fontId="0" fillId="2" borderId="1" xfId="0" applyFill="1" applyBorder="1"/>
    <xf numFmtId="0" fontId="6" fillId="2" borderId="1" xfId="0" applyFont="1" applyFill="1" applyBorder="1"/>
    <xf numFmtId="0" fontId="4" fillId="2" borderId="1" xfId="0" applyFont="1" applyFill="1" applyBorder="1"/>
    <xf numFmtId="0" fontId="8" fillId="2" borderId="1" xfId="0" applyFont="1" applyFill="1" applyBorder="1"/>
    <xf numFmtId="0" fontId="0" fillId="2" borderId="1" xfId="0" applyFont="1" applyFill="1" applyBorder="1"/>
    <xf numFmtId="0" fontId="9" fillId="2" borderId="1" xfId="0" applyFont="1" applyFill="1" applyBorder="1"/>
    <xf numFmtId="4" fontId="14" fillId="0" borderId="1" xfId="0" applyNumberFormat="1" applyFont="1" applyBorder="1" applyAlignment="1">
      <alignment horizontal="left" vertical="center" wrapText="1"/>
    </xf>
    <xf numFmtId="0" fontId="15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2" borderId="0" xfId="0" applyFont="1" applyFill="1" applyBorder="1"/>
    <xf numFmtId="0" fontId="16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18" fillId="0" borderId="0" xfId="0" applyFont="1"/>
    <xf numFmtId="0" fontId="11" fillId="0" borderId="0" xfId="0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0" fontId="4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1" fillId="0" borderId="0" xfId="0" applyFont="1"/>
    <xf numFmtId="0" fontId="16" fillId="3" borderId="0" xfId="0" applyFont="1" applyFill="1"/>
    <xf numFmtId="0" fontId="23" fillId="3" borderId="0" xfId="0" applyFont="1" applyFill="1"/>
    <xf numFmtId="4" fontId="24" fillId="3" borderId="0" xfId="0" applyNumberFormat="1" applyFont="1" applyFill="1"/>
    <xf numFmtId="0" fontId="15" fillId="3" borderId="0" xfId="0" applyFont="1" applyFill="1"/>
    <xf numFmtId="0" fontId="25" fillId="3" borderId="0" xfId="0" applyFont="1" applyFill="1"/>
    <xf numFmtId="4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A73" workbookViewId="0">
      <selection activeCell="B67" sqref="B67"/>
    </sheetView>
  </sheetViews>
  <sheetFormatPr defaultRowHeight="15" x14ac:dyDescent="0.25"/>
  <cols>
    <col min="1" max="1" width="6.85546875" customWidth="1"/>
    <col min="2" max="2" width="36.28515625" customWidth="1"/>
    <col min="3" max="3" width="12" customWidth="1"/>
    <col min="4" max="5" width="14" customWidth="1"/>
    <col min="6" max="6" width="13.85546875" customWidth="1"/>
    <col min="7" max="7" width="13.28515625" customWidth="1"/>
    <col min="11" max="11" width="11.28515625" customWidth="1"/>
    <col min="12" max="12" width="13.28515625" customWidth="1"/>
  </cols>
  <sheetData>
    <row r="1" spans="1:15" ht="18.75" x14ac:dyDescent="0.3">
      <c r="B1" s="54" t="s">
        <v>78</v>
      </c>
      <c r="M1" s="58" t="s">
        <v>80</v>
      </c>
    </row>
    <row r="2" spans="1:15" x14ac:dyDescent="0.25">
      <c r="L2" t="s">
        <v>81</v>
      </c>
    </row>
    <row r="3" spans="1:15" ht="18.75" x14ac:dyDescent="0.3">
      <c r="C3" s="77" t="s">
        <v>69</v>
      </c>
      <c r="D3" s="78"/>
      <c r="E3" s="78"/>
      <c r="F3" s="66"/>
    </row>
    <row r="4" spans="1:15" x14ac:dyDescent="0.25">
      <c r="B4" s="79" t="s">
        <v>0</v>
      </c>
    </row>
    <row r="5" spans="1:15" x14ac:dyDescent="0.25">
      <c r="B5" s="1"/>
      <c r="J5" t="s">
        <v>82</v>
      </c>
    </row>
    <row r="6" spans="1:15" ht="21" x14ac:dyDescent="0.35">
      <c r="A6" s="39" t="s">
        <v>61</v>
      </c>
      <c r="B6" s="29" t="s">
        <v>59</v>
      </c>
      <c r="C6" s="26" t="s">
        <v>7</v>
      </c>
      <c r="D6" s="8" t="s">
        <v>9</v>
      </c>
      <c r="E6" s="8" t="s">
        <v>58</v>
      </c>
      <c r="F6" s="10" t="s">
        <v>11</v>
      </c>
      <c r="G6" s="5" t="s">
        <v>70</v>
      </c>
      <c r="J6" s="68" t="s">
        <v>83</v>
      </c>
      <c r="K6" s="69"/>
      <c r="L6" s="69"/>
      <c r="M6" s="66"/>
    </row>
    <row r="7" spans="1:15" ht="15.75" x14ac:dyDescent="0.25">
      <c r="A7" s="6" t="s">
        <v>62</v>
      </c>
      <c r="B7" s="28" t="s">
        <v>60</v>
      </c>
      <c r="C7" s="27" t="s">
        <v>8</v>
      </c>
      <c r="D7" s="6" t="s">
        <v>10</v>
      </c>
      <c r="E7" s="6" t="s">
        <v>10</v>
      </c>
      <c r="F7" s="11" t="s">
        <v>18</v>
      </c>
      <c r="G7" s="12" t="s">
        <v>71</v>
      </c>
      <c r="J7" s="72" t="s">
        <v>84</v>
      </c>
      <c r="K7" s="72"/>
      <c r="L7" s="72"/>
      <c r="M7" s="72"/>
    </row>
    <row r="8" spans="1:15" s="37" customFormat="1" ht="15.75" x14ac:dyDescent="0.25">
      <c r="A8" s="31"/>
      <c r="B8" s="34" t="s">
        <v>63</v>
      </c>
      <c r="C8" s="36" t="s">
        <v>64</v>
      </c>
      <c r="D8" s="35" t="s">
        <v>65</v>
      </c>
      <c r="E8" s="35" t="s">
        <v>66</v>
      </c>
      <c r="F8" s="35" t="s">
        <v>67</v>
      </c>
      <c r="G8" s="35" t="s">
        <v>68</v>
      </c>
      <c r="K8" s="60"/>
      <c r="L8" s="59" t="s">
        <v>85</v>
      </c>
    </row>
    <row r="9" spans="1:15" ht="15.75" x14ac:dyDescent="0.25">
      <c r="A9" s="30">
        <v>1</v>
      </c>
      <c r="B9" s="13" t="s">
        <v>1</v>
      </c>
      <c r="C9" s="15">
        <f>3669674.09+11112.66</f>
        <v>3680786.75</v>
      </c>
      <c r="D9" s="16">
        <f>2477512.05+61375.3</f>
        <v>2538887.3499999996</v>
      </c>
      <c r="E9" s="16">
        <f>C9-D9</f>
        <v>1141899.4000000004</v>
      </c>
      <c r="F9" s="16">
        <f>SUM(F10:F15)</f>
        <v>2354853.46</v>
      </c>
      <c r="G9" s="16">
        <f>D9-F9</f>
        <v>184033.88999999966</v>
      </c>
      <c r="I9" t="s">
        <v>86</v>
      </c>
    </row>
    <row r="10" spans="1:15" x14ac:dyDescent="0.25">
      <c r="A10" s="30"/>
      <c r="B10" s="3" t="s">
        <v>12</v>
      </c>
      <c r="C10" s="9"/>
      <c r="D10" s="7"/>
      <c r="E10" s="7"/>
      <c r="F10" s="47">
        <v>718000</v>
      </c>
      <c r="G10" s="7"/>
      <c r="I10" t="s">
        <v>88</v>
      </c>
    </row>
    <row r="11" spans="1:15" x14ac:dyDescent="0.25">
      <c r="A11" s="30"/>
      <c r="B11" s="3" t="s">
        <v>13</v>
      </c>
      <c r="C11" s="9"/>
      <c r="D11" s="7"/>
      <c r="E11" s="7"/>
      <c r="F11" s="2">
        <v>350</v>
      </c>
      <c r="G11" s="7"/>
      <c r="I11" t="s">
        <v>87</v>
      </c>
    </row>
    <row r="12" spans="1:15" ht="15.75" x14ac:dyDescent="0.25">
      <c r="A12" s="30"/>
      <c r="B12" s="3" t="s">
        <v>14</v>
      </c>
      <c r="C12" s="9"/>
      <c r="D12" s="7"/>
      <c r="E12" s="7"/>
      <c r="F12" s="47">
        <v>84719.28</v>
      </c>
      <c r="G12" s="7"/>
      <c r="J12" s="72" t="s">
        <v>89</v>
      </c>
      <c r="K12" s="72"/>
      <c r="L12" s="72"/>
      <c r="M12" s="72"/>
      <c r="N12" s="72"/>
    </row>
    <row r="13" spans="1:15" x14ac:dyDescent="0.25">
      <c r="A13" s="30"/>
      <c r="B13" s="3" t="s">
        <v>15</v>
      </c>
      <c r="C13" s="9"/>
      <c r="D13" s="7"/>
      <c r="E13" s="7"/>
      <c r="F13" s="47">
        <v>63539.46</v>
      </c>
      <c r="G13" s="7"/>
      <c r="I13" s="38" t="s">
        <v>90</v>
      </c>
    </row>
    <row r="14" spans="1:15" x14ac:dyDescent="0.25">
      <c r="A14" s="30"/>
      <c r="B14" s="3" t="s">
        <v>16</v>
      </c>
      <c r="C14" s="9"/>
      <c r="D14" s="7"/>
      <c r="E14" s="7"/>
      <c r="F14" s="47">
        <v>81363.759999999995</v>
      </c>
      <c r="G14" s="7"/>
      <c r="I14" t="s">
        <v>91</v>
      </c>
    </row>
    <row r="15" spans="1:15" ht="25.5" x14ac:dyDescent="0.25">
      <c r="A15" s="30"/>
      <c r="B15" s="3" t="s">
        <v>17</v>
      </c>
      <c r="C15" s="9"/>
      <c r="D15" s="7"/>
      <c r="E15" s="7"/>
      <c r="F15" s="47">
        <v>1406880.96</v>
      </c>
      <c r="G15" s="7"/>
      <c r="I15" t="s">
        <v>93</v>
      </c>
    </row>
    <row r="16" spans="1:15" ht="15.75" x14ac:dyDescent="0.25">
      <c r="A16" s="30">
        <v>2</v>
      </c>
      <c r="B16" s="14" t="s">
        <v>2</v>
      </c>
      <c r="C16" s="15">
        <f>55413.84+93.12</f>
        <v>55506.96</v>
      </c>
      <c r="D16" s="16">
        <f>36296.51+1344.97</f>
        <v>37641.480000000003</v>
      </c>
      <c r="E16" s="16">
        <f>C16-D16</f>
        <v>17865.479999999996</v>
      </c>
      <c r="F16" s="48">
        <v>56000</v>
      </c>
      <c r="G16" s="16">
        <f>D16-F16</f>
        <v>-18358.519999999997</v>
      </c>
      <c r="H16" s="17"/>
      <c r="J16" s="72" t="s">
        <v>92</v>
      </c>
      <c r="K16" s="72"/>
      <c r="L16" s="72"/>
      <c r="M16" s="72"/>
      <c r="N16" s="72"/>
      <c r="O16" s="72"/>
    </row>
    <row r="17" spans="1:20" ht="15.75" x14ac:dyDescent="0.25">
      <c r="A17" s="30"/>
      <c r="B17" s="2" t="s">
        <v>19</v>
      </c>
      <c r="C17" s="15"/>
      <c r="D17" s="16"/>
      <c r="E17" s="16"/>
      <c r="F17" s="50">
        <v>56000</v>
      </c>
      <c r="G17" s="16"/>
      <c r="H17" s="17"/>
      <c r="I17" s="38" t="s">
        <v>94</v>
      </c>
    </row>
    <row r="18" spans="1:20" ht="15.75" x14ac:dyDescent="0.25">
      <c r="A18" s="30">
        <v>3</v>
      </c>
      <c r="B18" s="14" t="s">
        <v>3</v>
      </c>
      <c r="C18" s="15">
        <f>18471.28+31.04</f>
        <v>18502.32</v>
      </c>
      <c r="D18" s="16">
        <f>12098.85+448.32</f>
        <v>12547.17</v>
      </c>
      <c r="E18" s="16">
        <f>C18-D18</f>
        <v>5955.15</v>
      </c>
      <c r="F18" s="48">
        <f>SUM(F19:F20)</f>
        <v>23450</v>
      </c>
      <c r="G18" s="16">
        <f>D18-F18</f>
        <v>-10902.83</v>
      </c>
      <c r="I18" t="s">
        <v>95</v>
      </c>
    </row>
    <row r="19" spans="1:20" s="4" customFormat="1" ht="15.75" x14ac:dyDescent="0.25">
      <c r="A19" s="31"/>
      <c r="B19" s="2" t="s">
        <v>20</v>
      </c>
      <c r="C19" s="22"/>
      <c r="D19" s="23"/>
      <c r="E19" s="23"/>
      <c r="F19" s="49">
        <v>2750</v>
      </c>
      <c r="G19" s="23"/>
      <c r="J19" s="72" t="s">
        <v>98</v>
      </c>
      <c r="K19" s="72"/>
      <c r="L19" s="72"/>
      <c r="M19" s="72"/>
      <c r="N19" s="67"/>
    </row>
    <row r="20" spans="1:20" s="4" customFormat="1" ht="12.75" x14ac:dyDescent="0.2">
      <c r="A20" s="31"/>
      <c r="B20" s="2" t="s">
        <v>21</v>
      </c>
      <c r="C20" s="22"/>
      <c r="D20" s="23"/>
      <c r="E20" s="23"/>
      <c r="F20" s="49">
        <v>20700</v>
      </c>
      <c r="G20" s="23"/>
      <c r="I20" s="61" t="s">
        <v>96</v>
      </c>
    </row>
    <row r="21" spans="1:20" s="17" customFormat="1" ht="15.75" x14ac:dyDescent="0.25">
      <c r="A21" s="32">
        <v>4</v>
      </c>
      <c r="B21" s="14" t="s">
        <v>4</v>
      </c>
      <c r="C21" s="15">
        <f>423614.1+706.16</f>
        <v>424320.25999999995</v>
      </c>
      <c r="D21" s="16">
        <f>276340.53+10199.45</f>
        <v>286539.98000000004</v>
      </c>
      <c r="E21" s="16">
        <f>C21-D21</f>
        <v>137780.27999999991</v>
      </c>
      <c r="F21" s="48">
        <v>30000</v>
      </c>
      <c r="G21" s="16">
        <f>D21-F21</f>
        <v>256539.98000000004</v>
      </c>
      <c r="I21" s="62" t="s">
        <v>97</v>
      </c>
    </row>
    <row r="22" spans="1:20" s="20" customFormat="1" x14ac:dyDescent="0.25">
      <c r="A22" s="30"/>
      <c r="B22" s="21" t="s">
        <v>22</v>
      </c>
      <c r="C22" s="18"/>
      <c r="D22" s="19"/>
      <c r="E22" s="19"/>
      <c r="F22" s="51">
        <v>30000</v>
      </c>
      <c r="G22" s="19"/>
      <c r="I22" s="20" t="s">
        <v>99</v>
      </c>
    </row>
    <row r="23" spans="1:20" s="17" customFormat="1" ht="31.5" x14ac:dyDescent="0.25">
      <c r="A23" s="32">
        <v>5</v>
      </c>
      <c r="B23" s="14" t="s">
        <v>77</v>
      </c>
      <c r="C23" s="15">
        <f>179494.96</f>
        <v>179494.96</v>
      </c>
      <c r="D23" s="16">
        <f>161459.41+1515.18</f>
        <v>162974.59</v>
      </c>
      <c r="E23" s="16">
        <f>C23-D23</f>
        <v>16520.369999999995</v>
      </c>
      <c r="F23" s="48">
        <f>F24</f>
        <v>272201.21999999997</v>
      </c>
      <c r="G23" s="16">
        <f>D23-F23</f>
        <v>-109226.62999999998</v>
      </c>
      <c r="J23" s="72" t="s">
        <v>101</v>
      </c>
      <c r="K23" s="65"/>
      <c r="L23" s="65"/>
      <c r="M23" s="65"/>
      <c r="N23" s="65"/>
      <c r="O23" s="65"/>
      <c r="P23" s="65"/>
    </row>
    <row r="24" spans="1:20" s="4" customFormat="1" ht="25.5" x14ac:dyDescent="0.25">
      <c r="A24" s="31"/>
      <c r="B24" s="2" t="s">
        <v>23</v>
      </c>
      <c r="C24" s="22"/>
      <c r="D24" s="23"/>
      <c r="E24" s="23"/>
      <c r="F24" s="49">
        <v>272201.21999999997</v>
      </c>
      <c r="G24" s="23"/>
      <c r="I24" s="38" t="s">
        <v>103</v>
      </c>
    </row>
    <row r="25" spans="1:20" s="17" customFormat="1" ht="15.75" x14ac:dyDescent="0.25">
      <c r="A25" s="32">
        <v>6</v>
      </c>
      <c r="B25" s="14" t="s">
        <v>104</v>
      </c>
      <c r="C25" s="15">
        <f>478000</f>
        <v>478000</v>
      </c>
      <c r="D25" s="16">
        <f>323750+154250</f>
        <v>478000</v>
      </c>
      <c r="E25" s="16">
        <f>C25-D25</f>
        <v>0</v>
      </c>
      <c r="F25" s="48">
        <f>F26+F27</f>
        <v>175061.94</v>
      </c>
      <c r="G25" s="16">
        <f>D25-F25</f>
        <v>302938.06</v>
      </c>
      <c r="I25" s="20" t="s">
        <v>100</v>
      </c>
    </row>
    <row r="26" spans="1:20" s="17" customFormat="1" ht="24" x14ac:dyDescent="0.25">
      <c r="A26" s="42"/>
      <c r="B26" s="43" t="s">
        <v>72</v>
      </c>
      <c r="C26" s="44"/>
      <c r="D26" s="45"/>
      <c r="E26" s="45"/>
      <c r="F26" s="49">
        <v>69000</v>
      </c>
      <c r="G26" s="45"/>
      <c r="H26" s="46"/>
      <c r="I26" s="20" t="s">
        <v>102</v>
      </c>
    </row>
    <row r="27" spans="1:20" s="4" customFormat="1" ht="25.5" x14ac:dyDescent="0.25">
      <c r="A27" s="31"/>
      <c r="B27" s="2" t="s">
        <v>24</v>
      </c>
      <c r="C27" s="22"/>
      <c r="D27" s="23"/>
      <c r="E27" s="23"/>
      <c r="F27" s="49">
        <v>106061.94</v>
      </c>
      <c r="G27" s="23"/>
      <c r="J27" s="72" t="s">
        <v>108</v>
      </c>
      <c r="K27" s="72"/>
      <c r="L27" s="72"/>
      <c r="M27" s="71"/>
    </row>
    <row r="28" spans="1:20" s="17" customFormat="1" ht="31.5" x14ac:dyDescent="0.25">
      <c r="A28" s="32">
        <v>7</v>
      </c>
      <c r="B28" s="14" t="s">
        <v>5</v>
      </c>
      <c r="C28" s="15">
        <v>28048.880000000001</v>
      </c>
      <c r="D28" s="16">
        <v>28048.880000000001</v>
      </c>
      <c r="E28" s="16">
        <f>C28-D28</f>
        <v>0</v>
      </c>
      <c r="F28" s="48">
        <v>0</v>
      </c>
      <c r="G28" s="16">
        <f t="shared" ref="G28:G29" si="0">D28-F28</f>
        <v>28048.880000000001</v>
      </c>
      <c r="I28" s="20" t="s">
        <v>105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s="17" customFormat="1" ht="15.75" x14ac:dyDescent="0.25">
      <c r="A29" s="32">
        <v>8</v>
      </c>
      <c r="B29" s="14" t="s">
        <v>6</v>
      </c>
      <c r="C29" s="15">
        <f>16160.8</f>
        <v>16160.8</v>
      </c>
      <c r="D29" s="16">
        <f>5688.21+1338.5</f>
        <v>7026.71</v>
      </c>
      <c r="E29" s="16">
        <f>C29-D29</f>
        <v>9134.09</v>
      </c>
      <c r="F29" s="48">
        <v>0</v>
      </c>
      <c r="G29" s="16">
        <f t="shared" si="0"/>
        <v>7026.71</v>
      </c>
      <c r="I29" s="20" t="s">
        <v>106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25" customFormat="1" ht="15.75" x14ac:dyDescent="0.25">
      <c r="A30" s="33">
        <v>9</v>
      </c>
      <c r="B30" s="24" t="s">
        <v>25</v>
      </c>
      <c r="C30" s="24">
        <f>C9+C16+C18+C21+C23+C25+C28+C29</f>
        <v>4880820.93</v>
      </c>
      <c r="D30" s="24">
        <f t="shared" ref="D30:G30" si="1">D9+D16+D18+D21+D23+D25+D28+D29</f>
        <v>3551666.1599999992</v>
      </c>
      <c r="E30" s="24">
        <f>C30-D30</f>
        <v>1329154.7700000005</v>
      </c>
      <c r="F30" s="52">
        <f t="shared" si="1"/>
        <v>2911566.6199999996</v>
      </c>
      <c r="G30" s="24">
        <f t="shared" si="1"/>
        <v>640099.53999999969</v>
      </c>
      <c r="I30" s="73" t="s">
        <v>107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25" customFormat="1" ht="15.75" x14ac:dyDescent="0.25">
      <c r="A31" s="55"/>
      <c r="B31" s="56"/>
      <c r="C31" s="56"/>
      <c r="D31" s="56"/>
      <c r="E31" s="56"/>
      <c r="F31" s="57"/>
      <c r="G31" s="56"/>
      <c r="I31" s="25" t="s">
        <v>109</v>
      </c>
    </row>
    <row r="32" spans="1:20" s="25" customFormat="1" ht="15.75" x14ac:dyDescent="0.25">
      <c r="A32" s="55"/>
      <c r="B32" s="56"/>
      <c r="C32" s="56"/>
      <c r="D32" s="56"/>
      <c r="E32" s="56"/>
      <c r="F32" s="57"/>
      <c r="G32" s="56"/>
      <c r="I32" s="25" t="s">
        <v>110</v>
      </c>
    </row>
    <row r="33" spans="1:14" s="25" customFormat="1" ht="15.75" x14ac:dyDescent="0.25">
      <c r="A33" s="55"/>
      <c r="B33" s="56"/>
      <c r="C33" s="56"/>
      <c r="D33" s="56"/>
      <c r="E33" s="56"/>
      <c r="F33" s="57"/>
      <c r="G33" s="56"/>
      <c r="I33" s="25" t="s">
        <v>111</v>
      </c>
    </row>
    <row r="35" spans="1:14" x14ac:dyDescent="0.25">
      <c r="B35" s="79" t="s">
        <v>57</v>
      </c>
      <c r="D35" s="38" t="s">
        <v>69</v>
      </c>
      <c r="E35" s="38"/>
    </row>
    <row r="36" spans="1:14" ht="19.5" x14ac:dyDescent="0.35">
      <c r="B36" s="1"/>
      <c r="I36" s="74" t="s">
        <v>112</v>
      </c>
      <c r="J36" s="76" t="s">
        <v>113</v>
      </c>
      <c r="K36" s="77"/>
      <c r="L36" s="77"/>
      <c r="M36" s="77"/>
      <c r="N36" s="66"/>
    </row>
    <row r="37" spans="1:14" x14ac:dyDescent="0.25">
      <c r="A37" s="39" t="s">
        <v>61</v>
      </c>
      <c r="B37" s="29" t="s">
        <v>59</v>
      </c>
      <c r="C37" s="5" t="s">
        <v>7</v>
      </c>
      <c r="D37" s="8" t="s">
        <v>9</v>
      </c>
      <c r="E37" s="8" t="s">
        <v>58</v>
      </c>
      <c r="F37" s="10" t="s">
        <v>11</v>
      </c>
      <c r="G37" s="5" t="s">
        <v>70</v>
      </c>
      <c r="J37" s="70" t="s">
        <v>114</v>
      </c>
      <c r="K37" s="70"/>
      <c r="L37" s="70"/>
    </row>
    <row r="38" spans="1:14" x14ac:dyDescent="0.25">
      <c r="A38" s="6" t="s">
        <v>62</v>
      </c>
      <c r="B38" s="28" t="s">
        <v>60</v>
      </c>
      <c r="C38" s="6" t="s">
        <v>8</v>
      </c>
      <c r="D38" s="6" t="s">
        <v>10</v>
      </c>
      <c r="E38" s="6" t="s">
        <v>10</v>
      </c>
      <c r="F38" s="11" t="s">
        <v>18</v>
      </c>
      <c r="G38" s="12" t="s">
        <v>71</v>
      </c>
      <c r="I38" s="20" t="s">
        <v>115</v>
      </c>
    </row>
    <row r="39" spans="1:14" x14ac:dyDescent="0.25">
      <c r="A39" s="31"/>
      <c r="B39" s="34" t="s">
        <v>63</v>
      </c>
      <c r="C39" s="36" t="s">
        <v>64</v>
      </c>
      <c r="D39" s="35" t="s">
        <v>65</v>
      </c>
      <c r="E39" s="35" t="s">
        <v>66</v>
      </c>
      <c r="F39" s="35" t="s">
        <v>67</v>
      </c>
      <c r="G39" s="35" t="s">
        <v>68</v>
      </c>
      <c r="I39" s="64"/>
    </row>
    <row r="40" spans="1:14" ht="15.75" x14ac:dyDescent="0.25">
      <c r="A40" s="32">
        <v>1</v>
      </c>
      <c r="B40" s="13" t="s">
        <v>26</v>
      </c>
      <c r="C40" s="16">
        <f>576741.93+45524.73</f>
        <v>622266.66</v>
      </c>
      <c r="D40" s="16">
        <f>334885.59+39221.19</f>
        <v>374106.78</v>
      </c>
      <c r="E40" s="16">
        <f>C40-D40</f>
        <v>248159.88</v>
      </c>
      <c r="F40" s="16">
        <f>SUM(F41:F57)</f>
        <v>361334.39999999997</v>
      </c>
      <c r="G40" s="16">
        <f>D40-F40</f>
        <v>12772.380000000063</v>
      </c>
      <c r="I40" s="20" t="s">
        <v>116</v>
      </c>
    </row>
    <row r="41" spans="1:14" x14ac:dyDescent="0.25">
      <c r="A41" s="30"/>
      <c r="B41" s="3" t="s">
        <v>44</v>
      </c>
      <c r="C41" s="7"/>
      <c r="D41" s="7"/>
      <c r="E41" s="7"/>
      <c r="F41" s="47">
        <f>36928.15+2287.68+40</f>
        <v>39255.83</v>
      </c>
      <c r="G41" s="7"/>
      <c r="I41" s="20" t="s">
        <v>117</v>
      </c>
    </row>
    <row r="42" spans="1:14" x14ac:dyDescent="0.25">
      <c r="A42" s="30"/>
      <c r="B42" s="3" t="s">
        <v>73</v>
      </c>
      <c r="C42" s="7"/>
      <c r="D42" s="7"/>
      <c r="E42" s="7"/>
      <c r="F42" s="47">
        <v>8464.91</v>
      </c>
      <c r="G42" s="7"/>
      <c r="I42" s="20" t="s">
        <v>118</v>
      </c>
    </row>
    <row r="43" spans="1:14" ht="15.75" x14ac:dyDescent="0.25">
      <c r="A43" s="30"/>
      <c r="B43" s="3" t="s">
        <v>29</v>
      </c>
      <c r="C43" s="7"/>
      <c r="D43" s="7"/>
      <c r="E43" s="7"/>
      <c r="F43" s="47">
        <v>408.96</v>
      </c>
      <c r="G43" s="7"/>
      <c r="J43" s="72" t="s">
        <v>120</v>
      </c>
      <c r="K43" s="72"/>
      <c r="L43" s="72"/>
      <c r="M43" s="72"/>
      <c r="N43" s="72"/>
    </row>
    <row r="44" spans="1:14" x14ac:dyDescent="0.25">
      <c r="A44" s="30"/>
      <c r="B44" s="3" t="s">
        <v>30</v>
      </c>
      <c r="C44" s="7"/>
      <c r="D44" s="7"/>
      <c r="E44" s="7"/>
      <c r="F44" s="47">
        <f>1507+452</f>
        <v>1959</v>
      </c>
      <c r="G44" s="7"/>
      <c r="I44" s="38" t="s">
        <v>121</v>
      </c>
    </row>
    <row r="45" spans="1:14" x14ac:dyDescent="0.25">
      <c r="A45" s="30"/>
      <c r="B45" s="3" t="s">
        <v>32</v>
      </c>
      <c r="C45" s="7"/>
      <c r="D45" s="7"/>
      <c r="E45" s="7"/>
      <c r="F45" s="47">
        <f>31000+3000</f>
        <v>34000</v>
      </c>
      <c r="G45" s="7"/>
      <c r="I45" s="20" t="s">
        <v>122</v>
      </c>
    </row>
    <row r="46" spans="1:14" ht="15.75" x14ac:dyDescent="0.25">
      <c r="A46" s="30"/>
      <c r="B46" s="3" t="s">
        <v>31</v>
      </c>
      <c r="C46" s="7"/>
      <c r="D46" s="7"/>
      <c r="E46" s="7"/>
      <c r="F46" s="47">
        <f>17940+1392</f>
        <v>19332</v>
      </c>
      <c r="G46" s="7"/>
      <c r="J46" s="72" t="s">
        <v>123</v>
      </c>
      <c r="K46" s="72"/>
      <c r="L46" s="72"/>
    </row>
    <row r="47" spans="1:14" x14ac:dyDescent="0.25">
      <c r="A47" s="30"/>
      <c r="B47" s="3" t="s">
        <v>33</v>
      </c>
      <c r="C47" s="7"/>
      <c r="D47" s="7"/>
      <c r="E47" s="7"/>
      <c r="F47" s="47">
        <v>2980</v>
      </c>
      <c r="G47" s="7"/>
      <c r="I47" s="38" t="s">
        <v>124</v>
      </c>
    </row>
    <row r="48" spans="1:14" ht="25.5" x14ac:dyDescent="0.25">
      <c r="A48" s="30"/>
      <c r="B48" s="3" t="s">
        <v>34</v>
      </c>
      <c r="C48" s="7"/>
      <c r="D48" s="7"/>
      <c r="E48" s="7"/>
      <c r="F48" s="47">
        <v>17241.57</v>
      </c>
      <c r="G48" s="7"/>
      <c r="I48" t="s">
        <v>125</v>
      </c>
    </row>
    <row r="49" spans="1:12" x14ac:dyDescent="0.25">
      <c r="A49" s="30"/>
      <c r="B49" s="3" t="s">
        <v>35</v>
      </c>
      <c r="C49" s="7"/>
      <c r="D49" s="7"/>
      <c r="E49" s="7"/>
      <c r="F49" s="47">
        <f>45154.96-24221.12+9839.83</f>
        <v>30773.67</v>
      </c>
      <c r="G49" s="7"/>
    </row>
    <row r="50" spans="1:12" x14ac:dyDescent="0.25">
      <c r="A50" s="30"/>
      <c r="B50" s="3" t="s">
        <v>36</v>
      </c>
      <c r="C50" s="7"/>
      <c r="D50" s="7"/>
      <c r="E50" s="7"/>
      <c r="F50" s="47">
        <v>4900</v>
      </c>
      <c r="G50" s="7"/>
      <c r="I50" s="70" t="s">
        <v>126</v>
      </c>
      <c r="J50" s="70"/>
      <c r="K50" s="70"/>
      <c r="L50" s="70"/>
    </row>
    <row r="51" spans="1:12" x14ac:dyDescent="0.25">
      <c r="A51" s="30"/>
      <c r="B51" s="3" t="s">
        <v>37</v>
      </c>
      <c r="C51" s="7"/>
      <c r="D51" s="7"/>
      <c r="E51" s="7"/>
      <c r="F51" s="47">
        <v>50071</v>
      </c>
      <c r="G51" s="7"/>
      <c r="I51" t="s">
        <v>127</v>
      </c>
    </row>
    <row r="52" spans="1:12" x14ac:dyDescent="0.25">
      <c r="A52" s="30"/>
      <c r="B52" s="3" t="s">
        <v>38</v>
      </c>
      <c r="C52" s="7"/>
      <c r="D52" s="7"/>
      <c r="E52" s="7"/>
      <c r="F52" s="47">
        <v>110220.99</v>
      </c>
      <c r="G52" s="7"/>
      <c r="I52" t="s">
        <v>128</v>
      </c>
    </row>
    <row r="53" spans="1:12" x14ac:dyDescent="0.25">
      <c r="A53" s="30"/>
      <c r="B53" s="3" t="s">
        <v>74</v>
      </c>
      <c r="C53" s="7"/>
      <c r="D53" s="7"/>
      <c r="E53" s="7"/>
      <c r="F53" s="47">
        <v>10226.469999999999</v>
      </c>
      <c r="G53" s="7"/>
    </row>
    <row r="54" spans="1:12" x14ac:dyDescent="0.25">
      <c r="A54" s="30"/>
      <c r="B54" s="3" t="s">
        <v>39</v>
      </c>
      <c r="C54" s="7"/>
      <c r="D54" s="7"/>
      <c r="E54" s="7"/>
      <c r="F54" s="47">
        <v>16956</v>
      </c>
      <c r="G54" s="7"/>
    </row>
    <row r="55" spans="1:12" x14ac:dyDescent="0.25">
      <c r="A55" s="30"/>
      <c r="B55" s="23" t="s">
        <v>41</v>
      </c>
      <c r="C55" s="7"/>
      <c r="D55" s="7"/>
      <c r="E55" s="7"/>
      <c r="F55" s="47">
        <v>1200</v>
      </c>
      <c r="G55" s="7"/>
    </row>
    <row r="56" spans="1:12" x14ac:dyDescent="0.25">
      <c r="A56" s="30"/>
      <c r="B56" s="3" t="s">
        <v>42</v>
      </c>
      <c r="C56" s="7"/>
      <c r="D56" s="7"/>
      <c r="E56" s="7"/>
      <c r="F56" s="47">
        <v>1000</v>
      </c>
      <c r="G56" s="7"/>
    </row>
    <row r="57" spans="1:12" x14ac:dyDescent="0.25">
      <c r="A57" s="30"/>
      <c r="B57" s="3" t="s">
        <v>43</v>
      </c>
      <c r="C57" s="7"/>
      <c r="D57" s="7"/>
      <c r="E57" s="7"/>
      <c r="F57" s="47">
        <v>12344</v>
      </c>
      <c r="G57" s="7"/>
    </row>
    <row r="58" spans="1:12" ht="15.75" x14ac:dyDescent="0.25">
      <c r="A58" s="32">
        <v>2</v>
      </c>
      <c r="B58" s="13" t="s">
        <v>27</v>
      </c>
      <c r="C58" s="16">
        <v>59296.799999999996</v>
      </c>
      <c r="D58" s="16">
        <f>38315.82+2585</f>
        <v>40900.82</v>
      </c>
      <c r="E58" s="16">
        <f>C58-D58</f>
        <v>18395.979999999996</v>
      </c>
      <c r="F58" s="48">
        <f>F59+F60</f>
        <v>36371.119999999995</v>
      </c>
      <c r="G58" s="16">
        <f>D58-F58</f>
        <v>4529.7000000000044</v>
      </c>
    </row>
    <row r="59" spans="1:12" x14ac:dyDescent="0.25">
      <c r="A59" s="30"/>
      <c r="B59" s="3" t="s">
        <v>40</v>
      </c>
      <c r="C59" s="7"/>
      <c r="D59" s="7"/>
      <c r="E59" s="7"/>
      <c r="F59" s="47">
        <v>12150</v>
      </c>
      <c r="G59" s="7"/>
    </row>
    <row r="60" spans="1:12" x14ac:dyDescent="0.25">
      <c r="A60" s="30"/>
      <c r="B60" s="3" t="s">
        <v>56</v>
      </c>
      <c r="C60" s="7"/>
      <c r="D60" s="7"/>
      <c r="E60" s="7"/>
      <c r="F60" s="47">
        <f>24221.12</f>
        <v>24221.119999999999</v>
      </c>
      <c r="G60" s="7"/>
    </row>
    <row r="61" spans="1:12" ht="15.75" x14ac:dyDescent="0.25">
      <c r="A61" s="30">
        <v>3</v>
      </c>
      <c r="B61" s="14" t="s">
        <v>28</v>
      </c>
      <c r="C61" s="16">
        <f>965862+81558</f>
        <v>1047420</v>
      </c>
      <c r="D61" s="16">
        <f>571241.15+88810.91</f>
        <v>660052.06000000006</v>
      </c>
      <c r="E61" s="16">
        <f>C61-D61</f>
        <v>387367.93999999994</v>
      </c>
      <c r="F61" s="48">
        <f>F62+F63</f>
        <v>400421.66000000003</v>
      </c>
      <c r="G61" s="16">
        <f>D61-F61</f>
        <v>259630.40000000002</v>
      </c>
    </row>
    <row r="62" spans="1:12" x14ac:dyDescent="0.25">
      <c r="A62" s="40"/>
      <c r="B62" s="2" t="s">
        <v>75</v>
      </c>
      <c r="C62" s="23"/>
      <c r="D62" s="23"/>
      <c r="E62" s="23"/>
      <c r="F62" s="49">
        <v>220852.96</v>
      </c>
      <c r="G62" s="23"/>
    </row>
    <row r="63" spans="1:12" x14ac:dyDescent="0.25">
      <c r="A63" s="40"/>
      <c r="B63" s="2" t="s">
        <v>119</v>
      </c>
      <c r="C63" s="23"/>
      <c r="D63" s="23"/>
      <c r="E63" s="23"/>
      <c r="F63" s="23">
        <v>179568.7</v>
      </c>
      <c r="G63" s="23"/>
    </row>
    <row r="64" spans="1:12" ht="15.75" x14ac:dyDescent="0.25">
      <c r="A64" s="24">
        <v>4</v>
      </c>
      <c r="B64" s="24" t="s">
        <v>55</v>
      </c>
      <c r="C64" s="24">
        <f>C40+C58+C61</f>
        <v>1728983.46</v>
      </c>
      <c r="D64" s="24">
        <f>D40+D58+D61</f>
        <v>1075059.6600000001</v>
      </c>
      <c r="E64" s="24">
        <f>C64-D64</f>
        <v>653923.79999999981</v>
      </c>
      <c r="F64" s="24">
        <f>F40+F58+F61</f>
        <v>798127.17999999993</v>
      </c>
      <c r="G64" s="24">
        <f>G40+G58+G61</f>
        <v>276932.4800000001</v>
      </c>
    </row>
    <row r="67" spans="1:20" ht="21" x14ac:dyDescent="0.35">
      <c r="B67" s="79" t="s">
        <v>45</v>
      </c>
      <c r="C67" s="38" t="s">
        <v>69</v>
      </c>
      <c r="J67" s="75" t="s">
        <v>129</v>
      </c>
      <c r="K67" s="75"/>
      <c r="L67" s="75"/>
      <c r="M67" s="66"/>
      <c r="N67" s="66"/>
    </row>
    <row r="68" spans="1:20" x14ac:dyDescent="0.25">
      <c r="B68" s="1"/>
    </row>
    <row r="69" spans="1:20" ht="15.75" x14ac:dyDescent="0.25">
      <c r="A69" s="39" t="s">
        <v>61</v>
      </c>
      <c r="B69" s="29" t="s">
        <v>59</v>
      </c>
      <c r="C69" s="5" t="s">
        <v>7</v>
      </c>
      <c r="D69" s="8" t="s">
        <v>9</v>
      </c>
      <c r="E69" s="8" t="s">
        <v>58</v>
      </c>
      <c r="F69" s="10" t="s">
        <v>11</v>
      </c>
      <c r="G69" s="5" t="s">
        <v>70</v>
      </c>
      <c r="I69" s="72" t="s">
        <v>130</v>
      </c>
      <c r="J69" s="72"/>
      <c r="K69" s="72"/>
      <c r="L69" s="4"/>
      <c r="M69" s="4"/>
      <c r="N69" s="4"/>
      <c r="O69" s="4">
        <v>121694.21</v>
      </c>
      <c r="P69" s="4" t="s">
        <v>131</v>
      </c>
      <c r="Q69" s="4" t="s">
        <v>132</v>
      </c>
      <c r="R69" s="4"/>
      <c r="S69" s="4"/>
      <c r="T69" s="4"/>
    </row>
    <row r="70" spans="1:20" x14ac:dyDescent="0.25">
      <c r="A70" s="6" t="s">
        <v>62</v>
      </c>
      <c r="B70" s="28" t="s">
        <v>60</v>
      </c>
      <c r="C70" s="6" t="s">
        <v>8</v>
      </c>
      <c r="D70" s="6" t="s">
        <v>10</v>
      </c>
      <c r="E70" s="6" t="s">
        <v>10</v>
      </c>
      <c r="F70" s="11" t="s">
        <v>18</v>
      </c>
      <c r="G70" s="12" t="s">
        <v>71</v>
      </c>
      <c r="I70" s="4" t="s">
        <v>149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31"/>
      <c r="B71" s="34" t="s">
        <v>63</v>
      </c>
      <c r="C71" s="36" t="s">
        <v>64</v>
      </c>
      <c r="D71" s="35" t="s">
        <v>65</v>
      </c>
      <c r="E71" s="35" t="s">
        <v>66</v>
      </c>
      <c r="F71" s="35" t="s">
        <v>67</v>
      </c>
      <c r="G71" s="35" t="s">
        <v>68</v>
      </c>
      <c r="I71" s="6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 x14ac:dyDescent="0.25">
      <c r="A72" s="32">
        <v>1</v>
      </c>
      <c r="B72" s="13" t="s">
        <v>46</v>
      </c>
      <c r="C72" s="16">
        <f>264911.77+27038.52</f>
        <v>291950.29000000004</v>
      </c>
      <c r="D72" s="16">
        <f>147657.89+22598.19</f>
        <v>170256.08000000002</v>
      </c>
      <c r="E72" s="16">
        <f>C72-D72</f>
        <v>121694.21000000002</v>
      </c>
      <c r="F72" s="48">
        <f>F73+F74</f>
        <v>178340.8</v>
      </c>
      <c r="G72" s="16">
        <f>D72-F72</f>
        <v>-8084.7199999999721</v>
      </c>
      <c r="I72" s="4" t="s">
        <v>133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40"/>
      <c r="B73" s="3" t="s">
        <v>50</v>
      </c>
      <c r="C73" s="23"/>
      <c r="D73" s="23"/>
      <c r="E73" s="23"/>
      <c r="F73" s="49">
        <v>22000</v>
      </c>
      <c r="G73" s="23"/>
      <c r="I73" s="4" t="s">
        <v>134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 x14ac:dyDescent="0.25">
      <c r="A74" s="32"/>
      <c r="B74" s="3" t="s">
        <v>51</v>
      </c>
      <c r="C74" s="23"/>
      <c r="D74" s="23"/>
      <c r="E74" s="23"/>
      <c r="F74" s="49">
        <v>156340.79999999999</v>
      </c>
      <c r="G74" s="23"/>
      <c r="I74" s="4" t="s">
        <v>135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8.5" x14ac:dyDescent="0.25">
      <c r="A75" s="32">
        <v>2</v>
      </c>
      <c r="B75" s="53" t="s">
        <v>76</v>
      </c>
      <c r="C75" s="16">
        <v>15398.46</v>
      </c>
      <c r="D75" s="16">
        <v>151.53</v>
      </c>
      <c r="E75" s="16">
        <f>C75-D75</f>
        <v>15246.929999999998</v>
      </c>
      <c r="F75" s="48">
        <v>15165.07</v>
      </c>
      <c r="G75" s="16">
        <f>D75-F75</f>
        <v>-15013.539999999999</v>
      </c>
      <c r="I75" s="72" t="s">
        <v>136</v>
      </c>
      <c r="J75" s="72"/>
      <c r="K75" s="72"/>
      <c r="L75" s="72"/>
      <c r="M75" s="72"/>
      <c r="N75" s="72"/>
      <c r="O75" s="72"/>
      <c r="P75" s="71"/>
      <c r="Q75" s="71"/>
      <c r="R75" s="67"/>
      <c r="S75" s="4"/>
      <c r="T75" s="4"/>
    </row>
    <row r="76" spans="1:20" ht="31.5" x14ac:dyDescent="0.25">
      <c r="A76" s="32">
        <v>3</v>
      </c>
      <c r="B76" s="13" t="s">
        <v>47</v>
      </c>
      <c r="C76" s="16">
        <f>184043.61+19053.09</f>
        <v>203096.69999999998</v>
      </c>
      <c r="D76" s="16">
        <f>96121.69+15497.21</f>
        <v>111618.9</v>
      </c>
      <c r="E76" s="16">
        <f t="shared" ref="E76:E77" si="2">C76-D76</f>
        <v>91477.799999999988</v>
      </c>
      <c r="F76" s="48">
        <v>0</v>
      </c>
      <c r="G76" s="16">
        <v>0</v>
      </c>
      <c r="I76" s="4" t="s">
        <v>137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 x14ac:dyDescent="0.25">
      <c r="A77" s="32">
        <v>4</v>
      </c>
      <c r="B77" s="13" t="s">
        <v>48</v>
      </c>
      <c r="C77" s="16">
        <f>923123.71+95756.53</f>
        <v>1018880.24</v>
      </c>
      <c r="D77" s="16">
        <f>493450.59+77812.99</f>
        <v>571263.58000000007</v>
      </c>
      <c r="E77" s="16">
        <f t="shared" si="2"/>
        <v>447616.65999999992</v>
      </c>
      <c r="F77" s="48">
        <f>SUM(F78:F80)</f>
        <v>863772.45</v>
      </c>
      <c r="G77" s="16">
        <f>D77-F77</f>
        <v>-292508.86999999988</v>
      </c>
      <c r="I77" s="4" t="s">
        <v>138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A78" s="41"/>
      <c r="B78" s="3" t="s">
        <v>52</v>
      </c>
      <c r="C78" s="7"/>
      <c r="D78" s="7"/>
      <c r="E78" s="7"/>
      <c r="F78" s="47">
        <v>4942.45</v>
      </c>
      <c r="G78" s="7"/>
      <c r="I78" s="4" t="s">
        <v>139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 x14ac:dyDescent="0.25">
      <c r="A79" s="41"/>
      <c r="B79" s="3" t="s">
        <v>53</v>
      </c>
      <c r="C79" s="7"/>
      <c r="D79" s="7"/>
      <c r="E79" s="7"/>
      <c r="F79" s="47">
        <v>79500</v>
      </c>
      <c r="G79" s="7"/>
      <c r="I79" s="72" t="s">
        <v>140</v>
      </c>
      <c r="J79" s="72"/>
      <c r="K79" s="67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41"/>
      <c r="B80" s="3" t="s">
        <v>54</v>
      </c>
      <c r="C80" s="7"/>
      <c r="D80" s="7"/>
      <c r="E80" s="7"/>
      <c r="F80" s="47">
        <f>691490+87840</f>
        <v>779330</v>
      </c>
      <c r="G80" s="7"/>
      <c r="I80" s="4" t="s">
        <v>150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 x14ac:dyDescent="0.25">
      <c r="A81" s="32">
        <v>5</v>
      </c>
      <c r="B81" s="14" t="s">
        <v>49</v>
      </c>
      <c r="C81" s="16">
        <f>343783.73+38475.47</f>
        <v>382259.19999999995</v>
      </c>
      <c r="D81" s="16">
        <f>186317.94+30498.6</f>
        <v>216816.54</v>
      </c>
      <c r="E81" s="16">
        <f t="shared" ref="E81:E82" si="3">C81-D81</f>
        <v>165442.65999999995</v>
      </c>
      <c r="F81" s="48">
        <v>132798.19</v>
      </c>
      <c r="G81" s="16">
        <f>D81-F81</f>
        <v>84018.35</v>
      </c>
      <c r="I81" s="4" t="s">
        <v>141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 x14ac:dyDescent="0.25">
      <c r="A82" s="33">
        <v>6</v>
      </c>
      <c r="B82" s="24" t="s">
        <v>55</v>
      </c>
      <c r="C82" s="24">
        <f>C72+C75+C76+C77+C81</f>
        <v>1911584.89</v>
      </c>
      <c r="D82" s="24">
        <f>D72+D75+D76+D77+D81</f>
        <v>1070106.6300000001</v>
      </c>
      <c r="E82" s="24">
        <f t="shared" si="3"/>
        <v>841478.25999999978</v>
      </c>
      <c r="F82" s="52">
        <f>F72+F75+F76+F77+F81</f>
        <v>1190076.5099999998</v>
      </c>
      <c r="G82" s="24">
        <f t="shared" ref="G82" si="4">G72+G76+G77+G81</f>
        <v>-216575.23999999985</v>
      </c>
      <c r="I82" s="4" t="s">
        <v>151</v>
      </c>
      <c r="J82" s="4"/>
      <c r="K82" s="4"/>
      <c r="L82" s="4"/>
      <c r="M82" s="4" t="s">
        <v>142</v>
      </c>
      <c r="N82" s="4"/>
      <c r="O82" s="4"/>
      <c r="P82" s="4"/>
      <c r="Q82" s="4"/>
      <c r="R82" s="4"/>
      <c r="S82" s="4"/>
      <c r="T82" s="4"/>
    </row>
    <row r="83" spans="1:20" x14ac:dyDescent="0.25">
      <c r="I83" s="4" t="s">
        <v>143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8.75" x14ac:dyDescent="0.3">
      <c r="B84" s="54" t="s">
        <v>79</v>
      </c>
      <c r="C84" s="54">
        <f>C30+C64+C82</f>
        <v>8521389.2799999993</v>
      </c>
      <c r="D84" s="54">
        <f t="shared" ref="D84:G84" si="5">D30+D64+D82</f>
        <v>5696832.4499999993</v>
      </c>
      <c r="E84" s="54">
        <f t="shared" si="5"/>
        <v>2824556.83</v>
      </c>
      <c r="F84" s="54">
        <f t="shared" si="5"/>
        <v>4899770.3099999996</v>
      </c>
      <c r="G84" s="54">
        <f t="shared" si="5"/>
        <v>700456.77999999991</v>
      </c>
      <c r="I84" s="4" t="s">
        <v>144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5">
      <c r="I85" s="4" t="s">
        <v>145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 x14ac:dyDescent="0.25">
      <c r="I86" s="72" t="s">
        <v>146</v>
      </c>
      <c r="J86" s="72"/>
      <c r="K86" s="72"/>
      <c r="L86" s="67"/>
      <c r="M86" s="4"/>
      <c r="N86" s="4"/>
      <c r="O86" s="4"/>
      <c r="P86" s="4"/>
      <c r="Q86" s="4"/>
      <c r="R86" s="4"/>
      <c r="S86" s="4"/>
      <c r="T86" s="4"/>
    </row>
    <row r="87" spans="1:20" x14ac:dyDescent="0.25">
      <c r="I87" s="4" t="s">
        <v>152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5">
      <c r="I88" s="4" t="s">
        <v>153</v>
      </c>
      <c r="J88" s="4"/>
      <c r="K88" s="4"/>
      <c r="L88" s="4"/>
      <c r="M88" s="4"/>
      <c r="N88" s="4" t="s">
        <v>147</v>
      </c>
      <c r="O88" s="4"/>
      <c r="P88" s="4"/>
      <c r="Q88" s="4"/>
      <c r="R88" s="4"/>
      <c r="S88" s="4"/>
      <c r="T88" s="4"/>
    </row>
    <row r="89" spans="1:20" x14ac:dyDescent="0.25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 x14ac:dyDescent="0.25">
      <c r="I90" s="65" t="s">
        <v>148</v>
      </c>
      <c r="J90" s="65"/>
      <c r="K90" s="65"/>
      <c r="L90" s="65"/>
      <c r="M90" s="4"/>
      <c r="N90" s="4"/>
      <c r="O90" s="4"/>
      <c r="P90" s="4"/>
      <c r="Q90" s="4"/>
      <c r="R90" s="4"/>
      <c r="S90" s="4"/>
      <c r="T90" s="4"/>
    </row>
    <row r="91" spans="1:20" x14ac:dyDescent="0.2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25">
      <c r="I92" s="4" t="s">
        <v>154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25">
      <c r="I93" s="4" t="s">
        <v>155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25">
      <c r="I94" t="s">
        <v>156</v>
      </c>
      <c r="P94" s="4"/>
      <c r="Q94" s="4"/>
      <c r="R94" s="4"/>
      <c r="S94" s="4"/>
      <c r="T94" s="4"/>
    </row>
    <row r="95" spans="1:20" x14ac:dyDescent="0.25">
      <c r="I95" s="4" t="s">
        <v>157</v>
      </c>
      <c r="J95" s="4"/>
      <c r="K95" s="4"/>
      <c r="L95" s="4"/>
      <c r="M95" s="4"/>
      <c r="N95" s="4"/>
      <c r="O95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целевые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Лена-ноут</dc:creator>
  <cp:lastModifiedBy>Илья</cp:lastModifiedBy>
  <cp:lastPrinted>2016-07-02T18:11:13Z</cp:lastPrinted>
  <dcterms:created xsi:type="dcterms:W3CDTF">2016-07-02T13:33:16Z</dcterms:created>
  <dcterms:modified xsi:type="dcterms:W3CDTF">2016-07-26T08:34:39Z</dcterms:modified>
</cp:coreProperties>
</file>